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ttps://energiavirasto.sharepoint.com/sites/ETS2/Jaetut asiakirjat/Ohjeet ja lomakkeet/Excel-lomakkeet/Päästöraportti/"/>
    </mc:Choice>
  </mc:AlternateContent>
  <xr:revisionPtr revIDLastSave="3402" documentId="8_{F56B2AD3-278E-4AB4-AA1E-73CD23365932}" xr6:coauthVersionLast="47" xr6:coauthVersionMax="47" xr10:uidLastSave="{2A4D274A-8AD3-4C66-A988-302A0784C707}"/>
  <bookViews>
    <workbookView xWindow="28680" yWindow="-120" windowWidth="38640" windowHeight="21120" tabRatio="935" firstSheet="1" activeTab="2" xr2:uid="{00000000-000D-0000-FFFF-FFFF00000000}"/>
  </bookViews>
  <sheets>
    <sheet name="ei koske 2024" sheetId="9" state="hidden" r:id="rId1"/>
    <sheet name="Ohjeet ja ehdot" sheetId="10" r:id="rId2"/>
    <sheet name="A_Säännellyn yhteisön tiedot" sheetId="37" r:id="rId3"/>
    <sheet name="B_Polttoainevirtojen tiedot" sheetId="38" r:id="rId4"/>
    <sheet name="C_Päästölaskenta" sheetId="50" r:id="rId5"/>
    <sheet name="D_Kaksoislaskennan välttäminen" sheetId="43" r:id="rId6"/>
    <sheet name="ei 2024 (1)" sheetId="63" state="hidden" r:id="rId7"/>
    <sheet name="ei 2024 (2)" sheetId="65" state="hidden" r:id="rId8"/>
    <sheet name="E_Lisätiedot" sheetId="26" r:id="rId9"/>
    <sheet name="F_Kokonaispäästöt" sheetId="62" r:id="rId10"/>
    <sheet name="G_Yhteenveto" sheetId="60" r:id="rId11"/>
    <sheet name="Translations" sheetId="56" state="hidden" r:id="rId12"/>
    <sheet name="EUwideConstants" sheetId="52" state="hidden" r:id="rId13"/>
    <sheet name="Taul1" sheetId="66" state="hidden" r:id="rId14"/>
    <sheet name="MSParameters" sheetId="57" state="hidden" r:id="rId15"/>
    <sheet name="VersionDocumentation" sheetId="54" state="hidden" r:id="rId16"/>
  </sheets>
  <definedNames>
    <definedName name="_xlnm._FilterDatabase" localSheetId="4" hidden="1">C_Päästölaskenta!$A$8:$X$8</definedName>
    <definedName name="_xlnm._FilterDatabase" localSheetId="6" hidden="1">'ei 2024 (1)'!$A$6:$U$6</definedName>
    <definedName name="_xlnm._FilterDatabase" localSheetId="11" hidden="1">Translations!$A$1:$K$267</definedName>
    <definedName name="ActivityDataTiers">EUwideConstants!$A$100:$A$105</definedName>
    <definedName name="BiomassTiers">EUwideConstants!$A$92:$A$97</definedName>
    <definedName name="CNTR_CalcRelevant">C_Päästölaskenta!$L$8</definedName>
    <definedName name="CNTR_EmissionPointsListEPx">'B_Polttoainevirtojen tiedot'!$X$37:$X$46</definedName>
    <definedName name="CNTR_ListIntermediaries">INDIRECT('B_Polttoainevirtojen tiedot'!$X$36)</definedName>
    <definedName name="CNTR_ListMeans">INDIRECT('B_Polttoainevirtojen tiedot'!$X$17)</definedName>
    <definedName name="CNTR_ReportingYear">'A_Säännellyn yhteisön tiedot'!$J$9</definedName>
    <definedName name="CNTR_SourceStreamListSx">'B_Polttoainevirtojen tiedot'!$X$18:$X$27</definedName>
    <definedName name="CNTR_SourceStreamNames">'B_Polttoainevirtojen tiedot'!$AB$67:$AB$91</definedName>
    <definedName name="CNTR_TierList">EUwideConstants!$D$184:$D$191</definedName>
    <definedName name="CNTR_TierListColumn">EUwideConstants!$C$184:$C$191</definedName>
    <definedName name="EFTiers">EUwideConstants!$A$116:$A$121</definedName>
    <definedName name="EFUnits">EUwideConstants!$A$139:$A$143</definedName>
    <definedName name="EUconst_ActivityDeterminationMethod">EUwideConstants!$B$33:$D$33</definedName>
    <definedName name="EUconst_CNTR_ActivityData">EUwideConstants!$B$5</definedName>
    <definedName name="EUconst_CNTR_BiomassContent">EUwideConstants!$B$8</definedName>
    <definedName name="EUconst_CNTR_EF">EUwideConstants!$B$7</definedName>
    <definedName name="EUconst_CNTR_NoSmallEmitter">EUwideConstants!$B$29</definedName>
    <definedName name="EUconst_CNTR_ScopeFactor">EUwideConstants!$B$59</definedName>
    <definedName name="EUconst_CNTR_SmallEmitter">EUwideConstants!$B$28</definedName>
    <definedName name="EUconst_CNTR_SourceCategory">EUwideConstants!$B$25</definedName>
    <definedName name="EUconst_CNTR_SourceStreamClass">EUwideConstants!$B$27</definedName>
    <definedName name="EUconst_CNTR_SourceStreamName">EUwideConstants!$B$26</definedName>
    <definedName name="EUconst_CNTR_UCF">EUwideConstants!$B$6</definedName>
    <definedName name="EUconst_DefaultValues">EUwideConstants!$B$18:$C$18</definedName>
    <definedName name="EUconst_DefaultValuesBio">EUwideConstants!$B$19:$C$19</definedName>
    <definedName name="EUconst_ERR_CheckEstimatedEmissions">EUwideConstants!$B$53</definedName>
    <definedName name="EUconst_ERR_Incomplete">EUwideConstants!$B$41</definedName>
    <definedName name="EUconst_ERR_Inconsistent">EUwideConstants!$B$42</definedName>
    <definedName name="EUconst_ERR_ThreshholdDeminimis">EUwideConstants!$B$52</definedName>
    <definedName name="EUconst_Fuel">EUwideConstants!$B$4</definedName>
    <definedName name="EUconst_FuelStream">EUwideConstants!$B$31</definedName>
    <definedName name="EUconst_FurtherGuidancePoint1">EUwideConstants!$B$34</definedName>
    <definedName name="EUconst_GJ">EUwideConstants!$B$14</definedName>
    <definedName name="EUconst_GWhgross">EUwideConstants!$B$16</definedName>
    <definedName name="EUconst_IRMonth">EUwideConstants!$B$58:$F$58</definedName>
    <definedName name="EUconst_kNm3">EUwideConstants!$B$12</definedName>
    <definedName name="EUconst_ListCRF">EUwideConstants!$B$195:$B$203</definedName>
    <definedName name="EUconst_litres">EUwideConstants!$B$13</definedName>
    <definedName name="Euconst_MPReferenceDateTypes">EUwideConstants!$B$57:$G$57</definedName>
    <definedName name="EUconst_MsgDeMinimis">EUwideConstants!$B$51</definedName>
    <definedName name="EUconst_MsgEnterThisSection">EUwideConstants!$B$45</definedName>
    <definedName name="EUconst_MsgGoOn">EUwideConstants!$B$46</definedName>
    <definedName name="EUconst_MsgNextSheet">EUwideConstants!$B$44</definedName>
    <definedName name="EUconst_MsgSmallEmitters">EUwideConstants!$B$47</definedName>
    <definedName name="EUconst_MsgTierActivityLevel">EUwideConstants!$B$43</definedName>
    <definedName name="EUconst_MSlist">EUwideConstants!$B$55:$AE$55</definedName>
    <definedName name="EUconst_MSlistISOcodes">EUwideConstants!$B$56:$AE$56</definedName>
    <definedName name="EUconst_NA">EUwideConstants!$B$35</definedName>
    <definedName name="EUconst_NextSheet">EUwideConstants!$B$49</definedName>
    <definedName name="EUconst_NotApplicable">EUwideConstants!$B$38</definedName>
    <definedName name="EUconst_NoTier">EUwideConstants!$B$50</definedName>
    <definedName name="EUconst_NotRelevant">EUwideConstants!$B$37</definedName>
    <definedName name="EUconst_OwnerInstrument">EUwideConstants!$B$32:$C$32</definedName>
    <definedName name="EUconst_PreviousSheet">EUwideConstants!$B$48</definedName>
    <definedName name="EUconst_Relevant">EUwideConstants!$B$36</definedName>
    <definedName name="EUconst_ReportingYear">EUwideConstants!$B$3:$R$3</definedName>
    <definedName name="EUconst_SumBioCO2">EUwideConstants!$B$21</definedName>
    <definedName name="EUconst_SumBioEnergyIN">EUwideConstants!$B$24</definedName>
    <definedName name="EUconst_SumCO2">EUwideConstants!$B$20</definedName>
    <definedName name="EUconst_SumEnergyIN">EUwideConstants!$B$23</definedName>
    <definedName name="EUconst_SumNonSustBioCO2">EUwideConstants!$B$22</definedName>
    <definedName name="EUconst_t">EUwideConstants!$B$11</definedName>
    <definedName name="EUconst_tCO2">EUwideConstants!$B$17</definedName>
    <definedName name="EUConst_TierActivityListNames">EUwideConstants!$Q$153:$Q$156</definedName>
    <definedName name="EUconst_TJ">EUwideConstants!$B$15</definedName>
    <definedName name="EUconst_ToolActualAmounts">EUwideConstants!$B$40</definedName>
    <definedName name="EUconst_ToolBestEstimate">EUwideConstants!$B$39</definedName>
    <definedName name="EUconst_TrueFalse">EUwideConstants!$B$2:$C$2</definedName>
    <definedName name="EUconst_Unit">EUwideConstants!$B$10</definedName>
    <definedName name="EUconst_Value">EUwideConstants!$B$9</definedName>
    <definedName name="Euconst_VersionTracking">EUwideConstants!$B$54:$C$54</definedName>
    <definedName name="JUMP_a_Content">'ei koske 2024'!$B$6</definedName>
    <definedName name="JUMP_Accounting">G_Yhteenveto!$D$5</definedName>
    <definedName name="JUMP_B_2">'A_Säännellyn yhteisön tiedot'!$C$16</definedName>
    <definedName name="JUMP_B_3">'A_Säännellyn yhteisön tiedot'!$C$24</definedName>
    <definedName name="JUMP_B_4">'A_Säännellyn yhteisön tiedot'!$C$45</definedName>
    <definedName name="JUMP_b_Guidelines_Top">'Ohjeet ja ehdot'!$B$6</definedName>
    <definedName name="JUMP_B_Top">'A_Säännellyn yhteisön tiedot'!$C$6</definedName>
    <definedName name="JUMP_C_Top">'B_Polttoainevirtojen tiedot'!$C$6</definedName>
    <definedName name="JUMP_DG" localSheetId="6">'ei 2024 (1)'!$C$6</definedName>
    <definedName name="JUMP_E_Top">C_Päästölaskenta!$C$8</definedName>
    <definedName name="JUMP_I_Summary">F_Kokonaispäästöt!$C$6</definedName>
    <definedName name="JUMP_K_Top" localSheetId="7">'ei 2024 (2)'!$C$6</definedName>
    <definedName name="JUMP_K_Top">'D_Kaksoislaskennan välttäminen'!$C$6</definedName>
    <definedName name="JUMP_L_Top">E_Lisätiedot!$A$5</definedName>
    <definedName name="JUMP_Summary">F_Kokonaispäästöt!$B$6</definedName>
    <definedName name="MeansIntermediaries">EUwideConstants!$A$70:$A$72</definedName>
    <definedName name="MeansReleased">EUwideConstants!$A$64:$A$67</definedName>
    <definedName name="MSPara_CalcFactors">MSParameters!$G$18:$T$18</definedName>
    <definedName name="MSPara_CalcFactorsMatrix">MSParameters!$G$19:$T$59</definedName>
    <definedName name="MSPara_CategoryAddress">MSParameters!$C$65:$C$68</definedName>
    <definedName name="MSPara_CategoryMatrix">MSParameters!$E$65:$AH$68</definedName>
    <definedName name="MSPara_IsFossil">MSParameters!$N$19:$N$59</definedName>
    <definedName name="MSPara_NameOptional">MSParameters!$M$19:$M$59</definedName>
    <definedName name="MSPara_SourceStreamCategory">MSParameters!$A$19:$A$59</definedName>
    <definedName name="NCVTiers">EUwideConstants!$A$108:$A$113</definedName>
    <definedName name="PctUnits">EUwideConstants!$A$146:$A$147</definedName>
    <definedName name="RFAUnits">EUwideConstants!$A$124:$A$128</definedName>
    <definedName name="ScopeAddress">EUwideConstants!$B$76:$B$78</definedName>
    <definedName name="ScopeMethods">EUwideConstants!$C$76:$F$78</definedName>
    <definedName name="ScopeMethodsDetails">EUwideConstants!$A$81:$B$89</definedName>
    <definedName name="ScopeTiers">EUwideConstants!$A$76:$A$78</definedName>
    <definedName name="_xlnm.Print_Area" localSheetId="2">'A_Säännellyn yhteisön tiedot'!$A$5:$N$66</definedName>
    <definedName name="_xlnm.Print_Area" localSheetId="3">'B_Polttoainevirtojen tiedot'!$B$5:$N$124</definedName>
    <definedName name="_xlnm.Print_Area" localSheetId="4">C_Päästölaskenta!$B$7:$N$645</definedName>
    <definedName name="_xlnm.Print_Area" localSheetId="5">'D_Kaksoislaskennan välttäminen'!$B$5:$N$115</definedName>
    <definedName name="_xlnm.Print_Area" localSheetId="8">E_Lisätiedot!$A$4:$M$69</definedName>
    <definedName name="_xlnm.Print_Area" localSheetId="6">'ei 2024 (1)'!$B$5:$O$43</definedName>
    <definedName name="_xlnm.Print_Area" localSheetId="7">'ei 2024 (2)'!$B$5:$N$102</definedName>
    <definedName name="_xlnm.Print_Area" localSheetId="0">'ei koske 2024'!$B$6:$J$65</definedName>
    <definedName name="_xlnm.Print_Area" localSheetId="9">F_Kokonaispäästöt!$B$5:$M$73</definedName>
    <definedName name="_xlnm.Print_Area" localSheetId="1">'Ohjeet ja ehdot'!$B$5:$N$106</definedName>
    <definedName name="_xlnm.Print_Area" localSheetId="15">VersionDocumentation!$A$1:$E$91</definedName>
    <definedName name="UCFUnits">EUwideConstants!$A$132:$A$136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38" l="1"/>
  <c r="F60" i="38"/>
  <c r="P38" i="57" l="1"/>
  <c r="P23" i="57"/>
  <c r="P22" i="57"/>
  <c r="P21" i="57"/>
  <c r="A34" i="57"/>
  <c r="A43" i="57"/>
  <c r="A27" i="57"/>
  <c r="T38" i="57" l="1"/>
  <c r="D56" i="50"/>
  <c r="F12" i="60"/>
  <c r="P35" i="57"/>
  <c r="P25" i="57"/>
  <c r="F81" i="43" l="1"/>
  <c r="F82" i="43"/>
  <c r="E82" i="43"/>
  <c r="E81" i="43"/>
  <c r="K60" i="43"/>
  <c r="K61" i="43"/>
  <c r="K62" i="43"/>
  <c r="K63" i="43"/>
  <c r="K64" i="43"/>
  <c r="K65" i="43"/>
  <c r="K66" i="43"/>
  <c r="K67" i="43"/>
  <c r="K68" i="43"/>
  <c r="K69" i="43"/>
  <c r="K70" i="43"/>
  <c r="K71" i="43"/>
  <c r="K72" i="43"/>
  <c r="K73" i="43"/>
  <c r="K74" i="43"/>
  <c r="K75" i="43"/>
  <c r="K76" i="43"/>
  <c r="J60" i="43"/>
  <c r="J61" i="43"/>
  <c r="J62" i="43"/>
  <c r="J63" i="43"/>
  <c r="J64" i="43"/>
  <c r="J65" i="43"/>
  <c r="J66" i="43"/>
  <c r="J67" i="43"/>
  <c r="J68" i="43"/>
  <c r="J69" i="43"/>
  <c r="J70" i="43"/>
  <c r="J71" i="43"/>
  <c r="J72" i="43"/>
  <c r="J73" i="43"/>
  <c r="J74" i="43"/>
  <c r="J75" i="43"/>
  <c r="J76" i="43"/>
  <c r="F34" i="50" l="1"/>
  <c r="F33" i="50"/>
  <c r="G28" i="62"/>
  <c r="E28" i="62"/>
  <c r="D20" i="10" l="1"/>
  <c r="P33" i="57"/>
  <c r="P34" i="57"/>
  <c r="P32" i="57"/>
  <c r="A32" i="57"/>
  <c r="P53" i="57"/>
  <c r="P26" i="57"/>
  <c r="A31" i="57"/>
  <c r="A26" i="57"/>
  <c r="T57" i="57"/>
  <c r="C57" i="57"/>
  <c r="T58" i="57"/>
  <c r="E58" i="57"/>
  <c r="C58" i="57"/>
  <c r="A35" i="57"/>
  <c r="L48" i="57"/>
  <c r="L52" i="57"/>
  <c r="L36" i="57"/>
  <c r="T36" i="57" s="1"/>
  <c r="L23" i="57"/>
  <c r="T55" i="57"/>
  <c r="T56" i="57"/>
  <c r="T59" i="57"/>
  <c r="T54" i="57"/>
  <c r="J24" i="57"/>
  <c r="H24" i="57"/>
  <c r="T24" i="57"/>
  <c r="R24" i="57"/>
  <c r="P24" i="57"/>
  <c r="A23" i="57"/>
  <c r="E80" i="43"/>
  <c r="F54" i="43"/>
  <c r="G27" i="43"/>
  <c r="E55" i="43" l="1"/>
  <c r="A22" i="57"/>
  <c r="A21" i="57" l="1"/>
  <c r="E554" i="50"/>
  <c r="E122" i="50"/>
  <c r="E31" i="38" l="1"/>
  <c r="E11" i="38"/>
  <c r="J28" i="43" l="1"/>
  <c r="D100" i="38"/>
  <c r="E99" i="38"/>
  <c r="D66" i="38"/>
  <c r="A53" i="57"/>
  <c r="A49" i="57"/>
  <c r="D68" i="37" l="1"/>
  <c r="Q68" i="37" s="1"/>
  <c r="E70" i="37"/>
  <c r="E72" i="37"/>
  <c r="E74" i="37"/>
  <c r="E76" i="37"/>
  <c r="E78" i="37"/>
  <c r="E80" i="37"/>
  <c r="E81" i="37"/>
  <c r="I81" i="37"/>
  <c r="E83" i="37"/>
  <c r="E84" i="37"/>
  <c r="E85" i="37"/>
  <c r="D92" i="37"/>
  <c r="Q92" i="37" s="1"/>
  <c r="E94" i="37"/>
  <c r="E95" i="37"/>
  <c r="E96" i="37"/>
  <c r="E97" i="37"/>
  <c r="E98" i="37"/>
  <c r="E99" i="37"/>
  <c r="E101" i="37"/>
  <c r="E102" i="37"/>
  <c r="E103" i="37"/>
  <c r="E104" i="37"/>
  <c r="E105" i="37"/>
  <c r="E107" i="37"/>
  <c r="E108" i="37"/>
  <c r="E109" i="37"/>
  <c r="E110" i="37"/>
  <c r="E111" i="37"/>
  <c r="E112" i="37"/>
  <c r="G38" i="10"/>
  <c r="K43" i="57" l="1"/>
  <c r="K42" i="57"/>
  <c r="G43" i="57"/>
  <c r="G42" i="57"/>
  <c r="A19" i="57"/>
  <c r="A20" i="57"/>
  <c r="A24" i="57"/>
  <c r="A25" i="57"/>
  <c r="A28" i="57"/>
  <c r="A29" i="57"/>
  <c r="A30" i="57"/>
  <c r="A36" i="57"/>
  <c r="A37" i="57"/>
  <c r="A38" i="57"/>
  <c r="A39" i="57"/>
  <c r="A40" i="57"/>
  <c r="A42" i="57"/>
  <c r="A44" i="57"/>
  <c r="A46" i="57"/>
  <c r="A47" i="57"/>
  <c r="A48" i="57"/>
  <c r="A50" i="57"/>
  <c r="A51" i="57"/>
  <c r="A52" i="57"/>
  <c r="E19" i="57"/>
  <c r="G19" i="57"/>
  <c r="I19" i="57"/>
  <c r="K19" i="57"/>
  <c r="S19" i="57"/>
  <c r="K41" i="57"/>
  <c r="I41" i="57"/>
  <c r="G41" i="57"/>
  <c r="E59" i="57"/>
  <c r="E56" i="57"/>
  <c r="E55" i="57"/>
  <c r="E54" i="57"/>
  <c r="E53" i="57"/>
  <c r="E52" i="57"/>
  <c r="E51" i="57"/>
  <c r="E50" i="57"/>
  <c r="E49" i="57"/>
  <c r="E48" i="57"/>
  <c r="E47" i="57"/>
  <c r="E46" i="57"/>
  <c r="E45" i="57"/>
  <c r="E44" i="57"/>
  <c r="E43" i="57"/>
  <c r="E42" i="57"/>
  <c r="E41" i="57"/>
  <c r="E40" i="57"/>
  <c r="E39" i="57"/>
  <c r="E38" i="57"/>
  <c r="E37" i="57"/>
  <c r="E36" i="57"/>
  <c r="E35" i="57"/>
  <c r="E34" i="57"/>
  <c r="E33" i="57"/>
  <c r="E32" i="57"/>
  <c r="E31" i="57"/>
  <c r="E30" i="57"/>
  <c r="E29" i="57"/>
  <c r="E28" i="57"/>
  <c r="E27" i="57"/>
  <c r="E26" i="57"/>
  <c r="E25" i="57"/>
  <c r="E24" i="57"/>
  <c r="E23" i="57"/>
  <c r="E22" i="57"/>
  <c r="E21" i="57"/>
  <c r="E20" i="57"/>
  <c r="C59" i="57"/>
  <c r="C56" i="57"/>
  <c r="C55" i="57"/>
  <c r="C54" i="57"/>
  <c r="C53" i="57"/>
  <c r="S43" i="57"/>
  <c r="S42" i="57"/>
  <c r="S41" i="57"/>
  <c r="D640" i="50" l="1"/>
  <c r="G637" i="50"/>
  <c r="Z636" i="50"/>
  <c r="U636" i="50"/>
  <c r="D636" i="50"/>
  <c r="AA634" i="50"/>
  <c r="Z634" i="50"/>
  <c r="D634" i="50"/>
  <c r="AA633" i="50"/>
  <c r="Z633" i="50"/>
  <c r="D633" i="50"/>
  <c r="Z632" i="50"/>
  <c r="D632" i="50"/>
  <c r="AK631" i="50"/>
  <c r="Z631" i="50"/>
  <c r="D631" i="50"/>
  <c r="H630" i="50"/>
  <c r="BF629" i="50"/>
  <c r="AK629" i="50"/>
  <c r="AC629" i="50"/>
  <c r="AW629" i="50" s="1"/>
  <c r="AX629" i="50" s="1"/>
  <c r="Z629" i="50"/>
  <c r="V629" i="50"/>
  <c r="V636" i="50" s="1"/>
  <c r="Q629" i="50"/>
  <c r="D629" i="50"/>
  <c r="Q628" i="50"/>
  <c r="M628" i="50"/>
  <c r="K628" i="50"/>
  <c r="I628" i="50"/>
  <c r="G628" i="50"/>
  <c r="F628" i="50"/>
  <c r="BM626" i="50"/>
  <c r="BL626" i="50"/>
  <c r="BK626" i="50"/>
  <c r="Q626" i="50"/>
  <c r="E626" i="50"/>
  <c r="CC624" i="50"/>
  <c r="CB624" i="50"/>
  <c r="CA624" i="50"/>
  <c r="BY624" i="50"/>
  <c r="BW624" i="50"/>
  <c r="BV624" i="50"/>
  <c r="BU624" i="50"/>
  <c r="BT624" i="50"/>
  <c r="BS624" i="50"/>
  <c r="BR624" i="50"/>
  <c r="BQ624" i="50"/>
  <c r="BP624" i="50"/>
  <c r="BO624" i="50"/>
  <c r="BN624" i="50"/>
  <c r="BM624" i="50"/>
  <c r="BL624" i="50"/>
  <c r="BK624" i="50"/>
  <c r="BJ624" i="50"/>
  <c r="Y624" i="50"/>
  <c r="Q624" i="50"/>
  <c r="O624" i="50"/>
  <c r="M624" i="50"/>
  <c r="E624" i="50"/>
  <c r="N623" i="50" s="1"/>
  <c r="CA623" i="50" s="1"/>
  <c r="BY623" i="50"/>
  <c r="BW623" i="50"/>
  <c r="BT623" i="50"/>
  <c r="BQ623" i="50"/>
  <c r="BO623" i="50"/>
  <c r="BN623" i="50"/>
  <c r="BJ623" i="50"/>
  <c r="BI623" i="50"/>
  <c r="Q623" i="50"/>
  <c r="P623" i="50"/>
  <c r="P599" i="50" s="1"/>
  <c r="P575" i="50" s="1"/>
  <c r="P551" i="50" s="1"/>
  <c r="P527" i="50" s="1"/>
  <c r="P503" i="50" s="1"/>
  <c r="P479" i="50" s="1"/>
  <c r="P455" i="50" s="1"/>
  <c r="P431" i="50" s="1"/>
  <c r="P407" i="50" s="1"/>
  <c r="P383" i="50" s="1"/>
  <c r="P359" i="50" s="1"/>
  <c r="P335" i="50" s="1"/>
  <c r="P311" i="50" s="1"/>
  <c r="P287" i="50" s="1"/>
  <c r="P263" i="50" s="1"/>
  <c r="P239" i="50" s="1"/>
  <c r="P215" i="50" s="1"/>
  <c r="P191" i="50" s="1"/>
  <c r="P167" i="50" s="1"/>
  <c r="P143" i="50" s="1"/>
  <c r="P119" i="50" s="1"/>
  <c r="P95" i="50" s="1"/>
  <c r="P71" i="50" s="1"/>
  <c r="P47" i="50" s="1"/>
  <c r="R2" i="50" s="1"/>
  <c r="O623" i="50"/>
  <c r="M623" i="50"/>
  <c r="D616" i="50"/>
  <c r="G613" i="50"/>
  <c r="Z612" i="50"/>
  <c r="U612" i="50"/>
  <c r="D612" i="50"/>
  <c r="AA610" i="50"/>
  <c r="Z610" i="50"/>
  <c r="D610" i="50"/>
  <c r="AA609" i="50"/>
  <c r="Z609" i="50"/>
  <c r="D609" i="50"/>
  <c r="Z608" i="50"/>
  <c r="D608" i="50"/>
  <c r="AK607" i="50"/>
  <c r="Z607" i="50"/>
  <c r="D607" i="50"/>
  <c r="H606" i="50"/>
  <c r="BF605" i="50"/>
  <c r="AK605" i="50"/>
  <c r="AC605" i="50"/>
  <c r="AI605" i="50" s="1"/>
  <c r="I605" i="50" s="1"/>
  <c r="Z605" i="50"/>
  <c r="V605" i="50"/>
  <c r="V612" i="50" s="1"/>
  <c r="Q605" i="50"/>
  <c r="D605" i="50"/>
  <c r="Q604" i="50"/>
  <c r="M604" i="50"/>
  <c r="K604" i="50"/>
  <c r="I604" i="50"/>
  <c r="G604" i="50"/>
  <c r="F604" i="50"/>
  <c r="BM602" i="50"/>
  <c r="BL602" i="50"/>
  <c r="BK602" i="50"/>
  <c r="Q602" i="50"/>
  <c r="E602" i="50"/>
  <c r="CC600" i="50"/>
  <c r="CB600" i="50"/>
  <c r="CA600" i="50"/>
  <c r="BY600" i="50"/>
  <c r="BW600" i="50"/>
  <c r="BV600" i="50"/>
  <c r="BU600" i="50"/>
  <c r="BT600" i="50"/>
  <c r="BS600" i="50"/>
  <c r="BR600" i="50"/>
  <c r="BQ600" i="50"/>
  <c r="BP600" i="50"/>
  <c r="BO600" i="50"/>
  <c r="BN600" i="50"/>
  <c r="BM600" i="50"/>
  <c r="BL600" i="50"/>
  <c r="BK600" i="50"/>
  <c r="BJ600" i="50"/>
  <c r="Y600" i="50"/>
  <c r="Q600" i="50"/>
  <c r="O600" i="50"/>
  <c r="M600" i="50"/>
  <c r="E600" i="50"/>
  <c r="T612" i="50" s="1"/>
  <c r="BY599" i="50"/>
  <c r="BW599" i="50"/>
  <c r="BT599" i="50"/>
  <c r="BQ599" i="50"/>
  <c r="BO599" i="50"/>
  <c r="BN599" i="50"/>
  <c r="BJ599" i="50"/>
  <c r="BI599" i="50"/>
  <c r="Q599" i="50"/>
  <c r="O599" i="50"/>
  <c r="M599" i="50"/>
  <c r="D592" i="50"/>
  <c r="G589" i="50"/>
  <c r="Z588" i="50"/>
  <c r="U588" i="50"/>
  <c r="D588" i="50"/>
  <c r="AA586" i="50"/>
  <c r="Z586" i="50"/>
  <c r="D586" i="50"/>
  <c r="AA585" i="50"/>
  <c r="Z585" i="50"/>
  <c r="D585" i="50"/>
  <c r="Z584" i="50"/>
  <c r="D584" i="50"/>
  <c r="AK583" i="50"/>
  <c r="Z583" i="50"/>
  <c r="D583" i="50"/>
  <c r="H582" i="50"/>
  <c r="BF581" i="50"/>
  <c r="AK581" i="50"/>
  <c r="AC581" i="50"/>
  <c r="Z581" i="50"/>
  <c r="V581" i="50"/>
  <c r="V584" i="50" s="1"/>
  <c r="V583" i="50" s="1"/>
  <c r="V585" i="50" s="1"/>
  <c r="Q581" i="50"/>
  <c r="D581" i="50"/>
  <c r="Q580" i="50"/>
  <c r="M580" i="50"/>
  <c r="K580" i="50"/>
  <c r="I580" i="50"/>
  <c r="G580" i="50"/>
  <c r="F580" i="50"/>
  <c r="BM578" i="50"/>
  <c r="BL578" i="50"/>
  <c r="BK578" i="50"/>
  <c r="Q578" i="50"/>
  <c r="E578" i="50"/>
  <c r="CC576" i="50"/>
  <c r="CB576" i="50"/>
  <c r="CA576" i="50"/>
  <c r="BY576" i="50"/>
  <c r="BW576" i="50"/>
  <c r="BV576" i="50"/>
  <c r="BU576" i="50"/>
  <c r="BT576" i="50"/>
  <c r="BS576" i="50"/>
  <c r="BR576" i="50"/>
  <c r="BQ576" i="50"/>
  <c r="BP576" i="50"/>
  <c r="BO576" i="50"/>
  <c r="BN576" i="50"/>
  <c r="BM576" i="50"/>
  <c r="BL576" i="50"/>
  <c r="BK576" i="50"/>
  <c r="BJ576" i="50"/>
  <c r="Y576" i="50"/>
  <c r="Q576" i="50"/>
  <c r="O576" i="50"/>
  <c r="M576" i="50"/>
  <c r="E576" i="50"/>
  <c r="T588" i="50" s="1"/>
  <c r="BY575" i="50"/>
  <c r="BW575" i="50"/>
  <c r="BT575" i="50"/>
  <c r="BQ575" i="50"/>
  <c r="BO575" i="50"/>
  <c r="BN575" i="50"/>
  <c r="BJ575" i="50"/>
  <c r="BI575" i="50"/>
  <c r="Q575" i="50"/>
  <c r="O575" i="50"/>
  <c r="M575" i="50"/>
  <c r="D568" i="50"/>
  <c r="G565" i="50"/>
  <c r="Z564" i="50"/>
  <c r="U564" i="50"/>
  <c r="D564" i="50"/>
  <c r="AA562" i="50"/>
  <c r="Z562" i="50"/>
  <c r="D562" i="50"/>
  <c r="AA561" i="50"/>
  <c r="Z561" i="50"/>
  <c r="D561" i="50"/>
  <c r="Z560" i="50"/>
  <c r="D560" i="50"/>
  <c r="AK559" i="50"/>
  <c r="Z559" i="50"/>
  <c r="D559" i="50"/>
  <c r="H558" i="50"/>
  <c r="BF557" i="50"/>
  <c r="AK557" i="50"/>
  <c r="AC557" i="50"/>
  <c r="AF557" i="50" s="1"/>
  <c r="Z557" i="50"/>
  <c r="V557" i="50"/>
  <c r="V564" i="50" s="1"/>
  <c r="Q557" i="50"/>
  <c r="D557" i="50"/>
  <c r="Q556" i="50"/>
  <c r="M556" i="50"/>
  <c r="K556" i="50"/>
  <c r="I556" i="50"/>
  <c r="G556" i="50"/>
  <c r="F556" i="50"/>
  <c r="BM554" i="50"/>
  <c r="BL554" i="50"/>
  <c r="BK554" i="50"/>
  <c r="Q554" i="50"/>
  <c r="CC552" i="50"/>
  <c r="CB552" i="50"/>
  <c r="CA552" i="50"/>
  <c r="BY552" i="50"/>
  <c r="BW552" i="50"/>
  <c r="BV552" i="50"/>
  <c r="BU552" i="50"/>
  <c r="BT552" i="50"/>
  <c r="BS552" i="50"/>
  <c r="BR552" i="50"/>
  <c r="BQ552" i="50"/>
  <c r="BP552" i="50"/>
  <c r="BO552" i="50"/>
  <c r="BN552" i="50"/>
  <c r="BM552" i="50"/>
  <c r="BL552" i="50"/>
  <c r="BK552" i="50"/>
  <c r="BJ552" i="50"/>
  <c r="Y552" i="50"/>
  <c r="Q552" i="50"/>
  <c r="O552" i="50"/>
  <c r="M552" i="50"/>
  <c r="E552" i="50"/>
  <c r="R556" i="50" s="1"/>
  <c r="CD551" i="50" s="1"/>
  <c r="BY551" i="50"/>
  <c r="BW551" i="50"/>
  <c r="BT551" i="50"/>
  <c r="BQ551" i="50"/>
  <c r="BO551" i="50"/>
  <c r="BN551" i="50"/>
  <c r="BJ551" i="50"/>
  <c r="BI551" i="50"/>
  <c r="Q551" i="50"/>
  <c r="O551" i="50"/>
  <c r="M551" i="50"/>
  <c r="D544" i="50"/>
  <c r="G541" i="50"/>
  <c r="Z540" i="50"/>
  <c r="U540" i="50"/>
  <c r="D540" i="50"/>
  <c r="AA538" i="50"/>
  <c r="Z538" i="50"/>
  <c r="D538" i="50"/>
  <c r="AA537" i="50"/>
  <c r="Z537" i="50"/>
  <c r="D537" i="50"/>
  <c r="Z536" i="50"/>
  <c r="D536" i="50"/>
  <c r="AK535" i="50"/>
  <c r="Z535" i="50"/>
  <c r="D535" i="50"/>
  <c r="H534" i="50"/>
  <c r="BF533" i="50"/>
  <c r="AK533" i="50"/>
  <c r="AC533" i="50"/>
  <c r="AG533" i="50" s="1"/>
  <c r="Z533" i="50"/>
  <c r="V533" i="50"/>
  <c r="V536" i="50" s="1"/>
  <c r="V535" i="50" s="1"/>
  <c r="V537" i="50" s="1"/>
  <c r="Q533" i="50"/>
  <c r="D533" i="50"/>
  <c r="Q532" i="50"/>
  <c r="M532" i="50"/>
  <c r="K532" i="50"/>
  <c r="I532" i="50"/>
  <c r="G532" i="50"/>
  <c r="F532" i="50"/>
  <c r="BM530" i="50"/>
  <c r="BL530" i="50"/>
  <c r="BK530" i="50"/>
  <c r="Q530" i="50"/>
  <c r="E530" i="50"/>
  <c r="CC528" i="50"/>
  <c r="CB528" i="50"/>
  <c r="CA528" i="50"/>
  <c r="BY528" i="50"/>
  <c r="BW528" i="50"/>
  <c r="BV528" i="50"/>
  <c r="BU528" i="50"/>
  <c r="BT528" i="50"/>
  <c r="BS528" i="50"/>
  <c r="BR528" i="50"/>
  <c r="BQ528" i="50"/>
  <c r="BP528" i="50"/>
  <c r="BO528" i="50"/>
  <c r="BN528" i="50"/>
  <c r="BM528" i="50"/>
  <c r="BL528" i="50"/>
  <c r="BK528" i="50"/>
  <c r="BJ528" i="50"/>
  <c r="Y528" i="50"/>
  <c r="Q528" i="50"/>
  <c r="O528" i="50"/>
  <c r="M528" i="50"/>
  <c r="E528" i="50"/>
  <c r="BY527" i="50"/>
  <c r="BW527" i="50"/>
  <c r="BT527" i="50"/>
  <c r="BQ527" i="50"/>
  <c r="BO527" i="50"/>
  <c r="BN527" i="50"/>
  <c r="BJ527" i="50"/>
  <c r="BI527" i="50"/>
  <c r="Q527" i="50"/>
  <c r="O527" i="50"/>
  <c r="M527" i="50"/>
  <c r="D520" i="50"/>
  <c r="G517" i="50"/>
  <c r="Z516" i="50"/>
  <c r="U516" i="50"/>
  <c r="D516" i="50"/>
  <c r="AA514" i="50"/>
  <c r="Z514" i="50"/>
  <c r="D514" i="50"/>
  <c r="AA513" i="50"/>
  <c r="Z513" i="50"/>
  <c r="D513" i="50"/>
  <c r="Z512" i="50"/>
  <c r="D512" i="50"/>
  <c r="AK511" i="50"/>
  <c r="Z511" i="50"/>
  <c r="D511" i="50"/>
  <c r="H510" i="50"/>
  <c r="BF509" i="50"/>
  <c r="AK509" i="50"/>
  <c r="AC509" i="50"/>
  <c r="Z509" i="50"/>
  <c r="V509" i="50"/>
  <c r="Q509" i="50"/>
  <c r="D509" i="50"/>
  <c r="Q508" i="50"/>
  <c r="M508" i="50"/>
  <c r="K508" i="50"/>
  <c r="I508" i="50"/>
  <c r="G508" i="50"/>
  <c r="F508" i="50"/>
  <c r="BM506" i="50"/>
  <c r="BL506" i="50"/>
  <c r="BK506" i="50"/>
  <c r="Q506" i="50"/>
  <c r="E506" i="50"/>
  <c r="CC504" i="50"/>
  <c r="CB504" i="50"/>
  <c r="CA504" i="50"/>
  <c r="BY504" i="50"/>
  <c r="BW504" i="50"/>
  <c r="BV504" i="50"/>
  <c r="BU504" i="50"/>
  <c r="BT504" i="50"/>
  <c r="BS504" i="50"/>
  <c r="BR504" i="50"/>
  <c r="BQ504" i="50"/>
  <c r="BP504" i="50"/>
  <c r="BO504" i="50"/>
  <c r="BN504" i="50"/>
  <c r="BM504" i="50"/>
  <c r="BL504" i="50"/>
  <c r="BK504" i="50"/>
  <c r="BJ504" i="50"/>
  <c r="Y504" i="50"/>
  <c r="Q504" i="50"/>
  <c r="O504" i="50"/>
  <c r="M504" i="50"/>
  <c r="E504" i="50"/>
  <c r="BY503" i="50"/>
  <c r="BW503" i="50"/>
  <c r="BT503" i="50"/>
  <c r="BQ503" i="50"/>
  <c r="BO503" i="50"/>
  <c r="BN503" i="50"/>
  <c r="BJ503" i="50"/>
  <c r="BI503" i="50"/>
  <c r="Q503" i="50"/>
  <c r="O503" i="50"/>
  <c r="M503" i="50"/>
  <c r="D496" i="50"/>
  <c r="G493" i="50"/>
  <c r="Z492" i="50"/>
  <c r="U492" i="50"/>
  <c r="D492" i="50"/>
  <c r="AA490" i="50"/>
  <c r="Z490" i="50"/>
  <c r="D490" i="50"/>
  <c r="AA489" i="50"/>
  <c r="Z489" i="50"/>
  <c r="D489" i="50"/>
  <c r="Z488" i="50"/>
  <c r="D488" i="50"/>
  <c r="AK487" i="50"/>
  <c r="Z487" i="50"/>
  <c r="D487" i="50"/>
  <c r="H486" i="50"/>
  <c r="BF485" i="50"/>
  <c r="AK485" i="50"/>
  <c r="AC485" i="50"/>
  <c r="AI485" i="50" s="1"/>
  <c r="Z485" i="50"/>
  <c r="V485" i="50"/>
  <c r="V492" i="50" s="1"/>
  <c r="Q485" i="50"/>
  <c r="D485" i="50"/>
  <c r="Q484" i="50"/>
  <c r="M484" i="50"/>
  <c r="K484" i="50"/>
  <c r="I484" i="50"/>
  <c r="G484" i="50"/>
  <c r="F484" i="50"/>
  <c r="BM482" i="50"/>
  <c r="BL482" i="50"/>
  <c r="BK482" i="50"/>
  <c r="Q482" i="50"/>
  <c r="E482" i="50"/>
  <c r="CC480" i="50"/>
  <c r="CB480" i="50"/>
  <c r="CA480" i="50"/>
  <c r="BY480" i="50"/>
  <c r="BW480" i="50"/>
  <c r="BV480" i="50"/>
  <c r="BU480" i="50"/>
  <c r="BT480" i="50"/>
  <c r="BS480" i="50"/>
  <c r="BR480" i="50"/>
  <c r="BQ480" i="50"/>
  <c r="BP480" i="50"/>
  <c r="BO480" i="50"/>
  <c r="BN480" i="50"/>
  <c r="BM480" i="50"/>
  <c r="BL480" i="50"/>
  <c r="BK480" i="50"/>
  <c r="BJ480" i="50"/>
  <c r="Y480" i="50"/>
  <c r="Q480" i="50"/>
  <c r="O480" i="50"/>
  <c r="M480" i="50"/>
  <c r="E480" i="50"/>
  <c r="Y485" i="50" s="1"/>
  <c r="BY479" i="50"/>
  <c r="BW479" i="50"/>
  <c r="BT479" i="50"/>
  <c r="BQ479" i="50"/>
  <c r="BO479" i="50"/>
  <c r="BN479" i="50"/>
  <c r="BJ479" i="50"/>
  <c r="BI479" i="50"/>
  <c r="Q479" i="50"/>
  <c r="O479" i="50"/>
  <c r="M479" i="50"/>
  <c r="D472" i="50"/>
  <c r="G469" i="50"/>
  <c r="Z468" i="50"/>
  <c r="U468" i="50"/>
  <c r="D468" i="50"/>
  <c r="AA466" i="50"/>
  <c r="Z466" i="50"/>
  <c r="D466" i="50"/>
  <c r="AA465" i="50"/>
  <c r="Z465" i="50"/>
  <c r="D465" i="50"/>
  <c r="Z464" i="50"/>
  <c r="D464" i="50"/>
  <c r="AK463" i="50"/>
  <c r="Z463" i="50"/>
  <c r="D463" i="50"/>
  <c r="H462" i="50"/>
  <c r="BF461" i="50"/>
  <c r="AK461" i="50"/>
  <c r="AC461" i="50"/>
  <c r="AI461" i="50" s="1"/>
  <c r="Z461" i="50"/>
  <c r="V461" i="50"/>
  <c r="V468" i="50" s="1"/>
  <c r="Q461" i="50"/>
  <c r="D461" i="50"/>
  <c r="Q460" i="50"/>
  <c r="M460" i="50"/>
  <c r="K460" i="50"/>
  <c r="I460" i="50"/>
  <c r="G460" i="50"/>
  <c r="F460" i="50"/>
  <c r="BM458" i="50"/>
  <c r="BL458" i="50"/>
  <c r="BK458" i="50"/>
  <c r="Q458" i="50"/>
  <c r="E458" i="50"/>
  <c r="CC456" i="50"/>
  <c r="CB456" i="50"/>
  <c r="CA456" i="50"/>
  <c r="BY456" i="50"/>
  <c r="BW456" i="50"/>
  <c r="BV456" i="50"/>
  <c r="BU456" i="50"/>
  <c r="BT456" i="50"/>
  <c r="BS456" i="50"/>
  <c r="BR456" i="50"/>
  <c r="BQ456" i="50"/>
  <c r="BP456" i="50"/>
  <c r="BO456" i="50"/>
  <c r="BN456" i="50"/>
  <c r="BM456" i="50"/>
  <c r="BL456" i="50"/>
  <c r="BK456" i="50"/>
  <c r="BJ456" i="50"/>
  <c r="Y456" i="50"/>
  <c r="Q456" i="50"/>
  <c r="O456" i="50"/>
  <c r="M456" i="50"/>
  <c r="E456" i="50"/>
  <c r="T468" i="50" s="1"/>
  <c r="BY455" i="50"/>
  <c r="BW455" i="50"/>
  <c r="BT455" i="50"/>
  <c r="BQ455" i="50"/>
  <c r="BO455" i="50"/>
  <c r="BN455" i="50"/>
  <c r="BJ455" i="50"/>
  <c r="BI455" i="50"/>
  <c r="Q455" i="50"/>
  <c r="O455" i="50"/>
  <c r="M455" i="50"/>
  <c r="D448" i="50"/>
  <c r="G445" i="50"/>
  <c r="Z444" i="50"/>
  <c r="U444" i="50"/>
  <c r="D444" i="50"/>
  <c r="AA442" i="50"/>
  <c r="Z442" i="50"/>
  <c r="D442" i="50"/>
  <c r="AA441" i="50"/>
  <c r="Z441" i="50"/>
  <c r="D441" i="50"/>
  <c r="Z440" i="50"/>
  <c r="D440" i="50"/>
  <c r="AK439" i="50"/>
  <c r="Z439" i="50"/>
  <c r="D439" i="50"/>
  <c r="H438" i="50"/>
  <c r="BF437" i="50"/>
  <c r="AK437" i="50"/>
  <c r="AC437" i="50"/>
  <c r="AI437" i="50" s="1"/>
  <c r="I437" i="50" s="1"/>
  <c r="Z437" i="50"/>
  <c r="V437" i="50"/>
  <c r="Q437" i="50"/>
  <c r="D437" i="50"/>
  <c r="Q436" i="50"/>
  <c r="M436" i="50"/>
  <c r="K436" i="50"/>
  <c r="I436" i="50"/>
  <c r="G436" i="50"/>
  <c r="F436" i="50"/>
  <c r="BM434" i="50"/>
  <c r="BL434" i="50"/>
  <c r="BK434" i="50"/>
  <c r="Q434" i="50"/>
  <c r="E434" i="50"/>
  <c r="CC432" i="50"/>
  <c r="CB432" i="50"/>
  <c r="CA432" i="50"/>
  <c r="BY432" i="50"/>
  <c r="BW432" i="50"/>
  <c r="BV432" i="50"/>
  <c r="BU432" i="50"/>
  <c r="BT432" i="50"/>
  <c r="BS432" i="50"/>
  <c r="BR432" i="50"/>
  <c r="BQ432" i="50"/>
  <c r="BP432" i="50"/>
  <c r="BO432" i="50"/>
  <c r="BN432" i="50"/>
  <c r="BM432" i="50"/>
  <c r="BL432" i="50"/>
  <c r="BK432" i="50"/>
  <c r="BJ432" i="50"/>
  <c r="Y432" i="50"/>
  <c r="Q432" i="50"/>
  <c r="O432" i="50"/>
  <c r="M432" i="50"/>
  <c r="E432" i="50"/>
  <c r="BY431" i="50"/>
  <c r="BW431" i="50"/>
  <c r="BT431" i="50"/>
  <c r="BQ431" i="50"/>
  <c r="BO431" i="50"/>
  <c r="BN431" i="50"/>
  <c r="BJ431" i="50"/>
  <c r="BI431" i="50"/>
  <c r="Q431" i="50"/>
  <c r="O431" i="50"/>
  <c r="M431" i="50"/>
  <c r="D424" i="50"/>
  <c r="G421" i="50"/>
  <c r="Z420" i="50"/>
  <c r="U420" i="50"/>
  <c r="D420" i="50"/>
  <c r="AA418" i="50"/>
  <c r="Z418" i="50"/>
  <c r="D418" i="50"/>
  <c r="AA417" i="50"/>
  <c r="Z417" i="50"/>
  <c r="D417" i="50"/>
  <c r="Z416" i="50"/>
  <c r="D416" i="50"/>
  <c r="AK415" i="50"/>
  <c r="Z415" i="50"/>
  <c r="D415" i="50"/>
  <c r="H414" i="50"/>
  <c r="BF413" i="50"/>
  <c r="AK413" i="50"/>
  <c r="AC413" i="50"/>
  <c r="Z413" i="50"/>
  <c r="V413" i="50"/>
  <c r="V420" i="50" s="1"/>
  <c r="Q413" i="50"/>
  <c r="D413" i="50"/>
  <c r="Q412" i="50"/>
  <c r="M412" i="50"/>
  <c r="K412" i="50"/>
  <c r="I412" i="50"/>
  <c r="G412" i="50"/>
  <c r="F412" i="50"/>
  <c r="BM410" i="50"/>
  <c r="BL410" i="50"/>
  <c r="BK410" i="50"/>
  <c r="Q410" i="50"/>
  <c r="E410" i="50"/>
  <c r="CC408" i="50"/>
  <c r="CB408" i="50"/>
  <c r="CA408" i="50"/>
  <c r="BY408" i="50"/>
  <c r="BW408" i="50"/>
  <c r="BV408" i="50"/>
  <c r="BU408" i="50"/>
  <c r="BT408" i="50"/>
  <c r="BS408" i="50"/>
  <c r="BR408" i="50"/>
  <c r="BQ408" i="50"/>
  <c r="BP408" i="50"/>
  <c r="BO408" i="50"/>
  <c r="BN408" i="50"/>
  <c r="BM408" i="50"/>
  <c r="BL408" i="50"/>
  <c r="BK408" i="50"/>
  <c r="BJ408" i="50"/>
  <c r="Y408" i="50"/>
  <c r="Q408" i="50"/>
  <c r="O408" i="50"/>
  <c r="M408" i="50"/>
  <c r="E408" i="50"/>
  <c r="BY407" i="50"/>
  <c r="BW407" i="50"/>
  <c r="BT407" i="50"/>
  <c r="BQ407" i="50"/>
  <c r="BO407" i="50"/>
  <c r="BN407" i="50"/>
  <c r="BJ407" i="50"/>
  <c r="BI407" i="50"/>
  <c r="Q407" i="50"/>
  <c r="O407" i="50"/>
  <c r="M407" i="50"/>
  <c r="D400" i="50"/>
  <c r="G397" i="50"/>
  <c r="Z396" i="50"/>
  <c r="U396" i="50"/>
  <c r="D396" i="50"/>
  <c r="AA394" i="50"/>
  <c r="Z394" i="50"/>
  <c r="D394" i="50"/>
  <c r="AA393" i="50"/>
  <c r="Z393" i="50"/>
  <c r="D393" i="50"/>
  <c r="Z392" i="50"/>
  <c r="D392" i="50"/>
  <c r="AK391" i="50"/>
  <c r="Z391" i="50"/>
  <c r="D391" i="50"/>
  <c r="H390" i="50"/>
  <c r="BF389" i="50"/>
  <c r="AK389" i="50"/>
  <c r="AC389" i="50"/>
  <c r="AF389" i="50" s="1"/>
  <c r="Z389" i="50"/>
  <c r="V389" i="50"/>
  <c r="V396" i="50" s="1"/>
  <c r="Q389" i="50"/>
  <c r="D389" i="50"/>
  <c r="Q388" i="50"/>
  <c r="M388" i="50"/>
  <c r="K388" i="50"/>
  <c r="I388" i="50"/>
  <c r="G388" i="50"/>
  <c r="F388" i="50"/>
  <c r="BM386" i="50"/>
  <c r="BL386" i="50"/>
  <c r="BK386" i="50"/>
  <c r="Q386" i="50"/>
  <c r="E386" i="50"/>
  <c r="CC384" i="50"/>
  <c r="CB384" i="50"/>
  <c r="CA384" i="50"/>
  <c r="BY384" i="50"/>
  <c r="BW384" i="50"/>
  <c r="BV384" i="50"/>
  <c r="BU384" i="50"/>
  <c r="BT384" i="50"/>
  <c r="BS384" i="50"/>
  <c r="BR384" i="50"/>
  <c r="BQ384" i="50"/>
  <c r="BP384" i="50"/>
  <c r="BO384" i="50"/>
  <c r="BN384" i="50"/>
  <c r="BM384" i="50"/>
  <c r="BL384" i="50"/>
  <c r="BK384" i="50"/>
  <c r="BJ384" i="50"/>
  <c r="Y384" i="50"/>
  <c r="Q384" i="50"/>
  <c r="O384" i="50"/>
  <c r="M384" i="50"/>
  <c r="E384" i="50"/>
  <c r="T396" i="50" s="1"/>
  <c r="BY383" i="50"/>
  <c r="BW383" i="50"/>
  <c r="BT383" i="50"/>
  <c r="BQ383" i="50"/>
  <c r="BO383" i="50"/>
  <c r="BN383" i="50"/>
  <c r="BJ383" i="50"/>
  <c r="BI383" i="50"/>
  <c r="Q383" i="50"/>
  <c r="O383" i="50"/>
  <c r="M383" i="50"/>
  <c r="D376" i="50"/>
  <c r="G373" i="50"/>
  <c r="Z372" i="50"/>
  <c r="U372" i="50"/>
  <c r="D372" i="50"/>
  <c r="AA370" i="50"/>
  <c r="Z370" i="50"/>
  <c r="D370" i="50"/>
  <c r="AA369" i="50"/>
  <c r="Z369" i="50"/>
  <c r="D369" i="50"/>
  <c r="Z368" i="50"/>
  <c r="D368" i="50"/>
  <c r="AK367" i="50"/>
  <c r="Z367" i="50"/>
  <c r="D367" i="50"/>
  <c r="H366" i="50"/>
  <c r="BF365" i="50"/>
  <c r="AK365" i="50"/>
  <c r="AC365" i="50"/>
  <c r="Z365" i="50"/>
  <c r="V365" i="50"/>
  <c r="V372" i="50" s="1"/>
  <c r="Q365" i="50"/>
  <c r="D365" i="50"/>
  <c r="Q364" i="50"/>
  <c r="M364" i="50"/>
  <c r="K364" i="50"/>
  <c r="I364" i="50"/>
  <c r="G364" i="50"/>
  <c r="F364" i="50"/>
  <c r="BM362" i="50"/>
  <c r="BL362" i="50"/>
  <c r="BK362" i="50"/>
  <c r="Q362" i="50"/>
  <c r="E362" i="50"/>
  <c r="CC360" i="50"/>
  <c r="CB360" i="50"/>
  <c r="CA360" i="50"/>
  <c r="BY360" i="50"/>
  <c r="BW360" i="50"/>
  <c r="BV360" i="50"/>
  <c r="BU360" i="50"/>
  <c r="BT360" i="50"/>
  <c r="BS360" i="50"/>
  <c r="BR360" i="50"/>
  <c r="BQ360" i="50"/>
  <c r="BP360" i="50"/>
  <c r="BO360" i="50"/>
  <c r="BN360" i="50"/>
  <c r="BM360" i="50"/>
  <c r="BL360" i="50"/>
  <c r="BK360" i="50"/>
  <c r="BJ360" i="50"/>
  <c r="Y360" i="50"/>
  <c r="Q360" i="50"/>
  <c r="O360" i="50"/>
  <c r="M360" i="50"/>
  <c r="E360" i="50"/>
  <c r="N359" i="50" s="1"/>
  <c r="CA359" i="50" s="1"/>
  <c r="BY359" i="50"/>
  <c r="BW359" i="50"/>
  <c r="BT359" i="50"/>
  <c r="BQ359" i="50"/>
  <c r="BO359" i="50"/>
  <c r="BN359" i="50"/>
  <c r="BJ359" i="50"/>
  <c r="BI359" i="50"/>
  <c r="Q359" i="50"/>
  <c r="O359" i="50"/>
  <c r="M359" i="50"/>
  <c r="D352" i="50"/>
  <c r="G349" i="50"/>
  <c r="Z348" i="50"/>
  <c r="U348" i="50"/>
  <c r="D348" i="50"/>
  <c r="AA346" i="50"/>
  <c r="Z346" i="50"/>
  <c r="D346" i="50"/>
  <c r="AA345" i="50"/>
  <c r="Z345" i="50"/>
  <c r="D345" i="50"/>
  <c r="Z344" i="50"/>
  <c r="D344" i="50"/>
  <c r="AK343" i="50"/>
  <c r="Z343" i="50"/>
  <c r="D343" i="50"/>
  <c r="H342" i="50"/>
  <c r="BF341" i="50"/>
  <c r="AK341" i="50"/>
  <c r="AC341" i="50"/>
  <c r="AF341" i="50" s="1"/>
  <c r="Z341" i="50"/>
  <c r="V341" i="50"/>
  <c r="V348" i="50" s="1"/>
  <c r="Q341" i="50"/>
  <c r="D341" i="50"/>
  <c r="Q340" i="50"/>
  <c r="M340" i="50"/>
  <c r="K340" i="50"/>
  <c r="I340" i="50"/>
  <c r="G340" i="50"/>
  <c r="F340" i="50"/>
  <c r="BM338" i="50"/>
  <c r="BL338" i="50"/>
  <c r="BK338" i="50"/>
  <c r="Q338" i="50"/>
  <c r="E338" i="50"/>
  <c r="CC336" i="50"/>
  <c r="CB336" i="50"/>
  <c r="CA336" i="50"/>
  <c r="BY336" i="50"/>
  <c r="BW336" i="50"/>
  <c r="BV336" i="50"/>
  <c r="BU336" i="50"/>
  <c r="BT336" i="50"/>
  <c r="BS336" i="50"/>
  <c r="BR336" i="50"/>
  <c r="BQ336" i="50"/>
  <c r="BP336" i="50"/>
  <c r="BO336" i="50"/>
  <c r="BN336" i="50"/>
  <c r="BM336" i="50"/>
  <c r="BL336" i="50"/>
  <c r="BK336" i="50"/>
  <c r="BJ336" i="50"/>
  <c r="Y336" i="50"/>
  <c r="Q336" i="50"/>
  <c r="O336" i="50"/>
  <c r="M336" i="50"/>
  <c r="E336" i="50"/>
  <c r="T346" i="50" s="1"/>
  <c r="BY335" i="50"/>
  <c r="BW335" i="50"/>
  <c r="BT335" i="50"/>
  <c r="BQ335" i="50"/>
  <c r="BO335" i="50"/>
  <c r="BN335" i="50"/>
  <c r="BJ335" i="50"/>
  <c r="BI335" i="50"/>
  <c r="Q335" i="50"/>
  <c r="O335" i="50"/>
  <c r="M335" i="50"/>
  <c r="D328" i="50"/>
  <c r="G325" i="50"/>
  <c r="Z324" i="50"/>
  <c r="U324" i="50"/>
  <c r="D324" i="50"/>
  <c r="AA322" i="50"/>
  <c r="Z322" i="50"/>
  <c r="D322" i="50"/>
  <c r="AA321" i="50"/>
  <c r="Z321" i="50"/>
  <c r="D321" i="50"/>
  <c r="Z320" i="50"/>
  <c r="D320" i="50"/>
  <c r="AK319" i="50"/>
  <c r="Z319" i="50"/>
  <c r="D319" i="50"/>
  <c r="H318" i="50"/>
  <c r="BF317" i="50"/>
  <c r="AK317" i="50"/>
  <c r="AC317" i="50"/>
  <c r="AI317" i="50" s="1"/>
  <c r="AJ317" i="50" s="1"/>
  <c r="AN317" i="50" s="1"/>
  <c r="Z317" i="50"/>
  <c r="V317" i="50"/>
  <c r="V324" i="50" s="1"/>
  <c r="Q317" i="50"/>
  <c r="D317" i="50"/>
  <c r="Q316" i="50"/>
  <c r="M316" i="50"/>
  <c r="K316" i="50"/>
  <c r="I316" i="50"/>
  <c r="G316" i="50"/>
  <c r="F316" i="50"/>
  <c r="BM314" i="50"/>
  <c r="BL314" i="50"/>
  <c r="BK314" i="50"/>
  <c r="Q314" i="50"/>
  <c r="E314" i="50"/>
  <c r="CC312" i="50"/>
  <c r="CB312" i="50"/>
  <c r="CA312" i="50"/>
  <c r="BY312" i="50"/>
  <c r="BW312" i="50"/>
  <c r="BV312" i="50"/>
  <c r="BU312" i="50"/>
  <c r="BT312" i="50"/>
  <c r="BS312" i="50"/>
  <c r="BR312" i="50"/>
  <c r="BQ312" i="50"/>
  <c r="BP312" i="50"/>
  <c r="BO312" i="50"/>
  <c r="BN312" i="50"/>
  <c r="BM312" i="50"/>
  <c r="BL312" i="50"/>
  <c r="BK312" i="50"/>
  <c r="BJ312" i="50"/>
  <c r="Y312" i="50"/>
  <c r="Q312" i="50"/>
  <c r="O312" i="50"/>
  <c r="M312" i="50"/>
  <c r="E312" i="50"/>
  <c r="BY311" i="50"/>
  <c r="BW311" i="50"/>
  <c r="BT311" i="50"/>
  <c r="BQ311" i="50"/>
  <c r="BO311" i="50"/>
  <c r="BN311" i="50"/>
  <c r="BJ311" i="50"/>
  <c r="BI311" i="50"/>
  <c r="Q311" i="50"/>
  <c r="O311" i="50"/>
  <c r="M311" i="50"/>
  <c r="D304" i="50"/>
  <c r="G301" i="50"/>
  <c r="Z300" i="50"/>
  <c r="U300" i="50"/>
  <c r="D300" i="50"/>
  <c r="AA298" i="50"/>
  <c r="Z298" i="50"/>
  <c r="D298" i="50"/>
  <c r="AA297" i="50"/>
  <c r="Z297" i="50"/>
  <c r="D297" i="50"/>
  <c r="Z296" i="50"/>
  <c r="D296" i="50"/>
  <c r="AK295" i="50"/>
  <c r="Z295" i="50"/>
  <c r="D295" i="50"/>
  <c r="H294" i="50"/>
  <c r="BF293" i="50"/>
  <c r="AK293" i="50"/>
  <c r="AC293" i="50"/>
  <c r="AF293" i="50" s="1"/>
  <c r="Z293" i="50"/>
  <c r="V293" i="50"/>
  <c r="V300" i="50" s="1"/>
  <c r="Q293" i="50"/>
  <c r="D293" i="50"/>
  <c r="Q292" i="50"/>
  <c r="M292" i="50"/>
  <c r="K292" i="50"/>
  <c r="I292" i="50"/>
  <c r="G292" i="50"/>
  <c r="F292" i="50"/>
  <c r="BM290" i="50"/>
  <c r="BL290" i="50"/>
  <c r="BK290" i="50"/>
  <c r="Q290" i="50"/>
  <c r="E290" i="50"/>
  <c r="CC288" i="50"/>
  <c r="CB288" i="50"/>
  <c r="CA288" i="50"/>
  <c r="BY288" i="50"/>
  <c r="BW288" i="50"/>
  <c r="BV288" i="50"/>
  <c r="BU288" i="50"/>
  <c r="BT288" i="50"/>
  <c r="BS288" i="50"/>
  <c r="BR288" i="50"/>
  <c r="BQ288" i="50"/>
  <c r="BP288" i="50"/>
  <c r="BO288" i="50"/>
  <c r="BN288" i="50"/>
  <c r="BM288" i="50"/>
  <c r="BL288" i="50"/>
  <c r="BK288" i="50"/>
  <c r="BJ288" i="50"/>
  <c r="Y288" i="50"/>
  <c r="Q288" i="50"/>
  <c r="O288" i="50"/>
  <c r="M288" i="50"/>
  <c r="E288" i="50"/>
  <c r="BY287" i="50"/>
  <c r="BW287" i="50"/>
  <c r="BT287" i="50"/>
  <c r="BQ287" i="50"/>
  <c r="BO287" i="50"/>
  <c r="BN287" i="50"/>
  <c r="BJ287" i="50"/>
  <c r="BI287" i="50"/>
  <c r="Q287" i="50"/>
  <c r="O287" i="50"/>
  <c r="M287" i="50"/>
  <c r="D280" i="50"/>
  <c r="G277" i="50"/>
  <c r="Z276" i="50"/>
  <c r="U276" i="50"/>
  <c r="D276" i="50"/>
  <c r="AA274" i="50"/>
  <c r="Z274" i="50"/>
  <c r="D274" i="50"/>
  <c r="AA273" i="50"/>
  <c r="Z273" i="50"/>
  <c r="D273" i="50"/>
  <c r="Z272" i="50"/>
  <c r="D272" i="50"/>
  <c r="AK271" i="50"/>
  <c r="Z271" i="50"/>
  <c r="D271" i="50"/>
  <c r="H270" i="50"/>
  <c r="BF269" i="50"/>
  <c r="AK269" i="50"/>
  <c r="AC269" i="50"/>
  <c r="Z269" i="50"/>
  <c r="V269" i="50"/>
  <c r="V276" i="50" s="1"/>
  <c r="Q269" i="50"/>
  <c r="D269" i="50"/>
  <c r="Q268" i="50"/>
  <c r="M268" i="50"/>
  <c r="K268" i="50"/>
  <c r="I268" i="50"/>
  <c r="G268" i="50"/>
  <c r="F268" i="50"/>
  <c r="BM266" i="50"/>
  <c r="BL266" i="50"/>
  <c r="BK266" i="50"/>
  <c r="Q266" i="50"/>
  <c r="E266" i="50"/>
  <c r="CC264" i="50"/>
  <c r="CB264" i="50"/>
  <c r="CA264" i="50"/>
  <c r="BY264" i="50"/>
  <c r="BW264" i="50"/>
  <c r="BV264" i="50"/>
  <c r="BU264" i="50"/>
  <c r="BT264" i="50"/>
  <c r="BS264" i="50"/>
  <c r="BR264" i="50"/>
  <c r="BQ264" i="50"/>
  <c r="BP264" i="50"/>
  <c r="BO264" i="50"/>
  <c r="BN264" i="50"/>
  <c r="BM264" i="50"/>
  <c r="BL264" i="50"/>
  <c r="BK264" i="50"/>
  <c r="BJ264" i="50"/>
  <c r="Y264" i="50"/>
  <c r="Q264" i="50"/>
  <c r="O264" i="50"/>
  <c r="M264" i="50"/>
  <c r="E264" i="50"/>
  <c r="BY263" i="50"/>
  <c r="BW263" i="50"/>
  <c r="BT263" i="50"/>
  <c r="BQ263" i="50"/>
  <c r="BO263" i="50"/>
  <c r="BN263" i="50"/>
  <c r="BJ263" i="50"/>
  <c r="BI263" i="50"/>
  <c r="Q263" i="50"/>
  <c r="O263" i="50"/>
  <c r="M263" i="50"/>
  <c r="D256" i="50"/>
  <c r="G253" i="50"/>
  <c r="Z252" i="50"/>
  <c r="U252" i="50"/>
  <c r="D252" i="50"/>
  <c r="AA250" i="50"/>
  <c r="Z250" i="50"/>
  <c r="D250" i="50"/>
  <c r="AA249" i="50"/>
  <c r="Z249" i="50"/>
  <c r="D249" i="50"/>
  <c r="Z248" i="50"/>
  <c r="D248" i="50"/>
  <c r="AK247" i="50"/>
  <c r="Z247" i="50"/>
  <c r="D247" i="50"/>
  <c r="H246" i="50"/>
  <c r="BF245" i="50"/>
  <c r="AK245" i="50"/>
  <c r="AC245" i="50"/>
  <c r="Z245" i="50"/>
  <c r="V245" i="50"/>
  <c r="V252" i="50" s="1"/>
  <c r="Q245" i="50"/>
  <c r="D245" i="50"/>
  <c r="Q244" i="50"/>
  <c r="M244" i="50"/>
  <c r="K244" i="50"/>
  <c r="I244" i="50"/>
  <c r="G244" i="50"/>
  <c r="F244" i="50"/>
  <c r="BM242" i="50"/>
  <c r="BL242" i="50"/>
  <c r="BK242" i="50"/>
  <c r="Q242" i="50"/>
  <c r="E242" i="50"/>
  <c r="CC240" i="50"/>
  <c r="CB240" i="50"/>
  <c r="CA240" i="50"/>
  <c r="BY240" i="50"/>
  <c r="BW240" i="50"/>
  <c r="BV240" i="50"/>
  <c r="BU240" i="50"/>
  <c r="BT240" i="50"/>
  <c r="BS240" i="50"/>
  <c r="BR240" i="50"/>
  <c r="BQ240" i="50"/>
  <c r="BP240" i="50"/>
  <c r="BO240" i="50"/>
  <c r="BN240" i="50"/>
  <c r="BM240" i="50"/>
  <c r="BL240" i="50"/>
  <c r="BK240" i="50"/>
  <c r="BJ240" i="50"/>
  <c r="Y240" i="50"/>
  <c r="Q240" i="50"/>
  <c r="O240" i="50"/>
  <c r="M240" i="50"/>
  <c r="E240" i="50"/>
  <c r="BY239" i="50"/>
  <c r="BW239" i="50"/>
  <c r="BT239" i="50"/>
  <c r="BQ239" i="50"/>
  <c r="BO239" i="50"/>
  <c r="BN239" i="50"/>
  <c r="BJ239" i="50"/>
  <c r="BI239" i="50"/>
  <c r="Q239" i="50"/>
  <c r="O239" i="50"/>
  <c r="M239" i="50"/>
  <c r="D232" i="50"/>
  <c r="G229" i="50"/>
  <c r="Z228" i="50"/>
  <c r="U228" i="50"/>
  <c r="D228" i="50"/>
  <c r="AA226" i="50"/>
  <c r="Z226" i="50"/>
  <c r="D226" i="50"/>
  <c r="AA225" i="50"/>
  <c r="Z225" i="50"/>
  <c r="D225" i="50"/>
  <c r="Z224" i="50"/>
  <c r="D224" i="50"/>
  <c r="AK223" i="50"/>
  <c r="Z223" i="50"/>
  <c r="D223" i="50"/>
  <c r="H222" i="50"/>
  <c r="BF221" i="50"/>
  <c r="AK221" i="50"/>
  <c r="AC221" i="50"/>
  <c r="AF221" i="50" s="1"/>
  <c r="Z221" i="50"/>
  <c r="V221" i="50"/>
  <c r="V228" i="50" s="1"/>
  <c r="Q221" i="50"/>
  <c r="D221" i="50"/>
  <c r="Q220" i="50"/>
  <c r="M220" i="50"/>
  <c r="K220" i="50"/>
  <c r="I220" i="50"/>
  <c r="G220" i="50"/>
  <c r="F220" i="50"/>
  <c r="BM218" i="50"/>
  <c r="BL218" i="50"/>
  <c r="BK218" i="50"/>
  <c r="Q218" i="50"/>
  <c r="E218" i="50"/>
  <c r="CC216" i="50"/>
  <c r="CB216" i="50"/>
  <c r="CA216" i="50"/>
  <c r="BY216" i="50"/>
  <c r="BW216" i="50"/>
  <c r="BV216" i="50"/>
  <c r="BU216" i="50"/>
  <c r="BT216" i="50"/>
  <c r="BS216" i="50"/>
  <c r="BR216" i="50"/>
  <c r="BQ216" i="50"/>
  <c r="BP216" i="50"/>
  <c r="BO216" i="50"/>
  <c r="BN216" i="50"/>
  <c r="BM216" i="50"/>
  <c r="BL216" i="50"/>
  <c r="BK216" i="50"/>
  <c r="BJ216" i="50"/>
  <c r="Y216" i="50"/>
  <c r="Q216" i="50"/>
  <c r="O216" i="50"/>
  <c r="M216" i="50"/>
  <c r="E216" i="50"/>
  <c r="N215" i="50" s="1"/>
  <c r="CA215" i="50" s="1"/>
  <c r="BY215" i="50"/>
  <c r="BW215" i="50"/>
  <c r="BT215" i="50"/>
  <c r="BQ215" i="50"/>
  <c r="BO215" i="50"/>
  <c r="BN215" i="50"/>
  <c r="BJ215" i="50"/>
  <c r="BI215" i="50"/>
  <c r="Q215" i="50"/>
  <c r="O215" i="50"/>
  <c r="M215" i="50"/>
  <c r="D208" i="50"/>
  <c r="G205" i="50"/>
  <c r="Z204" i="50"/>
  <c r="U204" i="50"/>
  <c r="D204" i="50"/>
  <c r="AA202" i="50"/>
  <c r="Z202" i="50"/>
  <c r="D202" i="50"/>
  <c r="AA201" i="50"/>
  <c r="Z201" i="50"/>
  <c r="D201" i="50"/>
  <c r="Z200" i="50"/>
  <c r="D200" i="50"/>
  <c r="AK199" i="50"/>
  <c r="Z199" i="50"/>
  <c r="D199" i="50"/>
  <c r="H198" i="50"/>
  <c r="BF197" i="50"/>
  <c r="AK197" i="50"/>
  <c r="AC197" i="50"/>
  <c r="Z197" i="50"/>
  <c r="V197" i="50"/>
  <c r="V204" i="50" s="1"/>
  <c r="Q197" i="50"/>
  <c r="D197" i="50"/>
  <c r="Q196" i="50"/>
  <c r="M196" i="50"/>
  <c r="K196" i="50"/>
  <c r="I196" i="50"/>
  <c r="G196" i="50"/>
  <c r="F196" i="50"/>
  <c r="BM194" i="50"/>
  <c r="BL194" i="50"/>
  <c r="BK194" i="50"/>
  <c r="Q194" i="50"/>
  <c r="E194" i="50"/>
  <c r="CC192" i="50"/>
  <c r="CB192" i="50"/>
  <c r="CA192" i="50"/>
  <c r="BY192" i="50"/>
  <c r="BW192" i="50"/>
  <c r="BV192" i="50"/>
  <c r="BU192" i="50"/>
  <c r="BT192" i="50"/>
  <c r="BS192" i="50"/>
  <c r="BR192" i="50"/>
  <c r="BQ192" i="50"/>
  <c r="BP192" i="50"/>
  <c r="BO192" i="50"/>
  <c r="BN192" i="50"/>
  <c r="BM192" i="50"/>
  <c r="BL192" i="50"/>
  <c r="BK192" i="50"/>
  <c r="BJ192" i="50"/>
  <c r="Y192" i="50"/>
  <c r="Q192" i="50"/>
  <c r="O192" i="50"/>
  <c r="M192" i="50"/>
  <c r="E192" i="50"/>
  <c r="T199" i="50" s="1"/>
  <c r="BY191" i="50"/>
  <c r="BW191" i="50"/>
  <c r="BT191" i="50"/>
  <c r="BQ191" i="50"/>
  <c r="BO191" i="50"/>
  <c r="BN191" i="50"/>
  <c r="BJ191" i="50"/>
  <c r="BI191" i="50"/>
  <c r="Q191" i="50"/>
  <c r="O191" i="50"/>
  <c r="M191" i="50"/>
  <c r="D184" i="50"/>
  <c r="G181" i="50"/>
  <c r="Z180" i="50"/>
  <c r="U180" i="50"/>
  <c r="D180" i="50"/>
  <c r="AA178" i="50"/>
  <c r="Z178" i="50"/>
  <c r="D178" i="50"/>
  <c r="AA177" i="50"/>
  <c r="Z177" i="50"/>
  <c r="D177" i="50"/>
  <c r="Z176" i="50"/>
  <c r="D176" i="50"/>
  <c r="AK175" i="50"/>
  <c r="Z175" i="50"/>
  <c r="D175" i="50"/>
  <c r="H174" i="50"/>
  <c r="BF173" i="50"/>
  <c r="AK173" i="50"/>
  <c r="AC173" i="50"/>
  <c r="AI173" i="50" s="1"/>
  <c r="Z173" i="50"/>
  <c r="V173" i="50"/>
  <c r="V180" i="50" s="1"/>
  <c r="Q173" i="50"/>
  <c r="D173" i="50"/>
  <c r="Q172" i="50"/>
  <c r="M172" i="50"/>
  <c r="K172" i="50"/>
  <c r="I172" i="50"/>
  <c r="G172" i="50"/>
  <c r="F172" i="50"/>
  <c r="BM170" i="50"/>
  <c r="BL170" i="50"/>
  <c r="BK170" i="50"/>
  <c r="Q170" i="50"/>
  <c r="E170" i="50"/>
  <c r="CC168" i="50"/>
  <c r="CB168" i="50"/>
  <c r="CA168" i="50"/>
  <c r="BY168" i="50"/>
  <c r="BW168" i="50"/>
  <c r="BV168" i="50"/>
  <c r="BU168" i="50"/>
  <c r="BT168" i="50"/>
  <c r="BS168" i="50"/>
  <c r="BR168" i="50"/>
  <c r="BQ168" i="50"/>
  <c r="BP168" i="50"/>
  <c r="BO168" i="50"/>
  <c r="BN168" i="50"/>
  <c r="BM168" i="50"/>
  <c r="BL168" i="50"/>
  <c r="BK168" i="50"/>
  <c r="BJ168" i="50"/>
  <c r="Y168" i="50"/>
  <c r="Q168" i="50"/>
  <c r="O168" i="50"/>
  <c r="M168" i="50"/>
  <c r="E168" i="50"/>
  <c r="T180" i="50" s="1"/>
  <c r="BY167" i="50"/>
  <c r="BW167" i="50"/>
  <c r="BT167" i="50"/>
  <c r="BQ167" i="50"/>
  <c r="BO167" i="50"/>
  <c r="BN167" i="50"/>
  <c r="BJ167" i="50"/>
  <c r="BI167" i="50"/>
  <c r="Q167" i="50"/>
  <c r="O167" i="50"/>
  <c r="M167" i="50"/>
  <c r="D160" i="50"/>
  <c r="G157" i="50"/>
  <c r="Z156" i="50"/>
  <c r="U156" i="50"/>
  <c r="D156" i="50"/>
  <c r="AA154" i="50"/>
  <c r="Z154" i="50"/>
  <c r="D154" i="50"/>
  <c r="AA153" i="50"/>
  <c r="Z153" i="50"/>
  <c r="D153" i="50"/>
  <c r="Z152" i="50"/>
  <c r="D152" i="50"/>
  <c r="AK151" i="50"/>
  <c r="Z151" i="50"/>
  <c r="D151" i="50"/>
  <c r="H150" i="50"/>
  <c r="BF149" i="50"/>
  <c r="AK149" i="50"/>
  <c r="AC149" i="50"/>
  <c r="Z149" i="50"/>
  <c r="V149" i="50"/>
  <c r="V156" i="50" s="1"/>
  <c r="Q149" i="50"/>
  <c r="D149" i="50"/>
  <c r="Q148" i="50"/>
  <c r="M148" i="50"/>
  <c r="K148" i="50"/>
  <c r="I148" i="50"/>
  <c r="G148" i="50"/>
  <c r="F148" i="50"/>
  <c r="BM146" i="50"/>
  <c r="BL146" i="50"/>
  <c r="BK146" i="50"/>
  <c r="Q146" i="50"/>
  <c r="E146" i="50"/>
  <c r="CC144" i="50"/>
  <c r="CB144" i="50"/>
  <c r="CA144" i="50"/>
  <c r="BY144" i="50"/>
  <c r="BW144" i="50"/>
  <c r="BV144" i="50"/>
  <c r="BU144" i="50"/>
  <c r="BT144" i="50"/>
  <c r="BS144" i="50"/>
  <c r="BR144" i="50"/>
  <c r="BQ144" i="50"/>
  <c r="BP144" i="50"/>
  <c r="BO144" i="50"/>
  <c r="BN144" i="50"/>
  <c r="BM144" i="50"/>
  <c r="BL144" i="50"/>
  <c r="BK144" i="50"/>
  <c r="BJ144" i="50"/>
  <c r="Y144" i="50"/>
  <c r="Q144" i="50"/>
  <c r="O144" i="50"/>
  <c r="M144" i="50"/>
  <c r="E144" i="50"/>
  <c r="T151" i="50" s="1"/>
  <c r="BY143" i="50"/>
  <c r="BW143" i="50"/>
  <c r="BT143" i="50"/>
  <c r="BQ143" i="50"/>
  <c r="BO143" i="50"/>
  <c r="BN143" i="50"/>
  <c r="BJ143" i="50"/>
  <c r="BI143" i="50"/>
  <c r="Q143" i="50"/>
  <c r="O143" i="50"/>
  <c r="M143" i="50"/>
  <c r="D136" i="50"/>
  <c r="G133" i="50"/>
  <c r="D132" i="50"/>
  <c r="AA130" i="50"/>
  <c r="D130" i="50"/>
  <c r="AA129" i="50"/>
  <c r="D129" i="50"/>
  <c r="D128" i="50"/>
  <c r="AK127" i="50"/>
  <c r="D127" i="50"/>
  <c r="H126" i="50"/>
  <c r="BF125" i="50"/>
  <c r="AK125" i="50"/>
  <c r="AC125" i="50"/>
  <c r="Q125" i="50"/>
  <c r="D125" i="50"/>
  <c r="Q124" i="50"/>
  <c r="M124" i="50"/>
  <c r="K124" i="50"/>
  <c r="I124" i="50"/>
  <c r="G124" i="50"/>
  <c r="F124" i="50"/>
  <c r="BM122" i="50"/>
  <c r="BL122" i="50"/>
  <c r="BK122" i="50"/>
  <c r="Q122" i="50"/>
  <c r="CC120" i="50"/>
  <c r="CB120" i="50"/>
  <c r="CA120" i="50"/>
  <c r="BY120" i="50"/>
  <c r="BW120" i="50"/>
  <c r="BV120" i="50"/>
  <c r="BU120" i="50"/>
  <c r="BT120" i="50"/>
  <c r="BS120" i="50"/>
  <c r="BR120" i="50"/>
  <c r="BQ120" i="50"/>
  <c r="BP120" i="50"/>
  <c r="BO120" i="50"/>
  <c r="BN120" i="50"/>
  <c r="BM120" i="50"/>
  <c r="BL120" i="50"/>
  <c r="BK120" i="50"/>
  <c r="BJ120" i="50"/>
  <c r="Y120" i="50"/>
  <c r="Q120" i="50"/>
  <c r="O120" i="50"/>
  <c r="M120" i="50"/>
  <c r="BY119" i="50"/>
  <c r="BW119" i="50"/>
  <c r="BT119" i="50"/>
  <c r="BQ119" i="50"/>
  <c r="BO119" i="50"/>
  <c r="BN119" i="50"/>
  <c r="BJ119" i="50"/>
  <c r="BI119" i="50"/>
  <c r="Q119" i="50"/>
  <c r="O119" i="50"/>
  <c r="M119" i="50"/>
  <c r="D112" i="50"/>
  <c r="G109" i="50"/>
  <c r="D108" i="50"/>
  <c r="AA106" i="50"/>
  <c r="Z106" i="50"/>
  <c r="D106" i="50"/>
  <c r="AA105" i="50"/>
  <c r="D105" i="50"/>
  <c r="D104" i="50"/>
  <c r="AK103" i="50"/>
  <c r="D103" i="50"/>
  <c r="H102" i="50"/>
  <c r="BF101" i="50"/>
  <c r="AK101" i="50"/>
  <c r="AC101" i="50"/>
  <c r="Q101" i="50"/>
  <c r="D101" i="50"/>
  <c r="Q100" i="50"/>
  <c r="M100" i="50"/>
  <c r="K100" i="50"/>
  <c r="I100" i="50"/>
  <c r="G100" i="50"/>
  <c r="F100" i="50"/>
  <c r="BM98" i="50"/>
  <c r="BL98" i="50"/>
  <c r="BK98" i="50"/>
  <c r="Q98" i="50"/>
  <c r="E98" i="50"/>
  <c r="CC96" i="50"/>
  <c r="CB96" i="50"/>
  <c r="CA96" i="50"/>
  <c r="BY96" i="50"/>
  <c r="BW96" i="50"/>
  <c r="BV96" i="50"/>
  <c r="BU96" i="50"/>
  <c r="BT96" i="50"/>
  <c r="BS96" i="50"/>
  <c r="BR96" i="50"/>
  <c r="BQ96" i="50"/>
  <c r="BP96" i="50"/>
  <c r="BO96" i="50"/>
  <c r="BN96" i="50"/>
  <c r="BM96" i="50"/>
  <c r="BL96" i="50"/>
  <c r="BK96" i="50"/>
  <c r="BJ96" i="50"/>
  <c r="Y96" i="50"/>
  <c r="Q96" i="50"/>
  <c r="O96" i="50"/>
  <c r="M96" i="50"/>
  <c r="BY95" i="50"/>
  <c r="BW95" i="50"/>
  <c r="BT95" i="50"/>
  <c r="BQ95" i="50"/>
  <c r="BO95" i="50"/>
  <c r="BN95" i="50"/>
  <c r="BJ95" i="50"/>
  <c r="BI95" i="50"/>
  <c r="Q95" i="50"/>
  <c r="O95" i="50"/>
  <c r="M95" i="50"/>
  <c r="C71" i="50"/>
  <c r="C95" i="50" s="1"/>
  <c r="D88" i="50"/>
  <c r="D84" i="50"/>
  <c r="AA82" i="50"/>
  <c r="Z82" i="50"/>
  <c r="D82" i="50"/>
  <c r="AA81" i="50"/>
  <c r="Z81" i="50"/>
  <c r="D81" i="50"/>
  <c r="D80" i="50"/>
  <c r="AK79" i="50"/>
  <c r="D79" i="50"/>
  <c r="H78" i="50"/>
  <c r="BF77" i="50"/>
  <c r="AK77" i="50"/>
  <c r="AC77" i="50"/>
  <c r="Q77" i="50"/>
  <c r="D77" i="50"/>
  <c r="Q76" i="50"/>
  <c r="M76" i="50"/>
  <c r="K76" i="50"/>
  <c r="I76" i="50"/>
  <c r="G76" i="50"/>
  <c r="F76" i="50"/>
  <c r="BM74" i="50"/>
  <c r="BL74" i="50"/>
  <c r="BK74" i="50"/>
  <c r="Q74" i="50"/>
  <c r="E74" i="50"/>
  <c r="CC72" i="50"/>
  <c r="CB72" i="50"/>
  <c r="CA72" i="50"/>
  <c r="BY72" i="50"/>
  <c r="BW72" i="50"/>
  <c r="BV72" i="50"/>
  <c r="BU72" i="50"/>
  <c r="BT72" i="50"/>
  <c r="BS72" i="50"/>
  <c r="BR72" i="50"/>
  <c r="BQ72" i="50"/>
  <c r="BP72" i="50"/>
  <c r="BO72" i="50"/>
  <c r="BN72" i="50"/>
  <c r="BM72" i="50"/>
  <c r="BL72" i="50"/>
  <c r="BK72" i="50"/>
  <c r="BJ72" i="50"/>
  <c r="Y72" i="50"/>
  <c r="Q72" i="50"/>
  <c r="O72" i="50"/>
  <c r="M72" i="50"/>
  <c r="BY71" i="50"/>
  <c r="BW71" i="50"/>
  <c r="BT71" i="50"/>
  <c r="BQ71" i="50"/>
  <c r="BO71" i="50"/>
  <c r="BN71" i="50"/>
  <c r="BJ71" i="50"/>
  <c r="BI71" i="50"/>
  <c r="Q71" i="50"/>
  <c r="O71" i="50"/>
  <c r="M71" i="50"/>
  <c r="E92" i="50"/>
  <c r="CG90" i="50"/>
  <c r="CG92" i="50" s="1"/>
  <c r="B201" i="52"/>
  <c r="S61" i="43"/>
  <c r="S62" i="43"/>
  <c r="S63" i="43"/>
  <c r="S64" i="43"/>
  <c r="S65" i="43"/>
  <c r="S66" i="43"/>
  <c r="S67" i="43"/>
  <c r="S68" i="43"/>
  <c r="S69" i="43"/>
  <c r="S70" i="43"/>
  <c r="S71" i="43"/>
  <c r="S72" i="43"/>
  <c r="S73" i="43"/>
  <c r="S74" i="43"/>
  <c r="S75" i="43"/>
  <c r="S76" i="43"/>
  <c r="AD12" i="60"/>
  <c r="K23" i="57"/>
  <c r="K22" i="57"/>
  <c r="K21" i="57"/>
  <c r="I23" i="57"/>
  <c r="I22" i="57"/>
  <c r="I21" i="57"/>
  <c r="G23" i="57"/>
  <c r="G22" i="57"/>
  <c r="G21" i="57"/>
  <c r="X58" i="43"/>
  <c r="X59" i="43"/>
  <c r="X60" i="43"/>
  <c r="X61" i="43"/>
  <c r="X62" i="43"/>
  <c r="X63" i="43"/>
  <c r="X64" i="43"/>
  <c r="X65" i="43"/>
  <c r="X66" i="43"/>
  <c r="X67" i="43"/>
  <c r="X68" i="43"/>
  <c r="X69" i="43"/>
  <c r="X70" i="43"/>
  <c r="X71" i="43"/>
  <c r="X72" i="43"/>
  <c r="X73" i="43"/>
  <c r="X74" i="43"/>
  <c r="X75" i="43"/>
  <c r="X76" i="43"/>
  <c r="X57" i="43"/>
  <c r="G120" i="43"/>
  <c r="S17" i="57"/>
  <c r="R17" i="57"/>
  <c r="Q17" i="57"/>
  <c r="P17" i="57"/>
  <c r="O17" i="57"/>
  <c r="K17" i="57"/>
  <c r="J17" i="57"/>
  <c r="I17" i="57"/>
  <c r="H17" i="57"/>
  <c r="G17" i="57"/>
  <c r="R16" i="57"/>
  <c r="P16" i="57"/>
  <c r="O16" i="57"/>
  <c r="J16" i="57"/>
  <c r="H16" i="57"/>
  <c r="B203" i="52"/>
  <c r="B202" i="52"/>
  <c r="B200" i="52"/>
  <c r="B199" i="52"/>
  <c r="B198" i="52"/>
  <c r="B197" i="52"/>
  <c r="B196" i="52"/>
  <c r="B195" i="52"/>
  <c r="G55" i="52"/>
  <c r="B42" i="52"/>
  <c r="B41" i="52"/>
  <c r="B40" i="52"/>
  <c r="I75" i="65" s="1"/>
  <c r="B39" i="52"/>
  <c r="C19" i="52"/>
  <c r="B19" i="52"/>
  <c r="C18" i="52"/>
  <c r="B18" i="52"/>
  <c r="B16" i="52"/>
  <c r="A143" i="52" s="1"/>
  <c r="B13" i="52"/>
  <c r="A126" i="52" s="1"/>
  <c r="B10" i="52"/>
  <c r="AE367" i="50" s="1"/>
  <c r="B9" i="52"/>
  <c r="AG12" i="60"/>
  <c r="AF12" i="60"/>
  <c r="AE12" i="60"/>
  <c r="AC12" i="60"/>
  <c r="AB12" i="60"/>
  <c r="AA12" i="60"/>
  <c r="Z12" i="60"/>
  <c r="Y12" i="60"/>
  <c r="X12" i="60"/>
  <c r="V12" i="60"/>
  <c r="U12" i="60"/>
  <c r="T12" i="60"/>
  <c r="S12" i="60"/>
  <c r="R12" i="60"/>
  <c r="Q12" i="60"/>
  <c r="P12" i="60"/>
  <c r="O12" i="60"/>
  <c r="N12" i="60"/>
  <c r="M12" i="60"/>
  <c r="L12" i="60"/>
  <c r="K12" i="60"/>
  <c r="J12" i="60"/>
  <c r="I12" i="60"/>
  <c r="H12" i="60"/>
  <c r="G12" i="60"/>
  <c r="E12" i="60"/>
  <c r="D12" i="60"/>
  <c r="X11" i="60"/>
  <c r="V11" i="60"/>
  <c r="S11" i="60"/>
  <c r="P11" i="60"/>
  <c r="M11" i="60"/>
  <c r="I11" i="60"/>
  <c r="E6" i="60"/>
  <c r="C3" i="60"/>
  <c r="L51" i="62"/>
  <c r="K51" i="62"/>
  <c r="J51" i="62"/>
  <c r="I51" i="62"/>
  <c r="H51" i="62"/>
  <c r="G51" i="62"/>
  <c r="F51" i="62"/>
  <c r="E51" i="62"/>
  <c r="L29" i="62"/>
  <c r="K29" i="62"/>
  <c r="J29" i="62"/>
  <c r="L28" i="62"/>
  <c r="K28" i="62"/>
  <c r="J28" i="62"/>
  <c r="I28" i="62"/>
  <c r="H28" i="62"/>
  <c r="E26" i="62"/>
  <c r="E24" i="62"/>
  <c r="L22" i="62"/>
  <c r="K22" i="62"/>
  <c r="J22" i="62"/>
  <c r="I22" i="62"/>
  <c r="H22" i="62"/>
  <c r="L14" i="62"/>
  <c r="K14" i="62"/>
  <c r="J14" i="62"/>
  <c r="I14" i="62"/>
  <c r="H14" i="62"/>
  <c r="E14" i="62"/>
  <c r="E12" i="62"/>
  <c r="E11" i="62"/>
  <c r="E10" i="62"/>
  <c r="J8" i="62"/>
  <c r="C6" i="62"/>
  <c r="E2" i="62"/>
  <c r="B2" i="62"/>
  <c r="E28" i="26"/>
  <c r="C28" i="26"/>
  <c r="C26" i="26"/>
  <c r="C25" i="26"/>
  <c r="C23" i="26"/>
  <c r="E11" i="26"/>
  <c r="C11" i="26"/>
  <c r="C9" i="26"/>
  <c r="C7" i="26"/>
  <c r="B5" i="26"/>
  <c r="A1" i="26"/>
  <c r="M107" i="65"/>
  <c r="I107" i="65"/>
  <c r="M76" i="65"/>
  <c r="K76" i="65"/>
  <c r="I76" i="65"/>
  <c r="G76" i="65"/>
  <c r="M75" i="65"/>
  <c r="K75" i="65"/>
  <c r="E75" i="65"/>
  <c r="H73" i="65"/>
  <c r="D71" i="65"/>
  <c r="Q71" i="65" s="1"/>
  <c r="M47" i="65"/>
  <c r="K47" i="65"/>
  <c r="I47" i="65"/>
  <c r="G47" i="65"/>
  <c r="M46" i="65"/>
  <c r="E19" i="65" s="1"/>
  <c r="K46" i="65"/>
  <c r="E18" i="65" s="1"/>
  <c r="E46" i="65"/>
  <c r="H44" i="65"/>
  <c r="D42" i="65"/>
  <c r="Q42" i="65" s="1"/>
  <c r="F40" i="65"/>
  <c r="M34" i="65"/>
  <c r="K35" i="65" s="1"/>
  <c r="K34" i="65"/>
  <c r="I34" i="65"/>
  <c r="G34" i="65"/>
  <c r="M33" i="65"/>
  <c r="K33" i="65"/>
  <c r="F32" i="65"/>
  <c r="F31" i="65"/>
  <c r="F30" i="65"/>
  <c r="E28" i="65"/>
  <c r="E27" i="65"/>
  <c r="M26" i="65"/>
  <c r="K26" i="65"/>
  <c r="I26" i="65"/>
  <c r="G26" i="65"/>
  <c r="M25" i="65"/>
  <c r="K25" i="65"/>
  <c r="I25" i="65"/>
  <c r="G25" i="65"/>
  <c r="F24" i="65"/>
  <c r="F23" i="65"/>
  <c r="E22" i="65"/>
  <c r="E21" i="65"/>
  <c r="F19" i="65"/>
  <c r="F18" i="65"/>
  <c r="F17" i="65"/>
  <c r="F16" i="65"/>
  <c r="E15" i="65"/>
  <c r="E13" i="65"/>
  <c r="E12" i="65"/>
  <c r="E11" i="65"/>
  <c r="E10" i="65"/>
  <c r="D8" i="65"/>
  <c r="Q8" i="65" s="1"/>
  <c r="C6" i="65"/>
  <c r="B2" i="65"/>
  <c r="M47" i="63"/>
  <c r="N18" i="63"/>
  <c r="J18" i="63"/>
  <c r="I18" i="63"/>
  <c r="H18" i="63"/>
  <c r="D18" i="63"/>
  <c r="F16" i="63"/>
  <c r="F15" i="63"/>
  <c r="E15" i="63"/>
  <c r="F14" i="63"/>
  <c r="F13" i="63"/>
  <c r="E13" i="63"/>
  <c r="F12" i="63"/>
  <c r="E12" i="63"/>
  <c r="F11" i="63"/>
  <c r="E11" i="63"/>
  <c r="E10" i="63"/>
  <c r="D8" i="63"/>
  <c r="C6" i="63"/>
  <c r="E2" i="63"/>
  <c r="B2" i="63"/>
  <c r="M120" i="43"/>
  <c r="I120" i="43"/>
  <c r="N80" i="43"/>
  <c r="M80" i="43"/>
  <c r="L80" i="43"/>
  <c r="K80" i="43"/>
  <c r="J80" i="43"/>
  <c r="I80" i="43"/>
  <c r="H80" i="43"/>
  <c r="F80" i="43"/>
  <c r="E78" i="43"/>
  <c r="H56" i="43"/>
  <c r="E56" i="43"/>
  <c r="D56" i="43"/>
  <c r="H55" i="43"/>
  <c r="D55" i="43"/>
  <c r="S54" i="43"/>
  <c r="M54" i="43"/>
  <c r="L54" i="43"/>
  <c r="K54" i="43"/>
  <c r="H54" i="43"/>
  <c r="E53" i="43"/>
  <c r="E52" i="43"/>
  <c r="E51" i="43"/>
  <c r="J29" i="43"/>
  <c r="G29" i="43"/>
  <c r="F56" i="43" s="1"/>
  <c r="D29" i="43"/>
  <c r="G28" i="43"/>
  <c r="F55" i="43" s="1"/>
  <c r="D28" i="43"/>
  <c r="J27" i="43"/>
  <c r="F27" i="43"/>
  <c r="E27" i="43"/>
  <c r="E26" i="43"/>
  <c r="E25" i="43"/>
  <c r="F23" i="43"/>
  <c r="E23" i="43"/>
  <c r="F22" i="43"/>
  <c r="E22" i="43"/>
  <c r="F21" i="43"/>
  <c r="E21" i="43"/>
  <c r="F20" i="43"/>
  <c r="E20" i="43"/>
  <c r="F19" i="43"/>
  <c r="E19" i="43"/>
  <c r="F17" i="43"/>
  <c r="E17" i="43"/>
  <c r="F16" i="43"/>
  <c r="E16" i="43"/>
  <c r="E15" i="43"/>
  <c r="F13" i="43"/>
  <c r="E13" i="43"/>
  <c r="F12" i="43"/>
  <c r="E12" i="43"/>
  <c r="F11" i="43"/>
  <c r="E11" i="43"/>
  <c r="E10" i="43"/>
  <c r="Q8" i="43"/>
  <c r="D8" i="43"/>
  <c r="C6" i="43"/>
  <c r="B2" i="43"/>
  <c r="M651" i="50"/>
  <c r="I651" i="50"/>
  <c r="E643" i="50"/>
  <c r="E619" i="50"/>
  <c r="E595" i="50"/>
  <c r="E571" i="50"/>
  <c r="E547" i="50"/>
  <c r="E523" i="50"/>
  <c r="E499" i="50"/>
  <c r="E475" i="50"/>
  <c r="D450" i="50"/>
  <c r="D427" i="50"/>
  <c r="D402" i="50"/>
  <c r="D378" i="50"/>
  <c r="E355" i="50"/>
  <c r="E331" i="50"/>
  <c r="E307" i="50"/>
  <c r="E283" i="50"/>
  <c r="E259" i="50"/>
  <c r="E235" i="50"/>
  <c r="E211" i="50"/>
  <c r="E187" i="50"/>
  <c r="D162" i="50"/>
  <c r="D138" i="50"/>
  <c r="E116" i="50"/>
  <c r="E68" i="50"/>
  <c r="D64" i="50"/>
  <c r="D60" i="50"/>
  <c r="D58" i="50"/>
  <c r="D57" i="50"/>
  <c r="D55" i="50"/>
  <c r="H54" i="50"/>
  <c r="BF53" i="50"/>
  <c r="D53" i="50"/>
  <c r="M52" i="50"/>
  <c r="K52" i="50"/>
  <c r="I52" i="50"/>
  <c r="G52" i="50"/>
  <c r="F52" i="50"/>
  <c r="CC48" i="50"/>
  <c r="CB48" i="50"/>
  <c r="CA48" i="50"/>
  <c r="BY48" i="50"/>
  <c r="BW48" i="50"/>
  <c r="BV48" i="50"/>
  <c r="BU48" i="50"/>
  <c r="BT48" i="50"/>
  <c r="BS48" i="50"/>
  <c r="BR48" i="50"/>
  <c r="BQ48" i="50"/>
  <c r="BP48" i="50"/>
  <c r="BO48" i="50"/>
  <c r="BN48" i="50"/>
  <c r="BM48" i="50"/>
  <c r="BL48" i="50"/>
  <c r="BK48" i="50"/>
  <c r="BJ48" i="50"/>
  <c r="Y48" i="50"/>
  <c r="M48" i="50"/>
  <c r="M47" i="50"/>
  <c r="F44" i="50"/>
  <c r="E44" i="50"/>
  <c r="F37" i="50"/>
  <c r="F22" i="50"/>
  <c r="E22" i="50"/>
  <c r="F16" i="50"/>
  <c r="E16" i="50"/>
  <c r="F15" i="50"/>
  <c r="E15" i="50"/>
  <c r="F14" i="50"/>
  <c r="E14" i="50"/>
  <c r="F13" i="50"/>
  <c r="E13" i="50"/>
  <c r="E12" i="50"/>
  <c r="D10" i="50"/>
  <c r="C8" i="50"/>
  <c r="B2" i="50"/>
  <c r="M99" i="38"/>
  <c r="M98" i="38"/>
  <c r="E98" i="38"/>
  <c r="E95" i="38"/>
  <c r="E94" i="38"/>
  <c r="E93" i="38"/>
  <c r="L66" i="38"/>
  <c r="I66" i="38"/>
  <c r="L65" i="38"/>
  <c r="I65" i="38"/>
  <c r="I64" i="38"/>
  <c r="N63" i="38"/>
  <c r="L63" i="38"/>
  <c r="I63" i="38"/>
  <c r="E61" i="38"/>
  <c r="F59" i="38"/>
  <c r="F57" i="38"/>
  <c r="F55" i="38"/>
  <c r="F53" i="38"/>
  <c r="E52" i="38"/>
  <c r="E51" i="38"/>
  <c r="E32" i="38"/>
  <c r="E30" i="38"/>
  <c r="E13" i="38"/>
  <c r="E12" i="38"/>
  <c r="C6" i="38"/>
  <c r="B2" i="38"/>
  <c r="G4" i="37"/>
  <c r="M3" i="37"/>
  <c r="D14" i="37"/>
  <c r="D13" i="37"/>
  <c r="D12" i="37"/>
  <c r="D9" i="37"/>
  <c r="D7" i="60" s="1"/>
  <c r="C6" i="37"/>
  <c r="B2" i="37"/>
  <c r="D80" i="10"/>
  <c r="D77" i="10"/>
  <c r="G74" i="10"/>
  <c r="D65" i="10"/>
  <c r="D64" i="10"/>
  <c r="D48" i="10"/>
  <c r="D47" i="10"/>
  <c r="D36" i="10"/>
  <c r="D28" i="10"/>
  <c r="D19" i="10"/>
  <c r="D18" i="10"/>
  <c r="D16" i="10"/>
  <c r="D15" i="10"/>
  <c r="D14" i="10"/>
  <c r="D8" i="10"/>
  <c r="C49" i="9"/>
  <c r="C47" i="9"/>
  <c r="C6" i="9"/>
  <c r="G24" i="57"/>
  <c r="I24" i="57"/>
  <c r="K24" i="57"/>
  <c r="S24" i="57"/>
  <c r="B2" i="9"/>
  <c r="M98" i="65"/>
  <c r="M96" i="65"/>
  <c r="M97" i="65" s="1"/>
  <c r="M94" i="65"/>
  <c r="M95" i="65" s="1"/>
  <c r="M92" i="65"/>
  <c r="M93" i="65" s="1"/>
  <c r="M90" i="65"/>
  <c r="M91" i="65" s="1"/>
  <c r="M88" i="65"/>
  <c r="M89" i="65" s="1"/>
  <c r="M86" i="65"/>
  <c r="M87" i="65" s="1"/>
  <c r="M84" i="65"/>
  <c r="M85" i="65" s="1"/>
  <c r="M78" i="65"/>
  <c r="M79" i="65" s="1"/>
  <c r="K97" i="65"/>
  <c r="K95" i="65"/>
  <c r="K93" i="65"/>
  <c r="K91" i="65"/>
  <c r="K89" i="65"/>
  <c r="K87" i="65"/>
  <c r="K85" i="65"/>
  <c r="D79" i="65"/>
  <c r="R77" i="65"/>
  <c r="U77" i="65" s="1"/>
  <c r="K77" i="65"/>
  <c r="F75" i="65"/>
  <c r="A71" i="65"/>
  <c r="M38" i="65"/>
  <c r="D37" i="65"/>
  <c r="M36" i="65"/>
  <c r="K37" i="65" s="1"/>
  <c r="A42" i="65"/>
  <c r="K79" i="65"/>
  <c r="M80" i="65"/>
  <c r="M81" i="65" s="1"/>
  <c r="K68" i="65"/>
  <c r="K66" i="65"/>
  <c r="K64" i="65"/>
  <c r="K62" i="65"/>
  <c r="K60" i="65"/>
  <c r="K58" i="65"/>
  <c r="K56" i="65"/>
  <c r="K48" i="65"/>
  <c r="R48" i="65"/>
  <c r="R49" i="65" s="1"/>
  <c r="W48" i="65" s="1"/>
  <c r="M49" i="65"/>
  <c r="M50" i="65" s="1"/>
  <c r="K50" i="65"/>
  <c r="D50" i="65"/>
  <c r="D52" i="65" s="1"/>
  <c r="A8" i="65"/>
  <c r="T2" i="65"/>
  <c r="S36" i="9" s="1"/>
  <c r="R2" i="65"/>
  <c r="G2" i="65"/>
  <c r="E2" i="65"/>
  <c r="BM50" i="50"/>
  <c r="BK50" i="50"/>
  <c r="BL50" i="50"/>
  <c r="F43" i="50"/>
  <c r="E43" i="50"/>
  <c r="CG642" i="50"/>
  <c r="CG644" i="50" s="1"/>
  <c r="U622" i="50"/>
  <c r="T622" i="50"/>
  <c r="CG618" i="50"/>
  <c r="CG620" i="50" s="1"/>
  <c r="U598" i="50"/>
  <c r="T598" i="50"/>
  <c r="CG594" i="50"/>
  <c r="CG596" i="50" s="1"/>
  <c r="U574" i="50"/>
  <c r="T574" i="50"/>
  <c r="CG570" i="50"/>
  <c r="CG572" i="50" s="1"/>
  <c r="U550" i="50"/>
  <c r="T550" i="50"/>
  <c r="CG546" i="50"/>
  <c r="CG548" i="50" s="1"/>
  <c r="U526" i="50"/>
  <c r="T526" i="50"/>
  <c r="CG522" i="50"/>
  <c r="CG524" i="50" s="1"/>
  <c r="U502" i="50"/>
  <c r="T502" i="50"/>
  <c r="CG498" i="50"/>
  <c r="CG500" i="50" s="1"/>
  <c r="U478" i="50"/>
  <c r="T478" i="50"/>
  <c r="CG474" i="50"/>
  <c r="CG476" i="50" s="1"/>
  <c r="U454" i="50"/>
  <c r="T454" i="50"/>
  <c r="CG450" i="50"/>
  <c r="CG452" i="50" s="1"/>
  <c r="U430" i="50"/>
  <c r="T430" i="50"/>
  <c r="CG426" i="50"/>
  <c r="CG428" i="50" s="1"/>
  <c r="U406" i="50"/>
  <c r="T406" i="50"/>
  <c r="CG402" i="50"/>
  <c r="CG404" i="50" s="1"/>
  <c r="U382" i="50"/>
  <c r="T382" i="50"/>
  <c r="CG378" i="50"/>
  <c r="CG380" i="50" s="1"/>
  <c r="U358" i="50"/>
  <c r="T358" i="50"/>
  <c r="CG354" i="50"/>
  <c r="CG356" i="50" s="1"/>
  <c r="U334" i="50"/>
  <c r="T334" i="50"/>
  <c r="CG330" i="50"/>
  <c r="CG332" i="50" s="1"/>
  <c r="U310" i="50"/>
  <c r="T310" i="50"/>
  <c r="CG306" i="50"/>
  <c r="CG308" i="50" s="1"/>
  <c r="U286" i="50"/>
  <c r="T286" i="50"/>
  <c r="CG282" i="50"/>
  <c r="CG284" i="50" s="1"/>
  <c r="U262" i="50"/>
  <c r="T262" i="50"/>
  <c r="CG258" i="50"/>
  <c r="CG260" i="50" s="1"/>
  <c r="U238" i="50"/>
  <c r="T238" i="50"/>
  <c r="CG234" i="50"/>
  <c r="CG236" i="50" s="1"/>
  <c r="U214" i="50"/>
  <c r="T214" i="50"/>
  <c r="CG210" i="50"/>
  <c r="CG212" i="50" s="1"/>
  <c r="U190" i="50"/>
  <c r="T190" i="50"/>
  <c r="CG186" i="50"/>
  <c r="CG188" i="50" s="1"/>
  <c r="U166" i="50"/>
  <c r="T166" i="50"/>
  <c r="CG162" i="50"/>
  <c r="CG164" i="50" s="1"/>
  <c r="U142" i="50"/>
  <c r="T142" i="50"/>
  <c r="CG138" i="50"/>
  <c r="CG140" i="50" s="1"/>
  <c r="CG114" i="50"/>
  <c r="CG116" i="50" s="1"/>
  <c r="F53" i="62"/>
  <c r="G53" i="62"/>
  <c r="H53" i="62"/>
  <c r="I53" i="62"/>
  <c r="J53" i="62"/>
  <c r="K53" i="62"/>
  <c r="L53" i="62"/>
  <c r="F54" i="62"/>
  <c r="G54" i="62"/>
  <c r="H54" i="62"/>
  <c r="I54" i="62"/>
  <c r="J54" i="62"/>
  <c r="K54" i="62"/>
  <c r="L54" i="62"/>
  <c r="F55" i="62"/>
  <c r="G55" i="62"/>
  <c r="H55" i="62"/>
  <c r="I55" i="62"/>
  <c r="J55" i="62"/>
  <c r="K55" i="62"/>
  <c r="L55" i="62"/>
  <c r="F56" i="62"/>
  <c r="G56" i="62"/>
  <c r="H56" i="62"/>
  <c r="I56" i="62"/>
  <c r="J56" i="62"/>
  <c r="K56" i="62"/>
  <c r="L56" i="62"/>
  <c r="F57" i="62"/>
  <c r="G57" i="62"/>
  <c r="H57" i="62"/>
  <c r="I57" i="62"/>
  <c r="J57" i="62"/>
  <c r="K57" i="62"/>
  <c r="L57" i="62"/>
  <c r="F58" i="62"/>
  <c r="G58" i="62"/>
  <c r="H58" i="62"/>
  <c r="I58" i="62"/>
  <c r="J58" i="62"/>
  <c r="K58" i="62"/>
  <c r="L58" i="62"/>
  <c r="F59" i="62"/>
  <c r="G59" i="62"/>
  <c r="H59" i="62"/>
  <c r="I59" i="62"/>
  <c r="J59" i="62"/>
  <c r="K59" i="62"/>
  <c r="L59" i="62"/>
  <c r="F60" i="62"/>
  <c r="G60" i="62"/>
  <c r="H60" i="62"/>
  <c r="I60" i="62"/>
  <c r="J60" i="62"/>
  <c r="K60" i="62"/>
  <c r="L60" i="62"/>
  <c r="F61" i="62"/>
  <c r="G61" i="62"/>
  <c r="H61" i="62"/>
  <c r="I61" i="62"/>
  <c r="J61" i="62"/>
  <c r="K61" i="62"/>
  <c r="L61" i="62"/>
  <c r="F62" i="62"/>
  <c r="G62" i="62"/>
  <c r="H62" i="62"/>
  <c r="I62" i="62"/>
  <c r="J62" i="62"/>
  <c r="K62" i="62"/>
  <c r="L62" i="62"/>
  <c r="F63" i="62"/>
  <c r="G63" i="62"/>
  <c r="H63" i="62"/>
  <c r="I63" i="62"/>
  <c r="J63" i="62"/>
  <c r="K63" i="62"/>
  <c r="L63" i="62"/>
  <c r="F64" i="62"/>
  <c r="G64" i="62"/>
  <c r="H64" i="62"/>
  <c r="I64" i="62"/>
  <c r="J64" i="62"/>
  <c r="K64" i="62"/>
  <c r="L64" i="62"/>
  <c r="F65" i="62"/>
  <c r="G65" i="62"/>
  <c r="H65" i="62"/>
  <c r="I65" i="62"/>
  <c r="J65" i="62"/>
  <c r="K65" i="62"/>
  <c r="L65" i="62"/>
  <c r="F66" i="62"/>
  <c r="G66" i="62"/>
  <c r="H66" i="62"/>
  <c r="I66" i="62"/>
  <c r="J66" i="62"/>
  <c r="K66" i="62"/>
  <c r="L66" i="62"/>
  <c r="F67" i="62"/>
  <c r="G67" i="62"/>
  <c r="H67" i="62"/>
  <c r="I67" i="62"/>
  <c r="J67" i="62"/>
  <c r="K67" i="62"/>
  <c r="L67" i="62"/>
  <c r="F68" i="62"/>
  <c r="G68" i="62"/>
  <c r="H68" i="62"/>
  <c r="I68" i="62"/>
  <c r="J68" i="62"/>
  <c r="K68" i="62"/>
  <c r="L68" i="62"/>
  <c r="F69" i="62"/>
  <c r="G69" i="62"/>
  <c r="H69" i="62"/>
  <c r="I69" i="62"/>
  <c r="J69" i="62"/>
  <c r="K69" i="62"/>
  <c r="L69" i="62"/>
  <c r="F70" i="62"/>
  <c r="G70" i="62"/>
  <c r="H70" i="62"/>
  <c r="I70" i="62"/>
  <c r="J70" i="62"/>
  <c r="K70" i="62"/>
  <c r="L70" i="62"/>
  <c r="F71" i="62"/>
  <c r="G71" i="62"/>
  <c r="H71" i="62"/>
  <c r="I71" i="62"/>
  <c r="J71" i="62"/>
  <c r="K71" i="62"/>
  <c r="L71" i="62"/>
  <c r="G52" i="62"/>
  <c r="H52" i="62"/>
  <c r="I52" i="62"/>
  <c r="J52" i="62"/>
  <c r="K52" i="62"/>
  <c r="L52" i="62"/>
  <c r="F52" i="62"/>
  <c r="T61" i="43"/>
  <c r="L34" i="62" s="1"/>
  <c r="T62" i="43"/>
  <c r="L35" i="62" s="1"/>
  <c r="T63" i="43"/>
  <c r="L36" i="62" s="1"/>
  <c r="T64" i="43"/>
  <c r="L37" i="62" s="1"/>
  <c r="T65" i="43"/>
  <c r="L38" i="62" s="1"/>
  <c r="T66" i="43"/>
  <c r="L39" i="62" s="1"/>
  <c r="T67" i="43"/>
  <c r="L40" i="62" s="1"/>
  <c r="T68" i="43"/>
  <c r="L41" i="62" s="1"/>
  <c r="T69" i="43"/>
  <c r="L42" i="62" s="1"/>
  <c r="T70" i="43"/>
  <c r="L43" i="62" s="1"/>
  <c r="T71" i="43"/>
  <c r="L44" i="62" s="1"/>
  <c r="T72" i="43"/>
  <c r="L45" i="62" s="1"/>
  <c r="T73" i="43"/>
  <c r="L46" i="62" s="1"/>
  <c r="T74" i="43"/>
  <c r="L47" i="62" s="1"/>
  <c r="T75" i="43"/>
  <c r="L48" i="62" s="1"/>
  <c r="T76" i="43"/>
  <c r="L49" i="62" s="1"/>
  <c r="R61" i="43"/>
  <c r="R62" i="43"/>
  <c r="R63" i="43"/>
  <c r="R64" i="43"/>
  <c r="R65" i="43"/>
  <c r="R66" i="43"/>
  <c r="R67" i="43"/>
  <c r="R68" i="43"/>
  <c r="R69" i="43"/>
  <c r="R70" i="43"/>
  <c r="R71" i="43"/>
  <c r="R72" i="43"/>
  <c r="R73" i="43"/>
  <c r="R74" i="43"/>
  <c r="R75" i="43"/>
  <c r="R76" i="43"/>
  <c r="S3" i="50"/>
  <c r="U3" i="50" s="1"/>
  <c r="W3" i="50" s="1"/>
  <c r="Q4" i="50" s="1"/>
  <c r="S4" i="50" s="1"/>
  <c r="U4" i="50" s="1"/>
  <c r="W4" i="50" s="1"/>
  <c r="Q5" i="50" s="1"/>
  <c r="S5" i="50" s="1"/>
  <c r="U5" i="50" s="1"/>
  <c r="W5" i="50" s="1"/>
  <c r="Q6" i="50" s="1"/>
  <c r="S6" i="50" s="1"/>
  <c r="U6" i="50" s="1"/>
  <c r="W6" i="50" s="1"/>
  <c r="N91" i="38"/>
  <c r="N90" i="38"/>
  <c r="N89" i="38"/>
  <c r="N88" i="38"/>
  <c r="N87" i="38"/>
  <c r="N86" i="38"/>
  <c r="N85" i="38"/>
  <c r="N84" i="38"/>
  <c r="N83" i="38"/>
  <c r="N82" i="38"/>
  <c r="N81" i="38"/>
  <c r="N80" i="38"/>
  <c r="N79" i="38"/>
  <c r="N78" i="38"/>
  <c r="N77" i="38"/>
  <c r="N76" i="38"/>
  <c r="N75" i="38"/>
  <c r="T52" i="57"/>
  <c r="T48" i="57"/>
  <c r="T40" i="57"/>
  <c r="T39" i="57"/>
  <c r="T35" i="57"/>
  <c r="K52" i="57"/>
  <c r="I52" i="57"/>
  <c r="S52" i="57"/>
  <c r="S51" i="57"/>
  <c r="S50" i="57"/>
  <c r="S49" i="57"/>
  <c r="S48" i="57"/>
  <c r="S47" i="57"/>
  <c r="S46" i="57"/>
  <c r="S45" i="57"/>
  <c r="S44" i="57"/>
  <c r="S40" i="57"/>
  <c r="S39" i="57"/>
  <c r="S38" i="57"/>
  <c r="S37" i="57"/>
  <c r="S36" i="57"/>
  <c r="S35" i="57"/>
  <c r="S34" i="57"/>
  <c r="S33" i="57"/>
  <c r="S32" i="57"/>
  <c r="S31" i="57"/>
  <c r="S30" i="57"/>
  <c r="S29" i="57"/>
  <c r="S28" i="57"/>
  <c r="S27" i="57"/>
  <c r="S20" i="57"/>
  <c r="S26" i="57"/>
  <c r="S25" i="57"/>
  <c r="G47" i="57"/>
  <c r="G46" i="57"/>
  <c r="G45" i="57"/>
  <c r="G44" i="57"/>
  <c r="G40" i="57"/>
  <c r="G39" i="57"/>
  <c r="G38" i="57"/>
  <c r="G37" i="57"/>
  <c r="G36" i="57"/>
  <c r="G35" i="57"/>
  <c r="G34" i="57"/>
  <c r="G33" i="57"/>
  <c r="G31" i="57"/>
  <c r="G30" i="57"/>
  <c r="G29" i="57"/>
  <c r="G28" i="57"/>
  <c r="G27" i="57"/>
  <c r="G20" i="57"/>
  <c r="G26" i="57"/>
  <c r="G25" i="57"/>
  <c r="K51" i="57"/>
  <c r="K50" i="57"/>
  <c r="K49" i="57"/>
  <c r="K48" i="57"/>
  <c r="K47" i="57"/>
  <c r="K46" i="57"/>
  <c r="K45" i="57"/>
  <c r="K44" i="57"/>
  <c r="K40" i="57"/>
  <c r="K39" i="57"/>
  <c r="K38" i="57"/>
  <c r="K37" i="57"/>
  <c r="K36" i="57"/>
  <c r="K35" i="57"/>
  <c r="K34" i="57"/>
  <c r="K33" i="57"/>
  <c r="K32" i="57"/>
  <c r="K31" i="57"/>
  <c r="K30" i="57"/>
  <c r="K29" i="57"/>
  <c r="K28" i="57"/>
  <c r="K27" i="57"/>
  <c r="K20" i="57"/>
  <c r="K26" i="57"/>
  <c r="K25" i="57"/>
  <c r="I51" i="57"/>
  <c r="I50" i="57"/>
  <c r="I49" i="57"/>
  <c r="I48" i="57"/>
  <c r="I47" i="57"/>
  <c r="I46" i="57"/>
  <c r="I45" i="57"/>
  <c r="I44" i="57"/>
  <c r="I40" i="57"/>
  <c r="I39" i="57"/>
  <c r="I38" i="57"/>
  <c r="I37" i="57"/>
  <c r="I36" i="57"/>
  <c r="I35" i="57"/>
  <c r="I34" i="57"/>
  <c r="I33" i="57"/>
  <c r="I32" i="57"/>
  <c r="I31" i="57"/>
  <c r="I30" i="57"/>
  <c r="I29" i="57"/>
  <c r="I28" i="57"/>
  <c r="I27" i="57"/>
  <c r="I20" i="57"/>
  <c r="I26" i="57"/>
  <c r="I25" i="57"/>
  <c r="T34" i="57"/>
  <c r="F100" i="43"/>
  <c r="E71" i="62" s="1"/>
  <c r="E100" i="43"/>
  <c r="X100" i="43" s="1"/>
  <c r="F99" i="43"/>
  <c r="E70" i="62" s="1"/>
  <c r="E99" i="43"/>
  <c r="X99" i="43" s="1"/>
  <c r="F98" i="43"/>
  <c r="E69" i="62" s="1"/>
  <c r="E98" i="43"/>
  <c r="X98" i="43" s="1"/>
  <c r="F97" i="43"/>
  <c r="E68" i="62" s="1"/>
  <c r="E97" i="43"/>
  <c r="X97" i="43" s="1"/>
  <c r="F96" i="43"/>
  <c r="E67" i="62" s="1"/>
  <c r="E96" i="43"/>
  <c r="X96" i="43" s="1"/>
  <c r="F95" i="43"/>
  <c r="E66" i="62" s="1"/>
  <c r="E95" i="43"/>
  <c r="X95" i="43" s="1"/>
  <c r="F94" i="43"/>
  <c r="E65" i="62" s="1"/>
  <c r="E94" i="43"/>
  <c r="X94" i="43" s="1"/>
  <c r="F93" i="43"/>
  <c r="E64" i="62" s="1"/>
  <c r="E93" i="43"/>
  <c r="X93" i="43" s="1"/>
  <c r="F92" i="43"/>
  <c r="E63" i="62" s="1"/>
  <c r="E92" i="43"/>
  <c r="X92" i="43" s="1"/>
  <c r="F91" i="43"/>
  <c r="E62" i="62" s="1"/>
  <c r="E91" i="43"/>
  <c r="X91" i="43" s="1"/>
  <c r="F90" i="43"/>
  <c r="E61" i="62" s="1"/>
  <c r="E90" i="43"/>
  <c r="X90" i="43" s="1"/>
  <c r="F89" i="43"/>
  <c r="E60" i="62" s="1"/>
  <c r="E89" i="43"/>
  <c r="X89" i="43" s="1"/>
  <c r="F88" i="43"/>
  <c r="E59" i="62" s="1"/>
  <c r="E88" i="43"/>
  <c r="X88" i="43" s="1"/>
  <c r="F87" i="43"/>
  <c r="E58" i="62" s="1"/>
  <c r="E87" i="43"/>
  <c r="X87" i="43" s="1"/>
  <c r="F86" i="43"/>
  <c r="E57" i="62" s="1"/>
  <c r="E86" i="43"/>
  <c r="X86" i="43" s="1"/>
  <c r="F85" i="43"/>
  <c r="E56" i="62" s="1"/>
  <c r="E85" i="43"/>
  <c r="X85" i="43" s="1"/>
  <c r="F84" i="43"/>
  <c r="E55" i="62" s="1"/>
  <c r="E84" i="43"/>
  <c r="X84" i="43" s="1"/>
  <c r="F83" i="43"/>
  <c r="E54" i="62" s="1"/>
  <c r="E83" i="43"/>
  <c r="X83" i="43" s="1"/>
  <c r="E53" i="62"/>
  <c r="X82" i="43"/>
  <c r="E52" i="62"/>
  <c r="X81" i="43"/>
  <c r="E63" i="38"/>
  <c r="E65" i="38"/>
  <c r="J55" i="43"/>
  <c r="H49" i="62"/>
  <c r="H48" i="62"/>
  <c r="H47" i="62"/>
  <c r="H46" i="62"/>
  <c r="H45" i="62"/>
  <c r="H44" i="62"/>
  <c r="H43" i="62"/>
  <c r="H42" i="62"/>
  <c r="H41" i="62"/>
  <c r="H40" i="62"/>
  <c r="H39" i="62"/>
  <c r="H38" i="62"/>
  <c r="H37" i="62"/>
  <c r="H36" i="62"/>
  <c r="H35" i="62"/>
  <c r="H34" i="62"/>
  <c r="H33" i="62"/>
  <c r="H32" i="62"/>
  <c r="H31" i="62"/>
  <c r="H30" i="62"/>
  <c r="BI47" i="50"/>
  <c r="T12" i="9"/>
  <c r="G2" i="62"/>
  <c r="F1" i="26"/>
  <c r="G2" i="63"/>
  <c r="G2" i="43"/>
  <c r="O2" i="26"/>
  <c r="S38" i="9" s="1"/>
  <c r="F8" i="60"/>
  <c r="E8" i="60"/>
  <c r="D8" i="60"/>
  <c r="T2" i="63"/>
  <c r="S34" i="9" s="1"/>
  <c r="R2" i="63"/>
  <c r="BO47" i="50"/>
  <c r="BN47" i="50"/>
  <c r="BY47" i="50"/>
  <c r="BW47" i="50"/>
  <c r="BT47" i="50"/>
  <c r="BQ47" i="50"/>
  <c r="BJ47" i="50"/>
  <c r="E31" i="62"/>
  <c r="J31" i="62"/>
  <c r="K31" i="62"/>
  <c r="E32" i="62"/>
  <c r="J32" i="62"/>
  <c r="K32" i="62"/>
  <c r="E33" i="62"/>
  <c r="J33" i="62"/>
  <c r="K33" i="62"/>
  <c r="E34" i="62"/>
  <c r="J34" i="62"/>
  <c r="K34" i="62"/>
  <c r="E35" i="62"/>
  <c r="J35" i="62"/>
  <c r="K35" i="62"/>
  <c r="E36" i="62"/>
  <c r="J36" i="62"/>
  <c r="K36" i="62"/>
  <c r="E37" i="62"/>
  <c r="J37" i="62"/>
  <c r="K37" i="62"/>
  <c r="E38" i="62"/>
  <c r="J38" i="62"/>
  <c r="K38" i="62"/>
  <c r="E39" i="62"/>
  <c r="J39" i="62"/>
  <c r="K39" i="62"/>
  <c r="E40" i="62"/>
  <c r="J40" i="62"/>
  <c r="K40" i="62"/>
  <c r="E41" i="62"/>
  <c r="J41" i="62"/>
  <c r="K41" i="62"/>
  <c r="E42" i="62"/>
  <c r="J42" i="62"/>
  <c r="K42" i="62"/>
  <c r="E43" i="62"/>
  <c r="J43" i="62"/>
  <c r="K43" i="62"/>
  <c r="E44" i="62"/>
  <c r="J44" i="62"/>
  <c r="K44" i="62"/>
  <c r="E45" i="62"/>
  <c r="J45" i="62"/>
  <c r="K45" i="62"/>
  <c r="E46" i="62"/>
  <c r="J46" i="62"/>
  <c r="K46" i="62"/>
  <c r="E47" i="62"/>
  <c r="J47" i="62"/>
  <c r="K47" i="62"/>
  <c r="E48" i="62"/>
  <c r="J48" i="62"/>
  <c r="K48" i="62"/>
  <c r="E49" i="62"/>
  <c r="J49" i="62"/>
  <c r="K49" i="62"/>
  <c r="K30" i="62"/>
  <c r="J30" i="62"/>
  <c r="E30" i="62"/>
  <c r="R2" i="62"/>
  <c r="I11" i="62"/>
  <c r="I10" i="62"/>
  <c r="I23" i="62"/>
  <c r="K23" i="62"/>
  <c r="C14" i="60"/>
  <c r="C15" i="60" s="1"/>
  <c r="C16" i="60" s="1"/>
  <c r="C17" i="60" s="1"/>
  <c r="C18" i="60" s="1"/>
  <c r="C19" i="60" s="1"/>
  <c r="C20" i="60" s="1"/>
  <c r="C21" i="60" s="1"/>
  <c r="C22" i="60" s="1"/>
  <c r="C23" i="60" s="1"/>
  <c r="C24" i="60" s="1"/>
  <c r="C25" i="60" s="1"/>
  <c r="C26" i="60" s="1"/>
  <c r="C27" i="60" s="1"/>
  <c r="C28" i="60" s="1"/>
  <c r="C29" i="60" s="1"/>
  <c r="C30" i="60" s="1"/>
  <c r="C31" i="60" s="1"/>
  <c r="C32" i="60" s="1"/>
  <c r="C33" i="60" s="1"/>
  <c r="C34" i="60" s="1"/>
  <c r="C35" i="60" s="1"/>
  <c r="C36" i="60" s="1"/>
  <c r="C37" i="60" s="1"/>
  <c r="A48" i="38"/>
  <c r="A8" i="38"/>
  <c r="G47" i="9"/>
  <c r="K8" i="62"/>
  <c r="C3" i="52"/>
  <c r="D3" i="52" s="1"/>
  <c r="E3" i="52" s="1"/>
  <c r="F3" i="52" s="1"/>
  <c r="G3" i="52" s="1"/>
  <c r="H3" i="52" s="1"/>
  <c r="I3" i="52" s="1"/>
  <c r="J3" i="52" s="1"/>
  <c r="K3" i="52" s="1"/>
  <c r="L3" i="52" s="1"/>
  <c r="M3" i="52" s="1"/>
  <c r="N3" i="52" s="1"/>
  <c r="O3" i="52" s="1"/>
  <c r="P3" i="52" s="1"/>
  <c r="Q3" i="52" s="1"/>
  <c r="R3" i="52" s="1"/>
  <c r="K99" i="38"/>
  <c r="K98" i="38"/>
  <c r="M97" i="38"/>
  <c r="K97" i="38"/>
  <c r="Z68" i="38"/>
  <c r="Z69" i="38"/>
  <c r="Z70" i="38"/>
  <c r="Z71" i="38"/>
  <c r="Z72" i="38"/>
  <c r="Z73" i="38"/>
  <c r="Z74" i="38"/>
  <c r="Z75" i="38"/>
  <c r="Z76" i="38"/>
  <c r="Z77" i="38"/>
  <c r="Z78" i="38"/>
  <c r="Z79" i="38"/>
  <c r="Z80" i="38"/>
  <c r="Z81" i="38"/>
  <c r="Z82" i="38"/>
  <c r="Z83" i="38"/>
  <c r="Z84" i="38"/>
  <c r="Z85" i="38"/>
  <c r="Z86" i="38"/>
  <c r="Z87" i="38"/>
  <c r="Z88" i="38"/>
  <c r="Z89" i="38"/>
  <c r="Z90" i="38"/>
  <c r="Z91" i="38"/>
  <c r="Z67" i="38"/>
  <c r="X68" i="38"/>
  <c r="N68" i="38" s="1"/>
  <c r="X69" i="38"/>
  <c r="N69" i="38" s="1"/>
  <c r="X71" i="38"/>
  <c r="N71" i="38" s="1"/>
  <c r="X72" i="38"/>
  <c r="N72" i="38" s="1"/>
  <c r="X74" i="38"/>
  <c r="N74" i="38" s="1"/>
  <c r="X75" i="38"/>
  <c r="X76" i="38"/>
  <c r="X77" i="38"/>
  <c r="X78" i="38"/>
  <c r="X79" i="38"/>
  <c r="X80" i="38"/>
  <c r="X81" i="38"/>
  <c r="X82" i="38"/>
  <c r="X83" i="38"/>
  <c r="X84" i="38"/>
  <c r="X85" i="38"/>
  <c r="X86" i="38"/>
  <c r="X87" i="38"/>
  <c r="X88" i="38"/>
  <c r="X89" i="38"/>
  <c r="X90" i="38"/>
  <c r="X91" i="38"/>
  <c r="AK53" i="50"/>
  <c r="L23" i="62"/>
  <c r="H23" i="62"/>
  <c r="J23" i="62"/>
  <c r="L26" i="62"/>
  <c r="T2" i="62"/>
  <c r="S40" i="9" s="1"/>
  <c r="Q53" i="50"/>
  <c r="Q52" i="50"/>
  <c r="Q50" i="50"/>
  <c r="Q48" i="50"/>
  <c r="Q47" i="50"/>
  <c r="I49" i="62"/>
  <c r="G49" i="62"/>
  <c r="I48" i="62"/>
  <c r="G48" i="62"/>
  <c r="I47" i="62"/>
  <c r="G47" i="62"/>
  <c r="I46" i="62"/>
  <c r="G46" i="62"/>
  <c r="I45" i="62"/>
  <c r="G45" i="62"/>
  <c r="I44" i="62"/>
  <c r="G44" i="62"/>
  <c r="I43" i="62"/>
  <c r="G43" i="62"/>
  <c r="I42" i="62"/>
  <c r="G42" i="62"/>
  <c r="I41" i="62"/>
  <c r="G41" i="62"/>
  <c r="I40" i="62"/>
  <c r="G40" i="62"/>
  <c r="I39" i="62"/>
  <c r="G39" i="62"/>
  <c r="I38" i="62"/>
  <c r="G38" i="62"/>
  <c r="I37" i="62"/>
  <c r="G37" i="62"/>
  <c r="I36" i="62"/>
  <c r="G36" i="62"/>
  <c r="I35" i="62"/>
  <c r="G35" i="62"/>
  <c r="I34" i="62"/>
  <c r="G34" i="62"/>
  <c r="G33" i="62"/>
  <c r="CG66" i="50"/>
  <c r="CG68" i="50" s="1"/>
  <c r="AC53" i="50"/>
  <c r="AW53" i="50" s="1"/>
  <c r="AX53" i="50" s="1"/>
  <c r="G138" i="52"/>
  <c r="A141" i="52"/>
  <c r="A140" i="52"/>
  <c r="A139" i="52"/>
  <c r="X73" i="38"/>
  <c r="N73" i="38" s="1"/>
  <c r="G48" i="57"/>
  <c r="M36" i="57"/>
  <c r="X67" i="38"/>
  <c r="N67" i="38" s="1"/>
  <c r="M45" i="57"/>
  <c r="X70" i="38"/>
  <c r="N70" i="38" s="1"/>
  <c r="M49" i="57"/>
  <c r="G49" i="57"/>
  <c r="M50" i="57"/>
  <c r="G50" i="57"/>
  <c r="M47" i="57"/>
  <c r="M46" i="57"/>
  <c r="M51" i="57"/>
  <c r="G51" i="57"/>
  <c r="M27" i="57"/>
  <c r="M32" i="57"/>
  <c r="M31" i="57"/>
  <c r="M30" i="57"/>
  <c r="N6" i="57"/>
  <c r="O48" i="50"/>
  <c r="O47" i="50"/>
  <c r="AA58" i="50"/>
  <c r="AK55" i="50"/>
  <c r="G139" i="52"/>
  <c r="A133" i="52"/>
  <c r="D123" i="52" s="1"/>
  <c r="A132" i="52"/>
  <c r="C123" i="52" s="1"/>
  <c r="F126" i="52"/>
  <c r="E128" i="52"/>
  <c r="D125" i="52"/>
  <c r="C124" i="52"/>
  <c r="A127" i="52"/>
  <c r="E18" i="62" s="1"/>
  <c r="A125" i="52"/>
  <c r="E16" i="62" s="1"/>
  <c r="G126" i="52"/>
  <c r="A124" i="52"/>
  <c r="C138" i="52" s="1"/>
  <c r="B4" i="52"/>
  <c r="AA57" i="50"/>
  <c r="A47" i="50"/>
  <c r="D190" i="52"/>
  <c r="D189" i="52"/>
  <c r="B183" i="52"/>
  <c r="N180" i="52"/>
  <c r="D180" i="52"/>
  <c r="Q180" i="52" s="1"/>
  <c r="S180" i="52" s="1"/>
  <c r="P179" i="52"/>
  <c r="N179" i="52"/>
  <c r="P178" i="52"/>
  <c r="N178" i="52"/>
  <c r="N177" i="52"/>
  <c r="AR176" i="52"/>
  <c r="AQ176" i="52"/>
  <c r="N176" i="52"/>
  <c r="M176" i="52"/>
  <c r="B176" i="52"/>
  <c r="D174" i="52"/>
  <c r="Q174" i="52" s="1"/>
  <c r="S174" i="52" s="1"/>
  <c r="AR170" i="52"/>
  <c r="AQ170" i="52"/>
  <c r="N170" i="52"/>
  <c r="M170" i="52"/>
  <c r="B170" i="52"/>
  <c r="D168" i="52"/>
  <c r="Q168" i="52" s="1"/>
  <c r="S168" i="52" s="1"/>
  <c r="AR164" i="52"/>
  <c r="AQ164" i="52"/>
  <c r="N164" i="52"/>
  <c r="M164" i="52"/>
  <c r="L162" i="52"/>
  <c r="I162" i="52"/>
  <c r="D162" i="52"/>
  <c r="Q162" i="52" s="1"/>
  <c r="S162" i="52" s="1"/>
  <c r="L161" i="52"/>
  <c r="I161" i="52"/>
  <c r="L160" i="52"/>
  <c r="I160" i="52"/>
  <c r="L159" i="52"/>
  <c r="I159" i="52"/>
  <c r="N158" i="52"/>
  <c r="M158" i="52"/>
  <c r="B158" i="52"/>
  <c r="E156" i="52"/>
  <c r="E162" i="52" s="1"/>
  <c r="E168" i="52" s="1"/>
  <c r="E174" i="52" s="1"/>
  <c r="E180" i="52" s="1"/>
  <c r="D156" i="52"/>
  <c r="Q156" i="52" s="1"/>
  <c r="B68" i="57" s="1"/>
  <c r="E155" i="52"/>
  <c r="E161" i="52" s="1"/>
  <c r="E167" i="52" s="1"/>
  <c r="E173" i="52" s="1"/>
  <c r="E179" i="52" s="1"/>
  <c r="E154" i="52"/>
  <c r="E160" i="52" s="1"/>
  <c r="E166" i="52" s="1"/>
  <c r="E172" i="52" s="1"/>
  <c r="E178" i="52" s="1"/>
  <c r="E153" i="52"/>
  <c r="E159" i="52" s="1"/>
  <c r="E165" i="52" s="1"/>
  <c r="E171" i="52" s="1"/>
  <c r="E177" i="52" s="1"/>
  <c r="N152" i="52"/>
  <c r="M152" i="52"/>
  <c r="A95" i="52"/>
  <c r="A94" i="52"/>
  <c r="B89" i="52"/>
  <c r="B88" i="52"/>
  <c r="B87" i="52"/>
  <c r="B86" i="52"/>
  <c r="B85" i="52"/>
  <c r="B84" i="52"/>
  <c r="B83" i="52"/>
  <c r="B82" i="52"/>
  <c r="B81" i="52"/>
  <c r="F78" i="52"/>
  <c r="A84" i="52" s="1"/>
  <c r="G61" i="50" s="1"/>
  <c r="E78" i="52"/>
  <c r="A83" i="52" s="1"/>
  <c r="D78" i="52"/>
  <c r="A82" i="52" s="1"/>
  <c r="C78" i="52"/>
  <c r="A81" i="52" s="1"/>
  <c r="E77" i="52"/>
  <c r="A87" i="52" s="1"/>
  <c r="D77" i="52"/>
  <c r="A86" i="52" s="1"/>
  <c r="C77" i="52"/>
  <c r="A85" i="52" s="1"/>
  <c r="D76" i="52"/>
  <c r="A89" i="52" s="1"/>
  <c r="C76" i="52"/>
  <c r="A88" i="52" s="1"/>
  <c r="AA60" i="50" s="1"/>
  <c r="A72" i="52"/>
  <c r="A71" i="52"/>
  <c r="A70" i="52"/>
  <c r="A67" i="52"/>
  <c r="A66" i="52"/>
  <c r="A65" i="52"/>
  <c r="A64" i="52"/>
  <c r="B53" i="52"/>
  <c r="B51" i="52"/>
  <c r="D33" i="52"/>
  <c r="C33" i="52"/>
  <c r="B33" i="52"/>
  <c r="B32" i="52"/>
  <c r="B31" i="52"/>
  <c r="D10" i="60"/>
  <c r="D4" i="60"/>
  <c r="D1" i="26"/>
  <c r="E2" i="43"/>
  <c r="F42" i="50"/>
  <c r="E42" i="50"/>
  <c r="F41" i="50"/>
  <c r="F39" i="50"/>
  <c r="F35" i="50"/>
  <c r="E29" i="50"/>
  <c r="G2" i="50"/>
  <c r="E2" i="50"/>
  <c r="K128" i="38"/>
  <c r="I128" i="38"/>
  <c r="E97" i="38"/>
  <c r="E66" i="38"/>
  <c r="E64" i="38"/>
  <c r="E50" i="38"/>
  <c r="D48" i="38"/>
  <c r="Q48" i="38" s="1"/>
  <c r="H36" i="38"/>
  <c r="F36" i="38"/>
  <c r="H35" i="38"/>
  <c r="F35" i="38"/>
  <c r="H34" i="38"/>
  <c r="F34" i="38"/>
  <c r="E34" i="38"/>
  <c r="E29" i="38"/>
  <c r="H17" i="38"/>
  <c r="F17" i="38"/>
  <c r="H16" i="38"/>
  <c r="F16" i="38"/>
  <c r="H15" i="38"/>
  <c r="F15" i="38"/>
  <c r="E15" i="38"/>
  <c r="E10" i="38"/>
  <c r="Q8" i="38"/>
  <c r="D8" i="38"/>
  <c r="G2" i="38"/>
  <c r="E2" i="38"/>
  <c r="G66" i="37"/>
  <c r="G65" i="37"/>
  <c r="G63" i="37"/>
  <c r="G62" i="37"/>
  <c r="G61" i="37"/>
  <c r="G60" i="37"/>
  <c r="E59" i="37"/>
  <c r="G57" i="37"/>
  <c r="G56" i="37"/>
  <c r="G54" i="37"/>
  <c r="G53" i="37"/>
  <c r="G52" i="37"/>
  <c r="G51" i="37"/>
  <c r="E50" i="37"/>
  <c r="E48" i="37"/>
  <c r="E47" i="37"/>
  <c r="D45" i="37"/>
  <c r="Q45" i="37" s="1"/>
  <c r="K3" i="37" s="1"/>
  <c r="E43" i="37"/>
  <c r="E42" i="37"/>
  <c r="E41" i="37"/>
  <c r="E40" i="37"/>
  <c r="E39" i="37"/>
  <c r="E38" i="37"/>
  <c r="E36" i="37"/>
  <c r="E34" i="37"/>
  <c r="E33" i="37"/>
  <c r="E31" i="37"/>
  <c r="E30" i="37"/>
  <c r="E29" i="37"/>
  <c r="E7" i="60" s="1"/>
  <c r="E28" i="37"/>
  <c r="F7" i="60" s="1"/>
  <c r="E26" i="37"/>
  <c r="D24" i="37"/>
  <c r="Q24" i="37" s="1"/>
  <c r="I3" i="37" s="1"/>
  <c r="G3" i="37"/>
  <c r="G2" i="37"/>
  <c r="E2" i="37"/>
  <c r="D84" i="10"/>
  <c r="D82" i="10"/>
  <c r="D79" i="10"/>
  <c r="D78" i="10"/>
  <c r="G75" i="10"/>
  <c r="G73" i="10"/>
  <c r="G72" i="10"/>
  <c r="G71" i="10"/>
  <c r="G70" i="10"/>
  <c r="D67" i="10"/>
  <c r="D66" i="10"/>
  <c r="D63" i="10"/>
  <c r="D60" i="10"/>
  <c r="D59" i="10"/>
  <c r="D57" i="10"/>
  <c r="D56" i="10"/>
  <c r="F55" i="10"/>
  <c r="D54" i="10"/>
  <c r="F53" i="10"/>
  <c r="D53" i="10"/>
  <c r="F52" i="10"/>
  <c r="D52" i="10"/>
  <c r="D51" i="10"/>
  <c r="D50" i="10"/>
  <c r="E34" i="10"/>
  <c r="E33" i="10"/>
  <c r="E32" i="10"/>
  <c r="E31" i="10"/>
  <c r="D30" i="10"/>
  <c r="D27" i="10"/>
  <c r="D26" i="10"/>
  <c r="D17" i="10"/>
  <c r="D12" i="10"/>
  <c r="D9" i="10"/>
  <c r="D6" i="10"/>
  <c r="G2" i="10"/>
  <c r="E2" i="10"/>
  <c r="B2" i="10"/>
  <c r="M3" i="10" s="1"/>
  <c r="C65" i="9"/>
  <c r="C64" i="9"/>
  <c r="C63" i="9"/>
  <c r="C62" i="9"/>
  <c r="C61" i="9"/>
  <c r="G57" i="9"/>
  <c r="C57" i="9"/>
  <c r="C46" i="9"/>
  <c r="C45" i="9"/>
  <c r="C44" i="9"/>
  <c r="C8" i="9"/>
  <c r="G2" i="9"/>
  <c r="E2" i="9"/>
  <c r="AK2" i="60"/>
  <c r="S42" i="9" s="1"/>
  <c r="T2" i="43"/>
  <c r="S32" i="9" s="1"/>
  <c r="T2" i="50"/>
  <c r="S25" i="9" s="1"/>
  <c r="S26" i="9" s="1"/>
  <c r="S27" i="9" s="1"/>
  <c r="S28" i="9" s="1"/>
  <c r="S29" i="9" s="1"/>
  <c r="S30" i="9" s="1"/>
  <c r="T2" i="38"/>
  <c r="S21" i="9" s="1"/>
  <c r="S22" i="9" s="1"/>
  <c r="S23" i="9" s="1"/>
  <c r="T2" i="37"/>
  <c r="S14" i="9" s="1"/>
  <c r="T2" i="10"/>
  <c r="S12" i="9" s="1"/>
  <c r="T2" i="9"/>
  <c r="S10" i="9" s="1"/>
  <c r="B49" i="52"/>
  <c r="B48" i="52"/>
  <c r="X124" i="38"/>
  <c r="U124" i="38"/>
  <c r="R124" i="38"/>
  <c r="D124" i="38"/>
  <c r="X123" i="38"/>
  <c r="U123" i="38"/>
  <c r="R123" i="38"/>
  <c r="D123" i="38"/>
  <c r="X122" i="38"/>
  <c r="U122" i="38"/>
  <c r="R122" i="38"/>
  <c r="D122" i="38"/>
  <c r="X121" i="38"/>
  <c r="U121" i="38"/>
  <c r="R121" i="38"/>
  <c r="D121" i="38"/>
  <c r="X120" i="38"/>
  <c r="U120" i="38"/>
  <c r="R120" i="38"/>
  <c r="D120" i="38"/>
  <c r="X119" i="38"/>
  <c r="U119" i="38"/>
  <c r="R119" i="38"/>
  <c r="D119" i="38"/>
  <c r="X118" i="38"/>
  <c r="U118" i="38"/>
  <c r="R118" i="38"/>
  <c r="D118" i="38"/>
  <c r="X117" i="38"/>
  <c r="U117" i="38"/>
  <c r="R117" i="38"/>
  <c r="D117" i="38"/>
  <c r="X116" i="38"/>
  <c r="U116" i="38"/>
  <c r="R116" i="38"/>
  <c r="D116" i="38"/>
  <c r="X115" i="38"/>
  <c r="U115" i="38"/>
  <c r="R115" i="38"/>
  <c r="D115" i="38"/>
  <c r="X114" i="38"/>
  <c r="U114" i="38"/>
  <c r="R114" i="38"/>
  <c r="D114" i="38"/>
  <c r="X113" i="38"/>
  <c r="U113" i="38"/>
  <c r="R113" i="38"/>
  <c r="D113" i="38"/>
  <c r="X112" i="38"/>
  <c r="U112" i="38"/>
  <c r="R112" i="38"/>
  <c r="D112" i="38"/>
  <c r="X111" i="38"/>
  <c r="U111" i="38"/>
  <c r="R111" i="38"/>
  <c r="D111" i="38"/>
  <c r="X110" i="38"/>
  <c r="U110" i="38"/>
  <c r="R110" i="38"/>
  <c r="D110" i="38"/>
  <c r="X109" i="38"/>
  <c r="U109" i="38"/>
  <c r="R109" i="38"/>
  <c r="D109" i="38"/>
  <c r="X108" i="38"/>
  <c r="U108" i="38"/>
  <c r="R108" i="38"/>
  <c r="D108" i="38"/>
  <c r="X107" i="38"/>
  <c r="U107" i="38"/>
  <c r="R107" i="38"/>
  <c r="D107" i="38"/>
  <c r="X106" i="38"/>
  <c r="U106" i="38"/>
  <c r="R106" i="38"/>
  <c r="D106" i="38"/>
  <c r="X105" i="38"/>
  <c r="U105" i="38"/>
  <c r="R105" i="38"/>
  <c r="D105" i="38"/>
  <c r="X104" i="38"/>
  <c r="U104" i="38"/>
  <c r="R104" i="38"/>
  <c r="D104" i="38"/>
  <c r="X103" i="38"/>
  <c r="U103" i="38"/>
  <c r="R103" i="38"/>
  <c r="D103" i="38"/>
  <c r="X102" i="38"/>
  <c r="U102" i="38"/>
  <c r="R102" i="38"/>
  <c r="D102" i="38"/>
  <c r="U91" i="38"/>
  <c r="T91" i="38"/>
  <c r="U90" i="38"/>
  <c r="T90" i="38"/>
  <c r="U89" i="38"/>
  <c r="T89" i="38"/>
  <c r="U88" i="38"/>
  <c r="T88" i="38"/>
  <c r="U87" i="38"/>
  <c r="T87" i="38"/>
  <c r="U86" i="38"/>
  <c r="T86" i="38"/>
  <c r="U85" i="38"/>
  <c r="T85" i="38"/>
  <c r="U84" i="38"/>
  <c r="T84" i="38"/>
  <c r="U83" i="38"/>
  <c r="T83" i="38"/>
  <c r="U82" i="38"/>
  <c r="T82" i="38"/>
  <c r="U81" i="38"/>
  <c r="T81" i="38"/>
  <c r="U80" i="38"/>
  <c r="T80" i="38"/>
  <c r="U79" i="38"/>
  <c r="T79" i="38"/>
  <c r="U78" i="38"/>
  <c r="T78" i="38"/>
  <c r="U77" i="38"/>
  <c r="T77" i="38"/>
  <c r="U76" i="38"/>
  <c r="T76" i="38"/>
  <c r="U75" i="38"/>
  <c r="T75" i="38"/>
  <c r="U74" i="38"/>
  <c r="T74" i="38"/>
  <c r="U73" i="38"/>
  <c r="T73" i="38"/>
  <c r="U72" i="38"/>
  <c r="T72" i="38"/>
  <c r="U71" i="38"/>
  <c r="T71" i="38"/>
  <c r="U70" i="38"/>
  <c r="T70" i="38"/>
  <c r="U69" i="38"/>
  <c r="T69" i="38"/>
  <c r="A8" i="43"/>
  <c r="K4" i="43" s="1"/>
  <c r="R2" i="43"/>
  <c r="R2" i="10"/>
  <c r="M4" i="9"/>
  <c r="K4" i="9"/>
  <c r="I4" i="9"/>
  <c r="G4" i="9"/>
  <c r="M3" i="9"/>
  <c r="K3" i="9"/>
  <c r="I3" i="9"/>
  <c r="G3" i="9"/>
  <c r="M4" i="37"/>
  <c r="R2" i="9"/>
  <c r="G136" i="38"/>
  <c r="G135" i="38"/>
  <c r="G134" i="38"/>
  <c r="G133" i="38"/>
  <c r="H136" i="38"/>
  <c r="H135" i="38"/>
  <c r="H134" i="38"/>
  <c r="H133" i="38"/>
  <c r="K4" i="37"/>
  <c r="I4" i="37"/>
  <c r="R2" i="37"/>
  <c r="R2" i="38"/>
  <c r="B1" i="52"/>
  <c r="H180" i="52"/>
  <c r="H179" i="52"/>
  <c r="H178" i="52"/>
  <c r="H177" i="52"/>
  <c r="O151" i="52"/>
  <c r="N151" i="52"/>
  <c r="M151" i="52"/>
  <c r="M180" i="52"/>
  <c r="M179" i="52"/>
  <c r="M178" i="52"/>
  <c r="M177" i="52"/>
  <c r="I180" i="52"/>
  <c r="I179" i="52"/>
  <c r="I178" i="52"/>
  <c r="I177" i="52"/>
  <c r="AO164" i="52"/>
  <c r="AO170" i="52"/>
  <c r="AO176" i="52"/>
  <c r="P180" i="52"/>
  <c r="P177" i="52"/>
  <c r="Z176" i="52"/>
  <c r="P176" i="52"/>
  <c r="K176" i="52"/>
  <c r="G176" i="52"/>
  <c r="E176" i="52"/>
  <c r="D176" i="52"/>
  <c r="C176" i="52"/>
  <c r="P174" i="52"/>
  <c r="L174" i="52"/>
  <c r="K174" i="52"/>
  <c r="J174" i="52"/>
  <c r="H174" i="52"/>
  <c r="L173" i="52"/>
  <c r="K173" i="52"/>
  <c r="J173" i="52"/>
  <c r="H173" i="52"/>
  <c r="L172" i="52"/>
  <c r="K172" i="52"/>
  <c r="J172" i="52"/>
  <c r="H172" i="52"/>
  <c r="P171" i="52"/>
  <c r="L171" i="52"/>
  <c r="K171" i="52"/>
  <c r="J171" i="52"/>
  <c r="H171" i="52"/>
  <c r="Z170" i="52"/>
  <c r="P170" i="52"/>
  <c r="K170" i="52"/>
  <c r="G170" i="52"/>
  <c r="E170" i="52"/>
  <c r="D170" i="52"/>
  <c r="C170" i="52"/>
  <c r="P168" i="52"/>
  <c r="L168" i="52"/>
  <c r="J168" i="52"/>
  <c r="H168" i="52"/>
  <c r="L167" i="52"/>
  <c r="K167" i="52"/>
  <c r="J167" i="52"/>
  <c r="H167" i="52"/>
  <c r="L166" i="52"/>
  <c r="J166" i="52"/>
  <c r="H166" i="52"/>
  <c r="P165" i="52"/>
  <c r="L165" i="52"/>
  <c r="J165" i="52"/>
  <c r="H165" i="52"/>
  <c r="Z164" i="52"/>
  <c r="P164" i="52"/>
  <c r="K164" i="52"/>
  <c r="G164" i="52"/>
  <c r="E164" i="52"/>
  <c r="D164" i="52"/>
  <c r="C164" i="52"/>
  <c r="B164" i="52"/>
  <c r="Z158" i="52"/>
  <c r="P158" i="52"/>
  <c r="K158" i="52"/>
  <c r="G158" i="52"/>
  <c r="E158" i="52"/>
  <c r="D158" i="52"/>
  <c r="C158" i="52"/>
  <c r="O156" i="52"/>
  <c r="L156" i="52"/>
  <c r="I156" i="52"/>
  <c r="H156" i="52"/>
  <c r="O155" i="52"/>
  <c r="L155" i="52"/>
  <c r="I155" i="52"/>
  <c r="H155" i="52"/>
  <c r="D155" i="52"/>
  <c r="D161" i="52" s="1"/>
  <c r="D167" i="52" s="1"/>
  <c r="D173" i="52" s="1"/>
  <c r="D179" i="52" s="1"/>
  <c r="Q179" i="52" s="1"/>
  <c r="S179" i="52" s="1"/>
  <c r="O154" i="52"/>
  <c r="L154" i="52"/>
  <c r="I154" i="52"/>
  <c r="H154" i="52"/>
  <c r="D154" i="52"/>
  <c r="O153" i="52"/>
  <c r="L153" i="52"/>
  <c r="I153" i="52"/>
  <c r="H153" i="52"/>
  <c r="D153" i="52"/>
  <c r="Q153" i="52" s="1"/>
  <c r="C153" i="52"/>
  <c r="C159" i="52" s="1"/>
  <c r="C165" i="52" s="1"/>
  <c r="C171" i="52" s="1"/>
  <c r="C177" i="52" s="1"/>
  <c r="Z152" i="52"/>
  <c r="P152" i="52"/>
  <c r="K152" i="52"/>
  <c r="G152" i="52"/>
  <c r="E152" i="52"/>
  <c r="D152" i="52"/>
  <c r="C152" i="52"/>
  <c r="L151" i="52"/>
  <c r="K151" i="52"/>
  <c r="J151" i="52"/>
  <c r="I151" i="52"/>
  <c r="H151" i="52"/>
  <c r="G151" i="52"/>
  <c r="B151" i="52"/>
  <c r="B21" i="54"/>
  <c r="F58" i="52"/>
  <c r="E58" i="52"/>
  <c r="D58" i="52"/>
  <c r="C58" i="52"/>
  <c r="E41" i="50"/>
  <c r="F40" i="50"/>
  <c r="F38" i="50"/>
  <c r="F36" i="50"/>
  <c r="E36" i="50"/>
  <c r="E35" i="50"/>
  <c r="E34" i="50"/>
  <c r="E33" i="50"/>
  <c r="F30" i="50"/>
  <c r="F29" i="50"/>
  <c r="F26" i="50"/>
  <c r="E26" i="50"/>
  <c r="B28" i="54"/>
  <c r="B27" i="54"/>
  <c r="B25" i="54"/>
  <c r="B35" i="52"/>
  <c r="H142" i="52" s="1"/>
  <c r="D187" i="52"/>
  <c r="D183" i="52"/>
  <c r="A118" i="52"/>
  <c r="A110" i="52"/>
  <c r="A91" i="52"/>
  <c r="F57" i="52"/>
  <c r="E57" i="52"/>
  <c r="D57" i="52"/>
  <c r="C57" i="52"/>
  <c r="B57" i="52"/>
  <c r="AE55" i="52"/>
  <c r="AD55" i="52"/>
  <c r="AC55" i="52"/>
  <c r="AB55" i="52"/>
  <c r="AA55" i="52"/>
  <c r="Z55" i="52"/>
  <c r="Y55" i="52"/>
  <c r="X55" i="52"/>
  <c r="W55" i="52"/>
  <c r="V55" i="52"/>
  <c r="U55" i="52"/>
  <c r="T55" i="52"/>
  <c r="S55" i="52"/>
  <c r="R55" i="52"/>
  <c r="Q55" i="52"/>
  <c r="P55" i="52"/>
  <c r="O55" i="52"/>
  <c r="N55" i="52"/>
  <c r="M55" i="52"/>
  <c r="L55" i="52"/>
  <c r="K55" i="52"/>
  <c r="J55" i="52"/>
  <c r="I55" i="52"/>
  <c r="H55" i="52"/>
  <c r="F55" i="52"/>
  <c r="E55" i="52"/>
  <c r="D55" i="52"/>
  <c r="C55" i="52"/>
  <c r="B55" i="52"/>
  <c r="C54" i="52"/>
  <c r="B54" i="52"/>
  <c r="B52" i="52"/>
  <c r="B50" i="52"/>
  <c r="G149" i="50" s="1"/>
  <c r="B47" i="52"/>
  <c r="B46" i="52"/>
  <c r="B45" i="52"/>
  <c r="B44" i="52"/>
  <c r="B43" i="52"/>
  <c r="B38" i="52"/>
  <c r="B37" i="52"/>
  <c r="B36" i="52"/>
  <c r="B34" i="52"/>
  <c r="E50" i="50"/>
  <c r="C32" i="52"/>
  <c r="B30" i="52"/>
  <c r="C40" i="26"/>
  <c r="R100" i="38"/>
  <c r="R101" i="38"/>
  <c r="X100" i="38"/>
  <c r="X101" i="38"/>
  <c r="G45" i="9"/>
  <c r="G46" i="9"/>
  <c r="V46" i="38"/>
  <c r="W46" i="38" s="1"/>
  <c r="V37" i="38"/>
  <c r="W37" i="38" s="1"/>
  <c r="V38" i="38"/>
  <c r="W38" i="38" s="1"/>
  <c r="V39" i="38"/>
  <c r="W39" i="38" s="1"/>
  <c r="V40" i="38"/>
  <c r="W40" i="38" s="1"/>
  <c r="V41" i="38"/>
  <c r="W41" i="38" s="1"/>
  <c r="V42" i="38"/>
  <c r="W42" i="38" s="1"/>
  <c r="V43" i="38"/>
  <c r="W43" i="38" s="1"/>
  <c r="V44" i="38"/>
  <c r="W44" i="38" s="1"/>
  <c r="V45" i="38"/>
  <c r="W45" i="38" s="1"/>
  <c r="V18" i="38"/>
  <c r="W18" i="38" s="1"/>
  <c r="V19" i="38"/>
  <c r="W19" i="38" s="1"/>
  <c r="V20" i="38"/>
  <c r="W20" i="38" s="1"/>
  <c r="V21" i="38"/>
  <c r="W21" i="38" s="1"/>
  <c r="V22" i="38"/>
  <c r="W22" i="38" s="1"/>
  <c r="V23" i="38"/>
  <c r="W23" i="38" s="1"/>
  <c r="V24" i="38"/>
  <c r="W24" i="38" s="1"/>
  <c r="V25" i="38"/>
  <c r="W25" i="38" s="1"/>
  <c r="V26" i="38"/>
  <c r="W26" i="38" s="1"/>
  <c r="V27" i="38"/>
  <c r="W27" i="38" s="1"/>
  <c r="T67" i="38"/>
  <c r="T68" i="38"/>
  <c r="D101" i="38"/>
  <c r="G63" i="9"/>
  <c r="U100" i="38"/>
  <c r="H129" i="38"/>
  <c r="G62" i="9"/>
  <c r="G64" i="9"/>
  <c r="B29" i="54"/>
  <c r="B26" i="54"/>
  <c r="B24" i="54"/>
  <c r="B23" i="54"/>
  <c r="B22" i="54"/>
  <c r="B20" i="54"/>
  <c r="B19" i="54"/>
  <c r="C3" i="54" s="1"/>
  <c r="G65" i="9" s="1"/>
  <c r="B18" i="54"/>
  <c r="U67" i="38"/>
  <c r="U68" i="38"/>
  <c r="U101" i="38"/>
  <c r="H132" i="38"/>
  <c r="H131" i="38"/>
  <c r="H130" i="38"/>
  <c r="Z173" i="52"/>
  <c r="E15" i="62"/>
  <c r="G32" i="62"/>
  <c r="K81" i="65"/>
  <c r="M82" i="65"/>
  <c r="M83" i="65" s="1"/>
  <c r="G31" i="62"/>
  <c r="M51" i="65"/>
  <c r="M52" i="65" s="1"/>
  <c r="K4" i="65"/>
  <c r="K83" i="65"/>
  <c r="I123" i="65"/>
  <c r="K52" i="65"/>
  <c r="M53" i="65"/>
  <c r="M54" i="65" s="1"/>
  <c r="I119" i="65"/>
  <c r="I108" i="65"/>
  <c r="I113" i="65"/>
  <c r="I112" i="65"/>
  <c r="I111" i="65"/>
  <c r="I114" i="65"/>
  <c r="I124" i="65"/>
  <c r="I122" i="65"/>
  <c r="I109" i="65"/>
  <c r="I121" i="65"/>
  <c r="I118" i="65"/>
  <c r="I115" i="65"/>
  <c r="I125" i="65"/>
  <c r="I110" i="65"/>
  <c r="I116" i="65"/>
  <c r="I117" i="65"/>
  <c r="I127" i="65"/>
  <c r="I120" i="65"/>
  <c r="I126" i="65"/>
  <c r="K54" i="65"/>
  <c r="M55" i="65"/>
  <c r="M56" i="65" s="1"/>
  <c r="M57" i="65"/>
  <c r="M58" i="65" s="1"/>
  <c r="M59" i="65"/>
  <c r="M60" i="65" s="1"/>
  <c r="M61" i="65"/>
  <c r="M62" i="65" s="1"/>
  <c r="M63" i="65"/>
  <c r="M64" i="65" s="1"/>
  <c r="M65" i="65"/>
  <c r="M66" i="65" s="1"/>
  <c r="M67" i="65"/>
  <c r="M68" i="65" s="1"/>
  <c r="M69" i="65"/>
  <c r="D81" i="65"/>
  <c r="AB85" i="38"/>
  <c r="E118" i="38" s="1"/>
  <c r="T118" i="38" s="1"/>
  <c r="AD118" i="38" s="1"/>
  <c r="AA74" i="38"/>
  <c r="R31" i="43"/>
  <c r="G122" i="43" s="1"/>
  <c r="H122" i="43" s="1"/>
  <c r="F124" i="52"/>
  <c r="AA67" i="38"/>
  <c r="AC67" i="38" s="1"/>
  <c r="F46" i="65"/>
  <c r="A120" i="52"/>
  <c r="A136" i="52"/>
  <c r="G123" i="52" s="1"/>
  <c r="A135" i="52"/>
  <c r="F123" i="52" s="1"/>
  <c r="R32" i="43"/>
  <c r="G123" i="43" s="1"/>
  <c r="H123" i="43" s="1"/>
  <c r="L37" i="57"/>
  <c r="T37" i="57" s="1"/>
  <c r="R78" i="65"/>
  <c r="U78" i="65" s="1"/>
  <c r="W77" i="65" s="1"/>
  <c r="G3" i="43"/>
  <c r="AQ57" i="50"/>
  <c r="R18" i="57"/>
  <c r="H18" i="57"/>
  <c r="L18" i="57"/>
  <c r="P18" i="57"/>
  <c r="T18" i="57"/>
  <c r="AQ55" i="50"/>
  <c r="AQ56" i="50"/>
  <c r="AQ58" i="50"/>
  <c r="E16" i="65"/>
  <c r="E77" i="65"/>
  <c r="E35" i="65"/>
  <c r="G46" i="65"/>
  <c r="E37" i="65"/>
  <c r="G75" i="65"/>
  <c r="D138" i="52"/>
  <c r="Q161" i="52"/>
  <c r="S161" i="52" s="1"/>
  <c r="A104" i="52"/>
  <c r="R23" i="9"/>
  <c r="R34" i="9"/>
  <c r="R32" i="9"/>
  <c r="R36" i="9"/>
  <c r="R40" i="9"/>
  <c r="B78" i="52"/>
  <c r="R38" i="9"/>
  <c r="R10" i="9"/>
  <c r="R42" i="9"/>
  <c r="G85" i="50" l="1"/>
  <c r="S15" i="9"/>
  <c r="M4" i="43"/>
  <c r="E49" i="65"/>
  <c r="AE56" i="50"/>
  <c r="AU60" i="50"/>
  <c r="K60" i="50" s="1"/>
  <c r="E82" i="65"/>
  <c r="L29" i="57"/>
  <c r="A97" i="52"/>
  <c r="I46" i="65"/>
  <c r="M37" i="65" s="1"/>
  <c r="A142" i="52"/>
  <c r="A112" i="52"/>
  <c r="AB77" i="38"/>
  <c r="E110" i="38" s="1"/>
  <c r="T110" i="38" s="1"/>
  <c r="AD110" i="38" s="1"/>
  <c r="H37" i="57"/>
  <c r="Z174" i="52"/>
  <c r="L27" i="57"/>
  <c r="Z156" i="52"/>
  <c r="A134" i="52"/>
  <c r="E123" i="52" s="1"/>
  <c r="G4" i="65"/>
  <c r="A128" i="52"/>
  <c r="H138" i="52" s="1"/>
  <c r="C19" i="57"/>
  <c r="C32" i="57"/>
  <c r="C28" i="57"/>
  <c r="C24" i="57"/>
  <c r="C20" i="57"/>
  <c r="C42" i="57"/>
  <c r="C30" i="57"/>
  <c r="C22" i="57"/>
  <c r="C43" i="57"/>
  <c r="C31" i="57"/>
  <c r="C23" i="57"/>
  <c r="C21" i="57"/>
  <c r="C41" i="57"/>
  <c r="D126" i="52"/>
  <c r="H43" i="57"/>
  <c r="L42" i="57"/>
  <c r="P43" i="57"/>
  <c r="L43" i="57"/>
  <c r="J43" i="57"/>
  <c r="L41" i="57"/>
  <c r="L19" i="57"/>
  <c r="T19" i="57" s="1"/>
  <c r="J42" i="57"/>
  <c r="P19" i="57"/>
  <c r="R19" i="57"/>
  <c r="R44" i="43"/>
  <c r="G135" i="43" s="1"/>
  <c r="H135" i="43" s="1"/>
  <c r="AB78" i="38"/>
  <c r="G663" i="50" s="1"/>
  <c r="H663" i="50" s="1"/>
  <c r="L44" i="57"/>
  <c r="T44" i="57" s="1"/>
  <c r="R37" i="57"/>
  <c r="AA80" i="38"/>
  <c r="AC80" i="38" s="1"/>
  <c r="Z172" i="52"/>
  <c r="R39" i="43"/>
  <c r="G130" i="43" s="1"/>
  <c r="H130" i="43" s="1"/>
  <c r="AB76" i="38"/>
  <c r="G661" i="50" s="1"/>
  <c r="H661" i="50" s="1"/>
  <c r="J37" i="57"/>
  <c r="F77" i="52"/>
  <c r="Z160" i="52"/>
  <c r="L24" i="57"/>
  <c r="Z177" i="52"/>
  <c r="H44" i="57"/>
  <c r="R35" i="43"/>
  <c r="G126" i="43" s="1"/>
  <c r="H126" i="43" s="1"/>
  <c r="AA84" i="38"/>
  <c r="AC84" i="38" s="1"/>
  <c r="M3" i="65"/>
  <c r="I4" i="38"/>
  <c r="D159" i="52"/>
  <c r="D165" i="52" s="1"/>
  <c r="C128" i="52"/>
  <c r="H39" i="57"/>
  <c r="AA77" i="38"/>
  <c r="AC77" i="38" s="1"/>
  <c r="H26" i="57"/>
  <c r="F140" i="52"/>
  <c r="R48" i="43"/>
  <c r="G139" i="43" s="1"/>
  <c r="H139" i="43" s="1"/>
  <c r="C143" i="52"/>
  <c r="AA88" i="38"/>
  <c r="AC88" i="38" s="1"/>
  <c r="C125" i="52"/>
  <c r="R34" i="43"/>
  <c r="G125" i="43" s="1"/>
  <c r="H125" i="43" s="1"/>
  <c r="H35" i="57"/>
  <c r="R49" i="43"/>
  <c r="G140" i="43" s="1"/>
  <c r="H140" i="43" s="1"/>
  <c r="R52" i="57"/>
  <c r="R46" i="43"/>
  <c r="G137" i="43" s="1"/>
  <c r="H137" i="43" s="1"/>
  <c r="Z153" i="52"/>
  <c r="P52" i="57"/>
  <c r="AA69" i="38"/>
  <c r="AC69" i="38" s="1"/>
  <c r="R44" i="57"/>
  <c r="Z165" i="52"/>
  <c r="AB84" i="38"/>
  <c r="G669" i="50" s="1"/>
  <c r="H669" i="50" s="1"/>
  <c r="G142" i="52"/>
  <c r="P20" i="57"/>
  <c r="D140" i="52"/>
  <c r="AB89" i="38"/>
  <c r="E122" i="38" s="1"/>
  <c r="T122" i="38" s="1"/>
  <c r="AD122" i="38" s="1"/>
  <c r="G129" i="38"/>
  <c r="B65" i="57"/>
  <c r="E111" i="38"/>
  <c r="T111" i="38" s="1"/>
  <c r="AD111" i="38" s="1"/>
  <c r="G141" i="52"/>
  <c r="E76" i="52"/>
  <c r="F128" i="52"/>
  <c r="D143" i="52"/>
  <c r="L47" i="57"/>
  <c r="T47" i="57" s="1"/>
  <c r="AB83" i="38"/>
  <c r="E116" i="38" s="1"/>
  <c r="T116" i="38" s="1"/>
  <c r="AD116" i="38" s="1"/>
  <c r="Z154" i="52"/>
  <c r="AA90" i="38"/>
  <c r="AC90" i="38" s="1"/>
  <c r="L20" i="57"/>
  <c r="T20" i="57" s="1"/>
  <c r="AA81" i="38"/>
  <c r="AC81" i="38" s="1"/>
  <c r="AA85" i="38"/>
  <c r="AC85" i="38" s="1"/>
  <c r="E140" i="52"/>
  <c r="H34" i="57"/>
  <c r="P37" i="57"/>
  <c r="Z178" i="52"/>
  <c r="F125" i="52"/>
  <c r="AB81" i="38"/>
  <c r="E114" i="38" s="1"/>
  <c r="T114" i="38" s="1"/>
  <c r="AD114" i="38" s="1"/>
  <c r="AA86" i="38"/>
  <c r="AC86" i="38" s="1"/>
  <c r="AA73" i="38"/>
  <c r="E127" i="52"/>
  <c r="AB86" i="38"/>
  <c r="E119" i="38" s="1"/>
  <c r="T119" i="38" s="1"/>
  <c r="AD119" i="38" s="1"/>
  <c r="A105" i="52"/>
  <c r="L25" i="57"/>
  <c r="T25" i="57" s="1"/>
  <c r="C142" i="52"/>
  <c r="L49" i="57"/>
  <c r="T49" i="57" s="1"/>
  <c r="L33" i="57"/>
  <c r="L45" i="57"/>
  <c r="T45" i="57" s="1"/>
  <c r="R45" i="43"/>
  <c r="G136" i="43" s="1"/>
  <c r="H136" i="43" s="1"/>
  <c r="R41" i="43"/>
  <c r="G132" i="43" s="1"/>
  <c r="H132" i="43" s="1"/>
  <c r="AB82" i="38"/>
  <c r="G667" i="50" s="1"/>
  <c r="H667" i="50" s="1"/>
  <c r="Z167" i="52"/>
  <c r="F142" i="52"/>
  <c r="D139" i="52"/>
  <c r="R38" i="43"/>
  <c r="G129" i="43" s="1"/>
  <c r="H129" i="43" s="1"/>
  <c r="L26" i="57"/>
  <c r="T26" i="57" s="1"/>
  <c r="L30" i="57"/>
  <c r="R20" i="57"/>
  <c r="H140" i="52"/>
  <c r="AA79" i="38"/>
  <c r="AC79" i="38" s="1"/>
  <c r="AA75" i="38"/>
  <c r="AC75" i="38" s="1"/>
  <c r="G140" i="52"/>
  <c r="AB80" i="38"/>
  <c r="Z161" i="52"/>
  <c r="AA72" i="38"/>
  <c r="AC72" i="38" s="1"/>
  <c r="P44" i="57"/>
  <c r="Z166" i="52"/>
  <c r="A121" i="52"/>
  <c r="Z168" i="52"/>
  <c r="AQ53" i="50"/>
  <c r="J18" i="57"/>
  <c r="G33" i="65"/>
  <c r="E48" i="65"/>
  <c r="M3" i="43"/>
  <c r="I4" i="43"/>
  <c r="K3" i="43"/>
  <c r="I3" i="43"/>
  <c r="E117" i="38"/>
  <c r="T117" i="38" s="1"/>
  <c r="AD117" i="38" s="1"/>
  <c r="D127" i="52"/>
  <c r="C139" i="52"/>
  <c r="AA91" i="38"/>
  <c r="AC91" i="38" s="1"/>
  <c r="J26" i="57"/>
  <c r="AA68" i="38"/>
  <c r="AC68" i="38" s="1"/>
  <c r="AB90" i="38"/>
  <c r="G675" i="50" s="1"/>
  <c r="H675" i="50" s="1"/>
  <c r="AB74" i="38"/>
  <c r="E107" i="38" s="1"/>
  <c r="T107" i="38" s="1"/>
  <c r="AD107" i="38" s="1"/>
  <c r="AA87" i="38"/>
  <c r="AC87" i="38" s="1"/>
  <c r="AB88" i="38"/>
  <c r="E121" i="38" s="1"/>
  <c r="T121" i="38" s="1"/>
  <c r="AD121" i="38" s="1"/>
  <c r="R45" i="57"/>
  <c r="G127" i="52"/>
  <c r="Z159" i="52"/>
  <c r="G143" i="52"/>
  <c r="H40" i="57"/>
  <c r="R47" i="43"/>
  <c r="G138" i="43" s="1"/>
  <c r="H138" i="43" s="1"/>
  <c r="L51" i="57"/>
  <c r="T51" i="57" s="1"/>
  <c r="R37" i="43"/>
  <c r="G128" i="43" s="1"/>
  <c r="H128" i="43" s="1"/>
  <c r="D124" i="52"/>
  <c r="D142" i="52"/>
  <c r="G4" i="43"/>
  <c r="E143" i="52"/>
  <c r="R43" i="43"/>
  <c r="G134" i="43" s="1"/>
  <c r="H134" i="43" s="1"/>
  <c r="P155" i="52"/>
  <c r="AB67" i="38"/>
  <c r="AA82" i="38"/>
  <c r="AC82" i="38" s="1"/>
  <c r="H25" i="57"/>
  <c r="F143" i="52"/>
  <c r="H141" i="52"/>
  <c r="G128" i="52"/>
  <c r="AA71" i="38"/>
  <c r="AC71" i="38" s="1"/>
  <c r="G3" i="38"/>
  <c r="AA175" i="50"/>
  <c r="AH175" i="50" s="1"/>
  <c r="N335" i="50"/>
  <c r="CA335" i="50" s="1"/>
  <c r="AF629" i="50"/>
  <c r="AE127" i="50"/>
  <c r="E38" i="65"/>
  <c r="K18" i="57"/>
  <c r="G18" i="57"/>
  <c r="E80" i="65"/>
  <c r="E123" i="38"/>
  <c r="T123" i="38" s="1"/>
  <c r="AD123" i="38" s="1"/>
  <c r="E17" i="65"/>
  <c r="I18" i="57"/>
  <c r="O18" i="57"/>
  <c r="X25" i="38"/>
  <c r="S153" i="52"/>
  <c r="AE55" i="50"/>
  <c r="F138" i="52"/>
  <c r="N455" i="50"/>
  <c r="CA455" i="50" s="1"/>
  <c r="N191" i="50"/>
  <c r="CA191" i="50" s="1"/>
  <c r="AE557" i="50"/>
  <c r="E50" i="65"/>
  <c r="G662" i="50"/>
  <c r="H662" i="50" s="1"/>
  <c r="F141" i="52"/>
  <c r="AA76" i="38"/>
  <c r="AC76" i="38" s="1"/>
  <c r="C126" i="52"/>
  <c r="AB87" i="38"/>
  <c r="E120" i="38" s="1"/>
  <c r="T120" i="38" s="1"/>
  <c r="AD120" i="38" s="1"/>
  <c r="AB79" i="38"/>
  <c r="G664" i="50" s="1"/>
  <c r="H664" i="50" s="1"/>
  <c r="C127" i="52"/>
  <c r="A96" i="52"/>
  <c r="AA70" i="38"/>
  <c r="G670" i="50"/>
  <c r="H670" i="50" s="1"/>
  <c r="B58" i="52"/>
  <c r="R40" i="43"/>
  <c r="G131" i="43" s="1"/>
  <c r="H131" i="43" s="1"/>
  <c r="AB91" i="38"/>
  <c r="E126" i="52"/>
  <c r="E124" i="52"/>
  <c r="J25" i="57"/>
  <c r="AA89" i="38"/>
  <c r="AC89" i="38" s="1"/>
  <c r="Z155" i="52"/>
  <c r="AA78" i="38"/>
  <c r="AC78" i="38" s="1"/>
  <c r="AB75" i="38"/>
  <c r="R30" i="43"/>
  <c r="Z162" i="52"/>
  <c r="R42" i="43"/>
  <c r="G133" i="43" s="1"/>
  <c r="H133" i="43" s="1"/>
  <c r="R36" i="43"/>
  <c r="G127" i="43" s="1"/>
  <c r="H127" i="43" s="1"/>
  <c r="L31" i="57"/>
  <c r="E125" i="52"/>
  <c r="F76" i="52"/>
  <c r="E141" i="52"/>
  <c r="L50" i="57"/>
  <c r="T50" i="57" s="1"/>
  <c r="L46" i="57"/>
  <c r="T46" i="57" s="1"/>
  <c r="G124" i="52"/>
  <c r="E139" i="52"/>
  <c r="C141" i="52"/>
  <c r="Z180" i="52"/>
  <c r="H48" i="57"/>
  <c r="AA83" i="38"/>
  <c r="AC83" i="38" s="1"/>
  <c r="Z179" i="52"/>
  <c r="A113" i="52"/>
  <c r="Z171" i="52"/>
  <c r="L32" i="57"/>
  <c r="D128" i="52"/>
  <c r="H139" i="52"/>
  <c r="J44" i="57"/>
  <c r="P45" i="57"/>
  <c r="F127" i="52"/>
  <c r="G125" i="52"/>
  <c r="L28" i="57"/>
  <c r="T28" i="57" s="1"/>
  <c r="R33" i="43"/>
  <c r="G124" i="43" s="1"/>
  <c r="H124" i="43" s="1"/>
  <c r="F13" i="60"/>
  <c r="I13" i="60" s="1"/>
  <c r="AA319" i="50"/>
  <c r="AH319" i="50" s="1"/>
  <c r="AF605" i="50"/>
  <c r="AI629" i="50"/>
  <c r="I629" i="50" s="1"/>
  <c r="Q159" i="52"/>
  <c r="S159" i="52" s="1"/>
  <c r="AE176" i="50"/>
  <c r="E19" i="62"/>
  <c r="C154" i="52"/>
  <c r="C155" i="52" s="1"/>
  <c r="C156" i="52" s="1"/>
  <c r="C162" i="52" s="1"/>
  <c r="C168" i="52" s="1"/>
  <c r="C174" i="52" s="1"/>
  <c r="C180" i="52" s="1"/>
  <c r="R50" i="65"/>
  <c r="R51" i="65" s="1"/>
  <c r="X27" i="38"/>
  <c r="P153" i="52"/>
  <c r="X24" i="38"/>
  <c r="N143" i="50"/>
  <c r="CA143" i="50" s="1"/>
  <c r="X19" i="38"/>
  <c r="T463" i="50"/>
  <c r="Y581" i="50"/>
  <c r="AV581" i="50" s="1"/>
  <c r="BK575" i="50" s="1"/>
  <c r="K3" i="38"/>
  <c r="N168" i="50"/>
  <c r="CB167" i="50" s="1"/>
  <c r="R170" i="50"/>
  <c r="CC167" i="50" s="1"/>
  <c r="N383" i="50"/>
  <c r="CA383" i="50" s="1"/>
  <c r="X39" i="38"/>
  <c r="X43" i="38"/>
  <c r="X45" i="38"/>
  <c r="X40" i="38"/>
  <c r="M4" i="38"/>
  <c r="C119" i="50"/>
  <c r="A95" i="50"/>
  <c r="AG509" i="50"/>
  <c r="AF509" i="50"/>
  <c r="T557" i="50"/>
  <c r="Y605" i="50"/>
  <c r="AV605" i="50" s="1"/>
  <c r="BK599" i="50" s="1"/>
  <c r="M3" i="38"/>
  <c r="K4" i="38"/>
  <c r="BG124" i="50"/>
  <c r="BG52" i="50"/>
  <c r="AW149" i="50"/>
  <c r="AX149" i="50" s="1"/>
  <c r="AI149" i="50"/>
  <c r="I149" i="50" s="1"/>
  <c r="AF149" i="50"/>
  <c r="T276" i="50"/>
  <c r="Y269" i="50"/>
  <c r="AV269" i="50" s="1"/>
  <c r="BK263" i="50" s="1"/>
  <c r="R266" i="50"/>
  <c r="CC263" i="50" s="1"/>
  <c r="N264" i="50"/>
  <c r="CB263" i="50" s="1"/>
  <c r="AF485" i="50"/>
  <c r="I3" i="38"/>
  <c r="X21" i="38"/>
  <c r="E109" i="38"/>
  <c r="T109" i="38" s="1"/>
  <c r="AD109" i="38" s="1"/>
  <c r="G673" i="50"/>
  <c r="H673" i="50" s="1"/>
  <c r="M4" i="10"/>
  <c r="G674" i="50"/>
  <c r="H674" i="50" s="1"/>
  <c r="X42" i="38"/>
  <c r="I12" i="62"/>
  <c r="M4" i="65"/>
  <c r="I4" i="65"/>
  <c r="R79" i="65"/>
  <c r="R80" i="65" s="1"/>
  <c r="U80" i="65" s="1"/>
  <c r="E79" i="65"/>
  <c r="I3" i="65"/>
  <c r="AE437" i="50"/>
  <c r="AE343" i="50"/>
  <c r="AE221" i="50"/>
  <c r="AE79" i="50"/>
  <c r="AE77" i="50"/>
  <c r="AE197" i="50"/>
  <c r="AE101" i="50"/>
  <c r="Q18" i="57"/>
  <c r="AE53" i="50"/>
  <c r="S18" i="57"/>
  <c r="AA224" i="50"/>
  <c r="AH224" i="50" s="1"/>
  <c r="E36" i="65"/>
  <c r="I33" i="65"/>
  <c r="E78" i="65"/>
  <c r="AE173" i="50"/>
  <c r="AW197" i="50"/>
  <c r="AX197" i="50" s="1"/>
  <c r="AF197" i="50"/>
  <c r="AE224" i="50"/>
  <c r="AG245" i="50"/>
  <c r="AF245" i="50"/>
  <c r="N263" i="50"/>
  <c r="CA263" i="50" s="1"/>
  <c r="AE341" i="50"/>
  <c r="AE512" i="50"/>
  <c r="AG581" i="50"/>
  <c r="AF581" i="50"/>
  <c r="V608" i="50"/>
  <c r="V607" i="50" s="1"/>
  <c r="V609" i="50" s="1"/>
  <c r="V610" i="50" s="1"/>
  <c r="W610" i="50" s="1"/>
  <c r="AL18" i="57"/>
  <c r="X18" i="38"/>
  <c r="Q155" i="52"/>
  <c r="S156" i="52"/>
  <c r="X20" i="38"/>
  <c r="G4" i="38"/>
  <c r="T14" i="9"/>
  <c r="T21" i="9" s="1"/>
  <c r="AE103" i="50"/>
  <c r="AE125" i="50"/>
  <c r="T156" i="50"/>
  <c r="Y149" i="50"/>
  <c r="AV149" i="50" s="1"/>
  <c r="BK143" i="50" s="1"/>
  <c r="R146" i="50"/>
  <c r="CC143" i="50" s="1"/>
  <c r="N144" i="50"/>
  <c r="CB143" i="50" s="1"/>
  <c r="AE152" i="50"/>
  <c r="AA200" i="50"/>
  <c r="AH200" i="50" s="1"/>
  <c r="AA247" i="50"/>
  <c r="AH247" i="50" s="1"/>
  <c r="AF461" i="50"/>
  <c r="AE533" i="50"/>
  <c r="X26" i="38"/>
  <c r="X44" i="38"/>
  <c r="P154" i="52"/>
  <c r="P156" i="52"/>
  <c r="K3" i="65"/>
  <c r="T175" i="50"/>
  <c r="V540" i="50"/>
  <c r="V248" i="50"/>
  <c r="V247" i="50" s="1"/>
  <c r="V249" i="50" s="1"/>
  <c r="V250" i="50" s="1"/>
  <c r="W250" i="50" s="1"/>
  <c r="Q167" i="52"/>
  <c r="S167" i="52" s="1"/>
  <c r="D171" i="52"/>
  <c r="Q165" i="52"/>
  <c r="S165" i="52" s="1"/>
  <c r="Q173" i="52"/>
  <c r="S173" i="52" s="1"/>
  <c r="R81" i="65"/>
  <c r="D83" i="65"/>
  <c r="E81" i="65"/>
  <c r="X46" i="38"/>
  <c r="X38" i="38"/>
  <c r="X41" i="38"/>
  <c r="X37" i="38"/>
  <c r="G132" i="38"/>
  <c r="AO18" i="57"/>
  <c r="E115" i="38"/>
  <c r="T115" i="38" s="1"/>
  <c r="AD115" i="38" s="1"/>
  <c r="E138" i="52"/>
  <c r="E17" i="62"/>
  <c r="D54" i="65"/>
  <c r="R52" i="65"/>
  <c r="R53" i="65" s="1"/>
  <c r="E53" i="65"/>
  <c r="E52" i="65"/>
  <c r="I135" i="38"/>
  <c r="X22" i="38"/>
  <c r="X23" i="38"/>
  <c r="D160" i="52"/>
  <c r="Q154" i="52"/>
  <c r="AU540" i="50"/>
  <c r="K540" i="50" s="1"/>
  <c r="AU468" i="50"/>
  <c r="K468" i="50" s="1"/>
  <c r="AU444" i="50"/>
  <c r="K444" i="50" s="1"/>
  <c r="AU636" i="50"/>
  <c r="K636" i="50" s="1"/>
  <c r="AU612" i="50"/>
  <c r="K612" i="50" s="1"/>
  <c r="AA540" i="50"/>
  <c r="AU492" i="50"/>
  <c r="K492" i="50" s="1"/>
  <c r="AA468" i="50"/>
  <c r="AA444" i="50"/>
  <c r="AU396" i="50"/>
  <c r="K396" i="50" s="1"/>
  <c r="AA372" i="50"/>
  <c r="AA636" i="50"/>
  <c r="AA612" i="50"/>
  <c r="AU588" i="50"/>
  <c r="K588" i="50" s="1"/>
  <c r="AU564" i="50"/>
  <c r="K564" i="50" s="1"/>
  <c r="AU516" i="50"/>
  <c r="K516" i="50" s="1"/>
  <c r="AA492" i="50"/>
  <c r="AU420" i="50"/>
  <c r="K420" i="50" s="1"/>
  <c r="AA396" i="50"/>
  <c r="AA588" i="50"/>
  <c r="AA564" i="50"/>
  <c r="AU276" i="50"/>
  <c r="K276" i="50" s="1"/>
  <c r="AA156" i="50"/>
  <c r="AU132" i="50"/>
  <c r="K132" i="50" s="1"/>
  <c r="AU300" i="50"/>
  <c r="K300" i="50" s="1"/>
  <c r="AA276" i="50"/>
  <c r="AU252" i="50"/>
  <c r="K252" i="50" s="1"/>
  <c r="AU228" i="50"/>
  <c r="K228" i="50" s="1"/>
  <c r="AA132" i="50"/>
  <c r="AA84" i="50"/>
  <c r="AA228" i="50"/>
  <c r="AU180" i="50"/>
  <c r="K180" i="50" s="1"/>
  <c r="AA420" i="50"/>
  <c r="AU372" i="50"/>
  <c r="K372" i="50" s="1"/>
  <c r="AA348" i="50"/>
  <c r="AU324" i="50"/>
  <c r="K324" i="50" s="1"/>
  <c r="AA204" i="50"/>
  <c r="AU156" i="50"/>
  <c r="K156" i="50" s="1"/>
  <c r="AA324" i="50"/>
  <c r="AA252" i="50"/>
  <c r="AU108" i="50"/>
  <c r="K108" i="50" s="1"/>
  <c r="AA516" i="50"/>
  <c r="AU348" i="50"/>
  <c r="K348" i="50" s="1"/>
  <c r="AA108" i="50"/>
  <c r="AU84" i="50"/>
  <c r="K84" i="50" s="1"/>
  <c r="AA300" i="50"/>
  <c r="AU204" i="50"/>
  <c r="K204" i="50" s="1"/>
  <c r="AA180" i="50"/>
  <c r="I134" i="38"/>
  <c r="AQ633" i="50"/>
  <c r="AQ610" i="50"/>
  <c r="AQ584" i="50"/>
  <c r="AQ583" i="50"/>
  <c r="AQ581" i="50"/>
  <c r="AQ561" i="50"/>
  <c r="AQ557" i="50"/>
  <c r="AQ537" i="50"/>
  <c r="AQ514" i="50"/>
  <c r="AQ489" i="50"/>
  <c r="AQ464" i="50"/>
  <c r="AQ461" i="50"/>
  <c r="AQ440" i="50"/>
  <c r="AQ393" i="50"/>
  <c r="AQ632" i="50"/>
  <c r="AQ609" i="50"/>
  <c r="AQ586" i="50"/>
  <c r="AQ560" i="50"/>
  <c r="AQ536" i="50"/>
  <c r="AQ513" i="50"/>
  <c r="AQ509" i="50"/>
  <c r="AQ488" i="50"/>
  <c r="AQ466" i="50"/>
  <c r="AQ418" i="50"/>
  <c r="AQ415" i="50"/>
  <c r="AQ392" i="50"/>
  <c r="AQ389" i="50"/>
  <c r="AQ367" i="50"/>
  <c r="AQ607" i="50"/>
  <c r="AQ585" i="50"/>
  <c r="AQ512" i="50"/>
  <c r="AQ487" i="50"/>
  <c r="AQ485" i="50"/>
  <c r="AQ465" i="50"/>
  <c r="AQ442" i="50"/>
  <c r="AQ439" i="50"/>
  <c r="AQ437" i="50"/>
  <c r="AQ417" i="50"/>
  <c r="AQ413" i="50"/>
  <c r="AQ394" i="50"/>
  <c r="AQ370" i="50"/>
  <c r="AQ365" i="50"/>
  <c r="AQ634" i="50"/>
  <c r="AQ562" i="50"/>
  <c r="AQ538" i="50"/>
  <c r="AQ322" i="50"/>
  <c r="AQ317" i="50"/>
  <c r="AQ297" i="50"/>
  <c r="AQ250" i="50"/>
  <c r="AQ245" i="50"/>
  <c r="AQ225" i="50"/>
  <c r="AQ221" i="50"/>
  <c r="AQ202" i="50"/>
  <c r="AQ178" i="50"/>
  <c r="AQ152" i="50"/>
  <c r="AQ149" i="50"/>
  <c r="AQ128" i="50"/>
  <c r="AQ605" i="50"/>
  <c r="AQ533" i="50"/>
  <c r="AQ511" i="50"/>
  <c r="AQ416" i="50"/>
  <c r="AQ345" i="50"/>
  <c r="AQ343" i="50"/>
  <c r="AQ321" i="50"/>
  <c r="AQ296" i="50"/>
  <c r="AQ274" i="50"/>
  <c r="AQ271" i="50"/>
  <c r="AQ269" i="50"/>
  <c r="AQ249" i="50"/>
  <c r="AQ224" i="50"/>
  <c r="AQ201" i="50"/>
  <c r="AQ177" i="50"/>
  <c r="AQ173" i="50"/>
  <c r="AQ154" i="50"/>
  <c r="AQ127" i="50"/>
  <c r="AQ106" i="50"/>
  <c r="AQ629" i="50"/>
  <c r="AQ535" i="50"/>
  <c r="AQ226" i="50"/>
  <c r="AQ130" i="50"/>
  <c r="AQ129" i="50"/>
  <c r="AQ125" i="50"/>
  <c r="AQ103" i="50"/>
  <c r="AQ101" i="50"/>
  <c r="AQ82" i="50"/>
  <c r="AQ81" i="50"/>
  <c r="AQ631" i="50"/>
  <c r="AQ463" i="50"/>
  <c r="AQ441" i="50"/>
  <c r="AQ391" i="50"/>
  <c r="AQ346" i="50"/>
  <c r="AQ293" i="50"/>
  <c r="AQ200" i="50"/>
  <c r="AQ199" i="50"/>
  <c r="AQ197" i="50"/>
  <c r="AQ153" i="50"/>
  <c r="AQ151" i="50"/>
  <c r="AQ104" i="50"/>
  <c r="AQ105" i="50"/>
  <c r="BG196" i="50"/>
  <c r="G225" i="50"/>
  <c r="G226" i="50"/>
  <c r="AW269" i="50"/>
  <c r="AX269" i="50" s="1"/>
  <c r="AF269" i="50"/>
  <c r="AI269" i="50"/>
  <c r="I269" i="50" s="1"/>
  <c r="G272" i="50"/>
  <c r="AQ298" i="50"/>
  <c r="G344" i="50"/>
  <c r="AQ608" i="50"/>
  <c r="AQ77" i="50"/>
  <c r="AQ79" i="50"/>
  <c r="AQ80" i="50"/>
  <c r="G153" i="50"/>
  <c r="G202" i="50"/>
  <c r="AA223" i="50"/>
  <c r="AH223" i="50" s="1"/>
  <c r="AQ247" i="50"/>
  <c r="AQ248" i="50"/>
  <c r="AA296" i="50"/>
  <c r="AH296" i="50" s="1"/>
  <c r="I317" i="50"/>
  <c r="AF317" i="50"/>
  <c r="AG317" i="50"/>
  <c r="AQ320" i="50"/>
  <c r="T348" i="50"/>
  <c r="R338" i="50"/>
  <c r="CC335" i="50" s="1"/>
  <c r="N336" i="50"/>
  <c r="CB335" i="50" s="1"/>
  <c r="Y343" i="50"/>
  <c r="BC343" i="50" s="1"/>
  <c r="Y341" i="50"/>
  <c r="AV341" i="50" s="1"/>
  <c r="BK335" i="50" s="1"/>
  <c r="T343" i="50"/>
  <c r="T344" i="50"/>
  <c r="AA583" i="50"/>
  <c r="AH583" i="50" s="1"/>
  <c r="BG604" i="50"/>
  <c r="BG580" i="50"/>
  <c r="BG484" i="50"/>
  <c r="BG460" i="50"/>
  <c r="BG388" i="50"/>
  <c r="BG508" i="50"/>
  <c r="BG412" i="50"/>
  <c r="BG532" i="50"/>
  <c r="BG436" i="50"/>
  <c r="BG364" i="50"/>
  <c r="BG292" i="50"/>
  <c r="BG148" i="50"/>
  <c r="BG556" i="50"/>
  <c r="BG316" i="50"/>
  <c r="BG268" i="50"/>
  <c r="BG172" i="50"/>
  <c r="BG244" i="50"/>
  <c r="BG220" i="50"/>
  <c r="BG100" i="50"/>
  <c r="BG628" i="50"/>
  <c r="E51" i="65"/>
  <c r="A71" i="50"/>
  <c r="I3" i="50" s="1"/>
  <c r="BG76" i="50"/>
  <c r="G106" i="50"/>
  <c r="AQ175" i="50"/>
  <c r="AQ176" i="50"/>
  <c r="T204" i="50"/>
  <c r="Y201" i="50"/>
  <c r="AC201" i="50" s="1"/>
  <c r="AV201" i="50" s="1"/>
  <c r="AK200" i="50"/>
  <c r="R194" i="50"/>
  <c r="CC191" i="50" s="1"/>
  <c r="N192" i="50"/>
  <c r="CB191" i="50" s="1"/>
  <c r="T200" i="50"/>
  <c r="AQ272" i="50"/>
  <c r="AQ273" i="50"/>
  <c r="AQ319" i="50"/>
  <c r="AQ344" i="50"/>
  <c r="I485" i="50"/>
  <c r="AJ485" i="50"/>
  <c r="AN485" i="50" s="1"/>
  <c r="AN488" i="50" s="1"/>
  <c r="AO488" i="50" s="1"/>
  <c r="AQ490" i="50"/>
  <c r="G608" i="50"/>
  <c r="G586" i="50"/>
  <c r="G583" i="50"/>
  <c r="G559" i="50"/>
  <c r="G533" i="50"/>
  <c r="G513" i="50"/>
  <c r="G488" i="50"/>
  <c r="G466" i="50"/>
  <c r="G463" i="50"/>
  <c r="G440" i="50"/>
  <c r="G437" i="50"/>
  <c r="G418" i="50"/>
  <c r="G632" i="50"/>
  <c r="G629" i="50"/>
  <c r="G609" i="50"/>
  <c r="G560" i="50"/>
  <c r="G557" i="50"/>
  <c r="G536" i="50"/>
  <c r="G512" i="50"/>
  <c r="G511" i="50"/>
  <c r="G464" i="50"/>
  <c r="G442" i="50"/>
  <c r="G417" i="50"/>
  <c r="G392" i="50"/>
  <c r="G391" i="50"/>
  <c r="G370" i="50"/>
  <c r="G634" i="50"/>
  <c r="G605" i="50"/>
  <c r="G585" i="50"/>
  <c r="G584" i="50"/>
  <c r="G581" i="50"/>
  <c r="G562" i="50"/>
  <c r="G538" i="50"/>
  <c r="G490" i="50"/>
  <c r="G487" i="50"/>
  <c r="G485" i="50"/>
  <c r="G465" i="50"/>
  <c r="G461" i="50"/>
  <c r="G441" i="50"/>
  <c r="G439" i="50"/>
  <c r="G415" i="50"/>
  <c r="G394" i="50"/>
  <c r="G389" i="50"/>
  <c r="G369" i="50"/>
  <c r="G367" i="50"/>
  <c r="G489" i="50"/>
  <c r="G413" i="50"/>
  <c r="G368" i="50"/>
  <c r="G365" i="50"/>
  <c r="G345" i="50"/>
  <c r="G341" i="50"/>
  <c r="G321" i="50"/>
  <c r="G319" i="50"/>
  <c r="G296" i="50"/>
  <c r="G274" i="50"/>
  <c r="G247" i="50"/>
  <c r="G223" i="50"/>
  <c r="G221" i="50"/>
  <c r="G200" i="50"/>
  <c r="G197" i="50"/>
  <c r="G177" i="50"/>
  <c r="G154" i="50"/>
  <c r="G151" i="50"/>
  <c r="G607" i="50"/>
  <c r="G535" i="50"/>
  <c r="G514" i="50"/>
  <c r="G393" i="50"/>
  <c r="G320" i="50"/>
  <c r="G273" i="50"/>
  <c r="G271" i="50"/>
  <c r="G249" i="50"/>
  <c r="G248" i="50"/>
  <c r="G245" i="50"/>
  <c r="G224" i="50"/>
  <c r="G201" i="50"/>
  <c r="G176" i="50"/>
  <c r="G175" i="50"/>
  <c r="G152" i="50"/>
  <c r="G82" i="50"/>
  <c r="G631" i="50"/>
  <c r="G610" i="50"/>
  <c r="G537" i="50"/>
  <c r="G509" i="50"/>
  <c r="G293" i="50"/>
  <c r="G269" i="50"/>
  <c r="G250" i="50"/>
  <c r="G178" i="50"/>
  <c r="G173" i="50"/>
  <c r="G633" i="50"/>
  <c r="G346" i="50"/>
  <c r="G322" i="50"/>
  <c r="G317" i="50"/>
  <c r="G298" i="50"/>
  <c r="G297" i="50"/>
  <c r="G295" i="50"/>
  <c r="G199" i="50"/>
  <c r="G3" i="50"/>
  <c r="G3" i="65"/>
  <c r="G81" i="50"/>
  <c r="AQ223" i="50"/>
  <c r="AQ295" i="50"/>
  <c r="BG340" i="50"/>
  <c r="AQ341" i="50"/>
  <c r="G343" i="50"/>
  <c r="AQ368" i="50"/>
  <c r="AQ369" i="50"/>
  <c r="AA392" i="50"/>
  <c r="AH392" i="50" s="1"/>
  <c r="G416" i="50"/>
  <c r="AA511" i="50"/>
  <c r="AH511" i="50" s="1"/>
  <c r="AQ559" i="50"/>
  <c r="G561" i="50"/>
  <c r="T228" i="50"/>
  <c r="R218" i="50"/>
  <c r="CC215" i="50" s="1"/>
  <c r="N216" i="50"/>
  <c r="CB215" i="50" s="1"/>
  <c r="T252" i="50"/>
  <c r="Y249" i="50"/>
  <c r="AC249" i="50" s="1"/>
  <c r="AV249" i="50" s="1"/>
  <c r="AK248" i="50"/>
  <c r="T248" i="50"/>
  <c r="R242" i="50"/>
  <c r="CC239" i="50" s="1"/>
  <c r="N240" i="50"/>
  <c r="CB239" i="50" s="1"/>
  <c r="AA248" i="50"/>
  <c r="AH248" i="50" s="1"/>
  <c r="AA440" i="50"/>
  <c r="AH440" i="50" s="1"/>
  <c r="I461" i="50"/>
  <c r="AJ461" i="50"/>
  <c r="AN461" i="50" s="1"/>
  <c r="AN464" i="50" s="1"/>
  <c r="AO464" i="50" s="1"/>
  <c r="AA488" i="50"/>
  <c r="AH488" i="50" s="1"/>
  <c r="AA584" i="50"/>
  <c r="AH584" i="50" s="1"/>
  <c r="K144" i="50"/>
  <c r="K192" i="50"/>
  <c r="K216" i="50"/>
  <c r="K239" i="50"/>
  <c r="K288" i="50"/>
  <c r="K312" i="50"/>
  <c r="K335" i="50"/>
  <c r="K360" i="50"/>
  <c r="K384" i="50"/>
  <c r="K408" i="50"/>
  <c r="K432" i="50"/>
  <c r="K456" i="50"/>
  <c r="K480" i="50"/>
  <c r="K504" i="50"/>
  <c r="K528" i="50"/>
  <c r="AE629" i="50"/>
  <c r="AE607" i="50"/>
  <c r="AE605" i="50"/>
  <c r="AE581" i="50"/>
  <c r="AE487" i="50"/>
  <c r="AE485" i="50"/>
  <c r="AE439" i="50"/>
  <c r="AE416" i="50"/>
  <c r="AE389" i="50"/>
  <c r="AE631" i="50"/>
  <c r="AE608" i="50"/>
  <c r="AE559" i="50"/>
  <c r="AE535" i="50"/>
  <c r="AE511" i="50"/>
  <c r="AE509" i="50"/>
  <c r="AE463" i="50"/>
  <c r="AE461" i="50"/>
  <c r="AE440" i="50"/>
  <c r="AE391" i="50"/>
  <c r="AE368" i="50"/>
  <c r="AE632" i="50"/>
  <c r="AE584" i="50"/>
  <c r="AE583" i="50"/>
  <c r="AE560" i="50"/>
  <c r="AE536" i="50"/>
  <c r="AE488" i="50"/>
  <c r="AE464" i="50"/>
  <c r="AE413" i="50"/>
  <c r="AE392" i="50"/>
  <c r="AE295" i="50"/>
  <c r="AE272" i="50"/>
  <c r="AE245" i="50"/>
  <c r="AE199" i="50"/>
  <c r="AE149" i="50"/>
  <c r="AE319" i="50"/>
  <c r="AE317" i="50"/>
  <c r="AE293" i="50"/>
  <c r="AE269" i="50"/>
  <c r="AE248" i="50"/>
  <c r="AE247" i="50"/>
  <c r="AE223" i="50"/>
  <c r="AE200" i="50"/>
  <c r="AE175" i="50"/>
  <c r="AE151" i="50"/>
  <c r="AE128" i="50"/>
  <c r="AE80" i="50"/>
  <c r="AA415" i="50"/>
  <c r="AH415" i="50" s="1"/>
  <c r="AA632" i="50"/>
  <c r="AH632" i="50" s="1"/>
  <c r="AA560" i="50"/>
  <c r="AH560" i="50" s="1"/>
  <c r="AA367" i="50"/>
  <c r="AH367" i="50" s="1"/>
  <c r="AA344" i="50"/>
  <c r="AH344" i="50" s="1"/>
  <c r="AE104" i="50"/>
  <c r="AA151" i="50"/>
  <c r="AH151" i="50" s="1"/>
  <c r="AA152" i="50"/>
  <c r="AH152" i="50" s="1"/>
  <c r="AG173" i="50"/>
  <c r="AF173" i="50"/>
  <c r="AE271" i="50"/>
  <c r="AA272" i="50"/>
  <c r="AH272" i="50" s="1"/>
  <c r="AE296" i="50"/>
  <c r="AE320" i="50"/>
  <c r="AE344" i="50"/>
  <c r="AE365" i="50"/>
  <c r="AE415" i="50"/>
  <c r="AK152" i="50"/>
  <c r="Y153" i="50"/>
  <c r="AC153" i="50" s="1"/>
  <c r="I153" i="50" s="1"/>
  <c r="AI197" i="50"/>
  <c r="I197" i="50" s="1"/>
  <c r="AA199" i="50"/>
  <c r="AH199" i="50" s="1"/>
  <c r="AA295" i="50"/>
  <c r="AH295" i="50" s="1"/>
  <c r="AV485" i="50"/>
  <c r="BK479" i="50" s="1"/>
  <c r="T511" i="50"/>
  <c r="Y509" i="50"/>
  <c r="AV509" i="50" s="1"/>
  <c r="BK503" i="50" s="1"/>
  <c r="AA559" i="50"/>
  <c r="AH559" i="50" s="1"/>
  <c r="T152" i="50"/>
  <c r="AA176" i="50"/>
  <c r="AH176" i="50" s="1"/>
  <c r="AA271" i="50"/>
  <c r="AH271" i="50" s="1"/>
  <c r="AA320" i="50"/>
  <c r="AH320" i="50" s="1"/>
  <c r="AA343" i="50"/>
  <c r="AH343" i="50" s="1"/>
  <c r="AI365" i="50"/>
  <c r="AF365" i="50"/>
  <c r="AA391" i="50"/>
  <c r="AH391" i="50" s="1"/>
  <c r="AG413" i="50"/>
  <c r="AF413" i="50"/>
  <c r="AA464" i="50"/>
  <c r="AH464" i="50" s="1"/>
  <c r="AA536" i="50"/>
  <c r="AH536" i="50" s="1"/>
  <c r="AA607" i="50"/>
  <c r="AH607" i="50" s="1"/>
  <c r="AA368" i="50"/>
  <c r="AH368" i="50" s="1"/>
  <c r="N384" i="50"/>
  <c r="CB383" i="50" s="1"/>
  <c r="R386" i="50"/>
  <c r="CC383" i="50" s="1"/>
  <c r="V416" i="50"/>
  <c r="V415" i="50" s="1"/>
  <c r="V417" i="50" s="1"/>
  <c r="V418" i="50" s="1"/>
  <c r="W418" i="50" s="1"/>
  <c r="AF437" i="50"/>
  <c r="N456" i="50"/>
  <c r="CB455" i="50" s="1"/>
  <c r="R458" i="50"/>
  <c r="CC455" i="50" s="1"/>
  <c r="AA463" i="50"/>
  <c r="AH463" i="50" s="1"/>
  <c r="AG485" i="50"/>
  <c r="AF533" i="50"/>
  <c r="AH533" i="50" s="1"/>
  <c r="AA535" i="50"/>
  <c r="AH535" i="50" s="1"/>
  <c r="N576" i="50"/>
  <c r="CB575" i="50" s="1"/>
  <c r="R578" i="50"/>
  <c r="CC575" i="50" s="1"/>
  <c r="N600" i="50"/>
  <c r="CB599" i="50" s="1"/>
  <c r="R602" i="50"/>
  <c r="CC599" i="50" s="1"/>
  <c r="AG605" i="50"/>
  <c r="AA608" i="50"/>
  <c r="AH608" i="50" s="1"/>
  <c r="AA631" i="50"/>
  <c r="AH631" i="50" s="1"/>
  <c r="T394" i="50"/>
  <c r="AA416" i="50"/>
  <c r="AH416" i="50" s="1"/>
  <c r="AG437" i="50"/>
  <c r="AA439" i="50"/>
  <c r="AH439" i="50" s="1"/>
  <c r="AK464" i="50"/>
  <c r="Y465" i="50"/>
  <c r="AC465" i="50" s="1"/>
  <c r="I465" i="50" s="1"/>
  <c r="AA487" i="50"/>
  <c r="AH487" i="50" s="1"/>
  <c r="T584" i="50"/>
  <c r="AK584" i="50"/>
  <c r="Y585" i="50"/>
  <c r="AC585" i="50" s="1"/>
  <c r="AV585" i="50" s="1"/>
  <c r="V588" i="50"/>
  <c r="T389" i="50"/>
  <c r="T391" i="50"/>
  <c r="T464" i="50"/>
  <c r="AA512" i="50"/>
  <c r="AH512" i="50" s="1"/>
  <c r="AK608" i="50"/>
  <c r="Y609" i="50"/>
  <c r="AC609" i="50" s="1"/>
  <c r="AS609" i="50" s="1"/>
  <c r="AU609" i="50" s="1"/>
  <c r="AW609" i="50" s="1"/>
  <c r="AX609" i="50" s="1"/>
  <c r="I129" i="38"/>
  <c r="I132" i="38"/>
  <c r="I136" i="38"/>
  <c r="I133" i="38"/>
  <c r="K264" i="50"/>
  <c r="K263" i="50"/>
  <c r="K576" i="50"/>
  <c r="K575" i="50"/>
  <c r="K624" i="50"/>
  <c r="K623" i="50"/>
  <c r="T300" i="50"/>
  <c r="R290" i="50"/>
  <c r="CC287" i="50" s="1"/>
  <c r="N288" i="50"/>
  <c r="CB287" i="50" s="1"/>
  <c r="AK296" i="50"/>
  <c r="Y297" i="50"/>
  <c r="AC297" i="50" s="1"/>
  <c r="AS297" i="50" s="1"/>
  <c r="AU297" i="50" s="1"/>
  <c r="AW297" i="50" s="1"/>
  <c r="AX297" i="50" s="1"/>
  <c r="T372" i="50"/>
  <c r="Y369" i="50"/>
  <c r="AC369" i="50" s="1"/>
  <c r="AS369" i="50" s="1"/>
  <c r="AU369" i="50" s="1"/>
  <c r="AW369" i="50" s="1"/>
  <c r="AX369" i="50" s="1"/>
  <c r="AK368" i="50"/>
  <c r="T368" i="50"/>
  <c r="T367" i="50"/>
  <c r="R362" i="50"/>
  <c r="CC359" i="50" s="1"/>
  <c r="N360" i="50"/>
  <c r="CB359" i="50" s="1"/>
  <c r="Y365" i="50"/>
  <c r="AV365" i="50" s="1"/>
  <c r="BK359" i="50" s="1"/>
  <c r="T420" i="50"/>
  <c r="T416" i="50"/>
  <c r="R410" i="50"/>
  <c r="CC407" i="50" s="1"/>
  <c r="N408" i="50"/>
  <c r="CB407" i="50" s="1"/>
  <c r="T415" i="50"/>
  <c r="Y413" i="50"/>
  <c r="AV413" i="50" s="1"/>
  <c r="BK407" i="50" s="1"/>
  <c r="Y417" i="50"/>
  <c r="AC417" i="50" s="1"/>
  <c r="AV417" i="50" s="1"/>
  <c r="T296" i="50"/>
  <c r="T324" i="50"/>
  <c r="Y321" i="50"/>
  <c r="AC321" i="50" s="1"/>
  <c r="AS321" i="50" s="1"/>
  <c r="AU321" i="50" s="1"/>
  <c r="AW321" i="50" s="1"/>
  <c r="AX321" i="50" s="1"/>
  <c r="AK320" i="50"/>
  <c r="Y317" i="50"/>
  <c r="AV317" i="50" s="1"/>
  <c r="BK311" i="50" s="1"/>
  <c r="R314" i="50"/>
  <c r="CC311" i="50" s="1"/>
  <c r="N312" i="50"/>
  <c r="CB311" i="50" s="1"/>
  <c r="T320" i="50"/>
  <c r="T319" i="50"/>
  <c r="T444" i="50"/>
  <c r="R434" i="50"/>
  <c r="CC431" i="50" s="1"/>
  <c r="N432" i="50"/>
  <c r="CB431" i="50" s="1"/>
  <c r="Y441" i="50"/>
  <c r="AC441" i="50" s="1"/>
  <c r="I441" i="50" s="1"/>
  <c r="AK440" i="50"/>
  <c r="Y437" i="50"/>
  <c r="AV437" i="50" s="1"/>
  <c r="BK431" i="50" s="1"/>
  <c r="T439" i="50"/>
  <c r="T440" i="50"/>
  <c r="T492" i="50"/>
  <c r="Y489" i="50"/>
  <c r="AC489" i="50" s="1"/>
  <c r="AV489" i="50" s="1"/>
  <c r="AK488" i="50"/>
  <c r="T488" i="50"/>
  <c r="T487" i="50"/>
  <c r="R482" i="50"/>
  <c r="CC479" i="50" s="1"/>
  <c r="N480" i="50"/>
  <c r="CB479" i="50" s="1"/>
  <c r="Y636" i="50"/>
  <c r="AC636" i="50" s="1"/>
  <c r="AV636" i="50" s="1"/>
  <c r="Y633" i="50"/>
  <c r="BC633" i="50" s="1"/>
  <c r="AK632" i="50"/>
  <c r="T632" i="50"/>
  <c r="T631" i="50"/>
  <c r="R626" i="50"/>
  <c r="CC623" i="50" s="1"/>
  <c r="N624" i="50"/>
  <c r="CB623" i="50" s="1"/>
  <c r="T636" i="50"/>
  <c r="Y629" i="50"/>
  <c r="M629" i="50" s="1"/>
  <c r="I173" i="50"/>
  <c r="AJ173" i="50"/>
  <c r="AN173" i="50" s="1"/>
  <c r="AN176" i="50" s="1"/>
  <c r="AO176" i="50" s="1"/>
  <c r="T295" i="50"/>
  <c r="AJ437" i="50"/>
  <c r="AN437" i="50" s="1"/>
  <c r="AN440" i="50" s="1"/>
  <c r="AO440" i="50" s="1"/>
  <c r="T564" i="50"/>
  <c r="Y557" i="50"/>
  <c r="AV557" i="50" s="1"/>
  <c r="BK551" i="50" s="1"/>
  <c r="Y561" i="50"/>
  <c r="AC561" i="50" s="1"/>
  <c r="I561" i="50" s="1"/>
  <c r="AK560" i="50"/>
  <c r="T560" i="50"/>
  <c r="T559" i="50"/>
  <c r="R554" i="50"/>
  <c r="CC551" i="50" s="1"/>
  <c r="N552" i="50"/>
  <c r="CB551" i="50" s="1"/>
  <c r="K168" i="50"/>
  <c r="K167" i="50"/>
  <c r="K552" i="50"/>
  <c r="K551" i="50"/>
  <c r="K600" i="50"/>
  <c r="K599" i="50"/>
  <c r="K383" i="50"/>
  <c r="K407" i="50"/>
  <c r="AK416" i="50"/>
  <c r="K455" i="50"/>
  <c r="K527" i="50"/>
  <c r="T540" i="50"/>
  <c r="T536" i="50"/>
  <c r="R530" i="50"/>
  <c r="CC527" i="50" s="1"/>
  <c r="N528" i="50"/>
  <c r="CB527" i="50" s="1"/>
  <c r="T535" i="50"/>
  <c r="Y533" i="50"/>
  <c r="AV533" i="50" s="1"/>
  <c r="BK527" i="50" s="1"/>
  <c r="AK536" i="50"/>
  <c r="Y537" i="50"/>
  <c r="BC537" i="50" s="1"/>
  <c r="N287" i="50"/>
  <c r="CA287" i="50" s="1"/>
  <c r="K311" i="50"/>
  <c r="K479" i="50"/>
  <c r="V516" i="50"/>
  <c r="V512" i="50"/>
  <c r="V511" i="50" s="1"/>
  <c r="V513" i="50" s="1"/>
  <c r="V514" i="50" s="1"/>
  <c r="W514" i="50" s="1"/>
  <c r="K143" i="50"/>
  <c r="Y293" i="50"/>
  <c r="AV293" i="50" s="1"/>
  <c r="BK287" i="50" s="1"/>
  <c r="V444" i="50"/>
  <c r="V440" i="50"/>
  <c r="V439" i="50" s="1"/>
  <c r="V441" i="50" s="1"/>
  <c r="W441" i="50" s="1"/>
  <c r="K503" i="50"/>
  <c r="T516" i="50"/>
  <c r="Y513" i="50"/>
  <c r="AC513" i="50" s="1"/>
  <c r="I513" i="50" s="1"/>
  <c r="AK512" i="50"/>
  <c r="T512" i="50"/>
  <c r="R506" i="50"/>
  <c r="CC503" i="50" s="1"/>
  <c r="N504" i="50"/>
  <c r="CB503" i="50" s="1"/>
  <c r="N551" i="50"/>
  <c r="CA551" i="50" s="1"/>
  <c r="T176" i="50"/>
  <c r="T223" i="50"/>
  <c r="T224" i="50"/>
  <c r="AK224" i="50"/>
  <c r="Y225" i="50"/>
  <c r="AC225" i="50" s="1"/>
  <c r="AS225" i="50" s="1"/>
  <c r="AU225" i="50" s="1"/>
  <c r="R268" i="50"/>
  <c r="CD263" i="50" s="1"/>
  <c r="T271" i="50"/>
  <c r="R340" i="50"/>
  <c r="CD335" i="50" s="1"/>
  <c r="Y344" i="50"/>
  <c r="BC344" i="50" s="1"/>
  <c r="AK344" i="50"/>
  <c r="Y345" i="50"/>
  <c r="AC345" i="50" s="1"/>
  <c r="AV345" i="50" s="1"/>
  <c r="Y348" i="50"/>
  <c r="AC348" i="50" s="1"/>
  <c r="AV348" i="50" s="1"/>
  <c r="Y389" i="50"/>
  <c r="AV389" i="50" s="1"/>
  <c r="BK383" i="50" s="1"/>
  <c r="Y391" i="50"/>
  <c r="AC391" i="50" s="1"/>
  <c r="T392" i="50"/>
  <c r="T607" i="50"/>
  <c r="Y173" i="50"/>
  <c r="AV173" i="50" s="1"/>
  <c r="BK167" i="50" s="1"/>
  <c r="V176" i="50"/>
  <c r="V175" i="50" s="1"/>
  <c r="V177" i="50" s="1"/>
  <c r="V178" i="50" s="1"/>
  <c r="W178" i="50" s="1"/>
  <c r="AK176" i="50"/>
  <c r="Y177" i="50"/>
  <c r="AC177" i="50" s="1"/>
  <c r="AS177" i="50" s="1"/>
  <c r="AU177" i="50" s="1"/>
  <c r="AW177" i="50" s="1"/>
  <c r="AX177" i="50" s="1"/>
  <c r="Y197" i="50"/>
  <c r="AV197" i="50" s="1"/>
  <c r="BK191" i="50" s="1"/>
  <c r="Y221" i="50"/>
  <c r="AV221" i="50" s="1"/>
  <c r="BK215" i="50" s="1"/>
  <c r="Y245" i="50"/>
  <c r="AV245" i="50" s="1"/>
  <c r="BK239" i="50" s="1"/>
  <c r="T247" i="50"/>
  <c r="T269" i="50"/>
  <c r="Y271" i="50"/>
  <c r="BC271" i="50" s="1"/>
  <c r="T272" i="50"/>
  <c r="AK272" i="50"/>
  <c r="Y273" i="50"/>
  <c r="AC273" i="50" s="1"/>
  <c r="I273" i="50" s="1"/>
  <c r="V320" i="50"/>
  <c r="V319" i="50" s="1"/>
  <c r="V321" i="50" s="1"/>
  <c r="V322" i="50" s="1"/>
  <c r="W322" i="50" s="1"/>
  <c r="T341" i="50"/>
  <c r="R388" i="50"/>
  <c r="CD383" i="50" s="1"/>
  <c r="Y392" i="50"/>
  <c r="AC392" i="50" s="1"/>
  <c r="AK392" i="50"/>
  <c r="Y393" i="50"/>
  <c r="AC393" i="50" s="1"/>
  <c r="I393" i="50" s="1"/>
  <c r="Y396" i="50"/>
  <c r="AC396" i="50" s="1"/>
  <c r="AV396" i="50" s="1"/>
  <c r="Y461" i="50"/>
  <c r="AV461" i="50" s="1"/>
  <c r="BK455" i="50" s="1"/>
  <c r="T583" i="50"/>
  <c r="AJ605" i="50"/>
  <c r="AN605" i="50" s="1"/>
  <c r="AN608" i="50" s="1"/>
  <c r="AO608" i="50" s="1"/>
  <c r="T608" i="50"/>
  <c r="R629" i="50"/>
  <c r="CE623" i="50" s="1"/>
  <c r="AG629" i="50"/>
  <c r="V632" i="50"/>
  <c r="V631" i="50" s="1"/>
  <c r="V633" i="50" s="1"/>
  <c r="T633" i="50"/>
  <c r="Y634" i="50"/>
  <c r="R628" i="50"/>
  <c r="CD623" i="50" s="1"/>
  <c r="T629" i="50"/>
  <c r="Y631" i="50"/>
  <c r="Y632" i="50"/>
  <c r="T634" i="50"/>
  <c r="R605" i="50"/>
  <c r="CE599" i="50" s="1"/>
  <c r="T609" i="50"/>
  <c r="N599" i="50"/>
  <c r="CA599" i="50" s="1"/>
  <c r="R604" i="50"/>
  <c r="CD599" i="50" s="1"/>
  <c r="T605" i="50"/>
  <c r="AW605" i="50"/>
  <c r="AX605" i="50" s="1"/>
  <c r="Y607" i="50"/>
  <c r="CG607" i="50" s="1"/>
  <c r="Y608" i="50"/>
  <c r="T610" i="50"/>
  <c r="Y612" i="50"/>
  <c r="AC612" i="50" s="1"/>
  <c r="Y610" i="50"/>
  <c r="CG610" i="50" s="1"/>
  <c r="V586" i="50"/>
  <c r="W586" i="50" s="1"/>
  <c r="W585" i="50"/>
  <c r="R581" i="50"/>
  <c r="CE575" i="50" s="1"/>
  <c r="T585" i="50"/>
  <c r="Y586" i="50"/>
  <c r="N575" i="50"/>
  <c r="CA575" i="50" s="1"/>
  <c r="R580" i="50"/>
  <c r="CD575" i="50" s="1"/>
  <c r="T581" i="50"/>
  <c r="AW581" i="50"/>
  <c r="AX581" i="50" s="1"/>
  <c r="Y583" i="50"/>
  <c r="Y584" i="50"/>
  <c r="T586" i="50"/>
  <c r="Y588" i="50"/>
  <c r="AC588" i="50" s="1"/>
  <c r="AI581" i="50"/>
  <c r="R557" i="50"/>
  <c r="CE551" i="50" s="1"/>
  <c r="AG557" i="50"/>
  <c r="AH557" i="50" s="1"/>
  <c r="V560" i="50"/>
  <c r="V559" i="50" s="1"/>
  <c r="V561" i="50" s="1"/>
  <c r="T561" i="50"/>
  <c r="Y562" i="50"/>
  <c r="CG562" i="50" s="1"/>
  <c r="AW557" i="50"/>
  <c r="AX557" i="50" s="1"/>
  <c r="Y559" i="50"/>
  <c r="CG559" i="50" s="1"/>
  <c r="Y560" i="50"/>
  <c r="T562" i="50"/>
  <c r="Y564" i="50"/>
  <c r="AC564" i="50" s="1"/>
  <c r="AI557" i="50"/>
  <c r="V538" i="50"/>
  <c r="W538" i="50" s="1"/>
  <c r="W537" i="50"/>
  <c r="R533" i="50"/>
  <c r="CE527" i="50" s="1"/>
  <c r="T537" i="50"/>
  <c r="Y538" i="50"/>
  <c r="N527" i="50"/>
  <c r="CA527" i="50" s="1"/>
  <c r="R532" i="50"/>
  <c r="CD527" i="50" s="1"/>
  <c r="T533" i="50"/>
  <c r="AW533" i="50"/>
  <c r="AX533" i="50" s="1"/>
  <c r="Y535" i="50"/>
  <c r="Y536" i="50"/>
  <c r="T538" i="50"/>
  <c r="Y540" i="50"/>
  <c r="AC540" i="50" s="1"/>
  <c r="AI533" i="50"/>
  <c r="R509" i="50"/>
  <c r="CE503" i="50" s="1"/>
  <c r="N503" i="50"/>
  <c r="CA503" i="50" s="1"/>
  <c r="R508" i="50"/>
  <c r="CD503" i="50" s="1"/>
  <c r="T509" i="50"/>
  <c r="AW509" i="50"/>
  <c r="AX509" i="50" s="1"/>
  <c r="Y511" i="50"/>
  <c r="Y512" i="50"/>
  <c r="T514" i="50"/>
  <c r="Y516" i="50"/>
  <c r="AC516" i="50" s="1"/>
  <c r="T513" i="50"/>
  <c r="Y514" i="50"/>
  <c r="AI509" i="50"/>
  <c r="R485" i="50"/>
  <c r="CE479" i="50" s="1"/>
  <c r="V488" i="50"/>
  <c r="V487" i="50" s="1"/>
  <c r="V489" i="50" s="1"/>
  <c r="T489" i="50"/>
  <c r="Y490" i="50"/>
  <c r="N479" i="50"/>
  <c r="CA479" i="50" s="1"/>
  <c r="R484" i="50"/>
  <c r="CD479" i="50" s="1"/>
  <c r="T485" i="50"/>
  <c r="AW485" i="50"/>
  <c r="AX485" i="50" s="1"/>
  <c r="Y487" i="50"/>
  <c r="CG487" i="50" s="1"/>
  <c r="Y488" i="50"/>
  <c r="T490" i="50"/>
  <c r="Y492" i="50"/>
  <c r="AC492" i="50" s="1"/>
  <c r="M485" i="50"/>
  <c r="R461" i="50"/>
  <c r="CE455" i="50" s="1"/>
  <c r="AG461" i="50"/>
  <c r="V464" i="50"/>
  <c r="V463" i="50" s="1"/>
  <c r="V465" i="50" s="1"/>
  <c r="T465" i="50"/>
  <c r="Y466" i="50"/>
  <c r="R460" i="50"/>
  <c r="CD455" i="50" s="1"/>
  <c r="T461" i="50"/>
  <c r="AW461" i="50"/>
  <c r="AX461" i="50" s="1"/>
  <c r="Y463" i="50"/>
  <c r="Y464" i="50"/>
  <c r="CG464" i="50" s="1"/>
  <c r="T466" i="50"/>
  <c r="Y468" i="50"/>
  <c r="AC468" i="50" s="1"/>
  <c r="K431" i="50"/>
  <c r="R437" i="50"/>
  <c r="CE431" i="50" s="1"/>
  <c r="T441" i="50"/>
  <c r="Y442" i="50"/>
  <c r="N431" i="50"/>
  <c r="CA431" i="50" s="1"/>
  <c r="R436" i="50"/>
  <c r="CD431" i="50" s="1"/>
  <c r="T437" i="50"/>
  <c r="AW437" i="50"/>
  <c r="AX437" i="50" s="1"/>
  <c r="Y439" i="50"/>
  <c r="CG439" i="50" s="1"/>
  <c r="Y440" i="50"/>
  <c r="T442" i="50"/>
  <c r="Y444" i="50"/>
  <c r="AC444" i="50" s="1"/>
  <c r="R413" i="50"/>
  <c r="CE407" i="50" s="1"/>
  <c r="T417" i="50"/>
  <c r="Y418" i="50"/>
  <c r="N407" i="50"/>
  <c r="CA407" i="50" s="1"/>
  <c r="R412" i="50"/>
  <c r="CD407" i="50" s="1"/>
  <c r="T413" i="50"/>
  <c r="AW413" i="50"/>
  <c r="AX413" i="50" s="1"/>
  <c r="Y415" i="50"/>
  <c r="Y416" i="50"/>
  <c r="T418" i="50"/>
  <c r="Y420" i="50"/>
  <c r="AC420" i="50" s="1"/>
  <c r="AI413" i="50"/>
  <c r="R389" i="50"/>
  <c r="CE383" i="50" s="1"/>
  <c r="AG389" i="50"/>
  <c r="AH389" i="50" s="1"/>
  <c r="V392" i="50"/>
  <c r="V391" i="50" s="1"/>
  <c r="V393" i="50" s="1"/>
  <c r="T393" i="50"/>
  <c r="Y394" i="50"/>
  <c r="AW389" i="50"/>
  <c r="AX389" i="50" s="1"/>
  <c r="AI389" i="50"/>
  <c r="K359" i="50"/>
  <c r="R365" i="50"/>
  <c r="CE359" i="50" s="1"/>
  <c r="AG365" i="50"/>
  <c r="V368" i="50"/>
  <c r="V367" i="50" s="1"/>
  <c r="V369" i="50" s="1"/>
  <c r="T369" i="50"/>
  <c r="Y370" i="50"/>
  <c r="CG370" i="50" s="1"/>
  <c r="R364" i="50"/>
  <c r="CD359" i="50" s="1"/>
  <c r="T365" i="50"/>
  <c r="AW365" i="50"/>
  <c r="AX365" i="50" s="1"/>
  <c r="Y367" i="50"/>
  <c r="Y368" i="50"/>
  <c r="T370" i="50"/>
  <c r="Y372" i="50"/>
  <c r="AC372" i="50" s="1"/>
  <c r="R341" i="50"/>
  <c r="CE335" i="50" s="1"/>
  <c r="AG341" i="50"/>
  <c r="AH341" i="50" s="1"/>
  <c r="V344" i="50"/>
  <c r="V343" i="50" s="1"/>
  <c r="V345" i="50" s="1"/>
  <c r="T345" i="50"/>
  <c r="Y346" i="50"/>
  <c r="K336" i="50"/>
  <c r="AW341" i="50"/>
  <c r="AX341" i="50" s="1"/>
  <c r="AI341" i="50"/>
  <c r="AN320" i="50"/>
  <c r="AO320" i="50" s="1"/>
  <c r="R317" i="50"/>
  <c r="CE311" i="50" s="1"/>
  <c r="T321" i="50"/>
  <c r="Y322" i="50"/>
  <c r="N311" i="50"/>
  <c r="CA311" i="50" s="1"/>
  <c r="BM311" i="50"/>
  <c r="R316" i="50"/>
  <c r="CD311" i="50" s="1"/>
  <c r="T317" i="50"/>
  <c r="AW317" i="50"/>
  <c r="AX317" i="50" s="1"/>
  <c r="Y319" i="50"/>
  <c r="Y320" i="50"/>
  <c r="CG320" i="50" s="1"/>
  <c r="T322" i="50"/>
  <c r="Y324" i="50"/>
  <c r="AC324" i="50" s="1"/>
  <c r="K287" i="50"/>
  <c r="R293" i="50"/>
  <c r="CE287" i="50" s="1"/>
  <c r="AG293" i="50"/>
  <c r="AH293" i="50" s="1"/>
  <c r="V296" i="50"/>
  <c r="V295" i="50" s="1"/>
  <c r="V297" i="50" s="1"/>
  <c r="T297" i="50"/>
  <c r="Y298" i="50"/>
  <c r="R292" i="50"/>
  <c r="CD287" i="50" s="1"/>
  <c r="T293" i="50"/>
  <c r="AW293" i="50"/>
  <c r="AX293" i="50" s="1"/>
  <c r="Y295" i="50"/>
  <c r="CG295" i="50" s="1"/>
  <c r="Y296" i="50"/>
  <c r="T298" i="50"/>
  <c r="Y300" i="50"/>
  <c r="AC300" i="50" s="1"/>
  <c r="AI293" i="50"/>
  <c r="R269" i="50"/>
  <c r="CE263" i="50" s="1"/>
  <c r="AG269" i="50"/>
  <c r="V272" i="50"/>
  <c r="V271" i="50" s="1"/>
  <c r="V273" i="50" s="1"/>
  <c r="T273" i="50"/>
  <c r="Y274" i="50"/>
  <c r="CG274" i="50" s="1"/>
  <c r="Y272" i="50"/>
  <c r="T274" i="50"/>
  <c r="Y276" i="50"/>
  <c r="AC276" i="50" s="1"/>
  <c r="R245" i="50"/>
  <c r="CE239" i="50" s="1"/>
  <c r="T249" i="50"/>
  <c r="Y250" i="50"/>
  <c r="N239" i="50"/>
  <c r="CA239" i="50" s="1"/>
  <c r="K240" i="50"/>
  <c r="R244" i="50"/>
  <c r="CD239" i="50" s="1"/>
  <c r="T245" i="50"/>
  <c r="AW245" i="50"/>
  <c r="AX245" i="50" s="1"/>
  <c r="Y247" i="50"/>
  <c r="CG247" i="50" s="1"/>
  <c r="Y248" i="50"/>
  <c r="T250" i="50"/>
  <c r="Y252" i="50"/>
  <c r="AC252" i="50" s="1"/>
  <c r="AI245" i="50"/>
  <c r="R221" i="50"/>
  <c r="CE215" i="50" s="1"/>
  <c r="AG221" i="50"/>
  <c r="AH221" i="50" s="1"/>
  <c r="V224" i="50"/>
  <c r="V223" i="50" s="1"/>
  <c r="V225" i="50" s="1"/>
  <c r="T225" i="50"/>
  <c r="Y226" i="50"/>
  <c r="CG226" i="50" s="1"/>
  <c r="K215" i="50"/>
  <c r="R220" i="50"/>
  <c r="CD215" i="50" s="1"/>
  <c r="T221" i="50"/>
  <c r="AW221" i="50"/>
  <c r="AX221" i="50" s="1"/>
  <c r="Y223" i="50"/>
  <c r="CG223" i="50" s="1"/>
  <c r="Y224" i="50"/>
  <c r="CG224" i="50" s="1"/>
  <c r="T226" i="50"/>
  <c r="Y228" i="50"/>
  <c r="AC228" i="50" s="1"/>
  <c r="AI221" i="50"/>
  <c r="R197" i="50"/>
  <c r="CE191" i="50" s="1"/>
  <c r="AG197" i="50"/>
  <c r="V200" i="50"/>
  <c r="V199" i="50" s="1"/>
  <c r="V201" i="50" s="1"/>
  <c r="T201" i="50"/>
  <c r="Y202" i="50"/>
  <c r="K191" i="50"/>
  <c r="R196" i="50"/>
  <c r="CD191" i="50" s="1"/>
  <c r="T197" i="50"/>
  <c r="Y199" i="50"/>
  <c r="Y200" i="50"/>
  <c r="T202" i="50"/>
  <c r="Y204" i="50"/>
  <c r="AC204" i="50" s="1"/>
  <c r="R173" i="50"/>
  <c r="CE167" i="50" s="1"/>
  <c r="T177" i="50"/>
  <c r="Y178" i="50"/>
  <c r="N167" i="50"/>
  <c r="CA167" i="50" s="1"/>
  <c r="R172" i="50"/>
  <c r="CD167" i="50" s="1"/>
  <c r="T173" i="50"/>
  <c r="AW173" i="50"/>
  <c r="AX173" i="50" s="1"/>
  <c r="Y175" i="50"/>
  <c r="Y176" i="50"/>
  <c r="CG176" i="50" s="1"/>
  <c r="T178" i="50"/>
  <c r="Y180" i="50"/>
  <c r="AC180" i="50" s="1"/>
  <c r="R149" i="50"/>
  <c r="CE143" i="50" s="1"/>
  <c r="AG149" i="50"/>
  <c r="V152" i="50"/>
  <c r="V151" i="50" s="1"/>
  <c r="V153" i="50" s="1"/>
  <c r="T153" i="50"/>
  <c r="Y154" i="50"/>
  <c r="R148" i="50"/>
  <c r="CD143" i="50" s="1"/>
  <c r="T149" i="50"/>
  <c r="Y151" i="50"/>
  <c r="Y152" i="50"/>
  <c r="CG152" i="50" s="1"/>
  <c r="T154" i="50"/>
  <c r="Y156" i="50"/>
  <c r="AC156" i="50" s="1"/>
  <c r="AW125" i="50"/>
  <c r="AX125" i="50" s="1"/>
  <c r="AW101" i="50"/>
  <c r="AX101" i="50" s="1"/>
  <c r="AW77" i="50"/>
  <c r="AX77" i="50" s="1"/>
  <c r="I2" i="10"/>
  <c r="X36" i="38"/>
  <c r="R15" i="9"/>
  <c r="R28" i="9"/>
  <c r="AC74" i="38" l="1"/>
  <c r="AC73" i="38"/>
  <c r="AB73" i="38"/>
  <c r="AZ60" i="50"/>
  <c r="S16" i="9"/>
  <c r="E100" i="38"/>
  <c r="T100" i="38" s="1"/>
  <c r="AD100" i="38" s="1"/>
  <c r="T46" i="50"/>
  <c r="U46" i="50"/>
  <c r="AL58" i="57"/>
  <c r="AL59" i="57"/>
  <c r="AL57" i="57"/>
  <c r="AO59" i="57"/>
  <c r="AO57" i="57"/>
  <c r="AO58" i="57"/>
  <c r="AB72" i="38"/>
  <c r="G657" i="50" s="1"/>
  <c r="AC70" i="38"/>
  <c r="AB71" i="38"/>
  <c r="AB69" i="38"/>
  <c r="AZ612" i="50"/>
  <c r="AZ180" i="50"/>
  <c r="AZ636" i="50"/>
  <c r="G121" i="43"/>
  <c r="H121" i="43" s="1"/>
  <c r="G30" i="62"/>
  <c r="P13" i="60"/>
  <c r="AZ468" i="50"/>
  <c r="D13" i="60"/>
  <c r="AG13" i="60"/>
  <c r="M13" i="60"/>
  <c r="AF13" i="60"/>
  <c r="AB70" i="38"/>
  <c r="G654" i="50"/>
  <c r="AJ13" i="60"/>
  <c r="S13" i="60"/>
  <c r="AB68" i="38"/>
  <c r="U118" i="50" s="1"/>
  <c r="G666" i="50"/>
  <c r="H666" i="50" s="1"/>
  <c r="AZ276" i="50"/>
  <c r="AZ588" i="50"/>
  <c r="AZ516" i="50"/>
  <c r="U79" i="65"/>
  <c r="W78" i="65" s="1"/>
  <c r="W79" i="65" s="1"/>
  <c r="AO43" i="57"/>
  <c r="AO42" i="57"/>
  <c r="AO41" i="57"/>
  <c r="M533" i="50"/>
  <c r="F15" i="60"/>
  <c r="N15" i="60" s="1"/>
  <c r="M605" i="50"/>
  <c r="AZ420" i="50"/>
  <c r="G671" i="50"/>
  <c r="H671" i="50" s="1"/>
  <c r="C161" i="52"/>
  <c r="C167" i="52" s="1"/>
  <c r="C173" i="52" s="1"/>
  <c r="C179" i="52" s="1"/>
  <c r="G668" i="50"/>
  <c r="H668" i="50" s="1"/>
  <c r="G659" i="50"/>
  <c r="AZ252" i="50"/>
  <c r="M581" i="50"/>
  <c r="I130" i="38"/>
  <c r="C44" i="57"/>
  <c r="AL44" i="57" s="1"/>
  <c r="C40" i="57"/>
  <c r="AO40" i="57" s="1"/>
  <c r="C36" i="57"/>
  <c r="AO36" i="57" s="1"/>
  <c r="C37" i="57"/>
  <c r="C39" i="57"/>
  <c r="AL39" i="57" s="1"/>
  <c r="C35" i="57"/>
  <c r="AL35" i="57" s="1"/>
  <c r="C27" i="57"/>
  <c r="C34" i="57"/>
  <c r="AO34" i="57" s="1"/>
  <c r="C26" i="57"/>
  <c r="C33" i="57"/>
  <c r="AO33" i="57" s="1"/>
  <c r="C29" i="57"/>
  <c r="AO29" i="57" s="1"/>
  <c r="C38" i="57"/>
  <c r="C25" i="57"/>
  <c r="AL25" i="57" s="1"/>
  <c r="C160" i="52"/>
  <c r="C166" i="52" s="1"/>
  <c r="C172" i="52" s="1"/>
  <c r="C178" i="52" s="1"/>
  <c r="C52" i="57"/>
  <c r="C48" i="57"/>
  <c r="AO48" i="57" s="1"/>
  <c r="C50" i="57"/>
  <c r="AL50" i="57" s="1"/>
  <c r="C49" i="57"/>
  <c r="AL49" i="57" s="1"/>
  <c r="C51" i="57"/>
  <c r="AO51" i="57" s="1"/>
  <c r="C47" i="57"/>
  <c r="C46" i="57"/>
  <c r="C45" i="57"/>
  <c r="AO45" i="57" s="1"/>
  <c r="AS153" i="50"/>
  <c r="AU153" i="50" s="1"/>
  <c r="AW153" i="50" s="1"/>
  <c r="AX153" i="50" s="1"/>
  <c r="BC249" i="50"/>
  <c r="CG249" i="50"/>
  <c r="M173" i="50"/>
  <c r="AV273" i="50"/>
  <c r="BX263" i="50" s="1"/>
  <c r="CG321" i="50"/>
  <c r="M413" i="50"/>
  <c r="CG609" i="50"/>
  <c r="M509" i="50"/>
  <c r="M221" i="50"/>
  <c r="AZ156" i="50"/>
  <c r="AZ372" i="50"/>
  <c r="E102" i="38"/>
  <c r="T102" i="38" s="1"/>
  <c r="AD102" i="38" s="1"/>
  <c r="CG513" i="50"/>
  <c r="AH245" i="50"/>
  <c r="AH509" i="50"/>
  <c r="AS417" i="50"/>
  <c r="AU417" i="50" s="1"/>
  <c r="AW417" i="50" s="1"/>
  <c r="AX417" i="50" s="1"/>
  <c r="AJ197" i="50"/>
  <c r="AN197" i="50" s="1"/>
  <c r="AN200" i="50" s="1"/>
  <c r="AO200" i="50" s="1"/>
  <c r="BA636" i="50"/>
  <c r="AZ132" i="50"/>
  <c r="E113" i="38"/>
  <c r="T113" i="38" s="1"/>
  <c r="AD113" i="38" s="1"/>
  <c r="G665" i="50"/>
  <c r="H665" i="50" s="1"/>
  <c r="M149" i="50"/>
  <c r="BC201" i="50"/>
  <c r="I201" i="50"/>
  <c r="W249" i="50"/>
  <c r="BC345" i="50"/>
  <c r="CG153" i="50"/>
  <c r="BC273" i="50"/>
  <c r="AS273" i="50"/>
  <c r="AU273" i="50" s="1"/>
  <c r="AW273" i="50" s="1"/>
  <c r="AX273" i="50" s="1"/>
  <c r="M437" i="50"/>
  <c r="BM431" i="50"/>
  <c r="CG489" i="50"/>
  <c r="G652" i="50"/>
  <c r="H652" i="50" s="1"/>
  <c r="CG369" i="50"/>
  <c r="AV153" i="50"/>
  <c r="I249" i="50"/>
  <c r="AS465" i="50"/>
  <c r="AU465" i="50" s="1"/>
  <c r="AW465" i="50" s="1"/>
  <c r="AX465" i="50" s="1"/>
  <c r="AS489" i="50"/>
  <c r="AU489" i="50" s="1"/>
  <c r="AW489" i="50" s="1"/>
  <c r="AX489" i="50" s="1"/>
  <c r="BC153" i="50"/>
  <c r="W177" i="50"/>
  <c r="AS249" i="50"/>
  <c r="AU249" i="50" s="1"/>
  <c r="AW249" i="50" s="1"/>
  <c r="AX249" i="50" s="1"/>
  <c r="M293" i="50"/>
  <c r="BC321" i="50"/>
  <c r="AV321" i="50"/>
  <c r="BA321" i="50" s="1"/>
  <c r="AV369" i="50"/>
  <c r="BX359" i="50" s="1"/>
  <c r="BM455" i="50"/>
  <c r="BM479" i="50"/>
  <c r="AH317" i="50"/>
  <c r="AT317" i="50" s="1"/>
  <c r="CG441" i="50"/>
  <c r="BM599" i="50"/>
  <c r="AC343" i="50"/>
  <c r="AI343" i="50" s="1"/>
  <c r="AV393" i="50"/>
  <c r="BX383" i="50" s="1"/>
  <c r="AH629" i="50"/>
  <c r="AH605" i="50"/>
  <c r="AT605" i="50" s="1"/>
  <c r="AH581" i="50"/>
  <c r="BC177" i="50"/>
  <c r="BC417" i="50"/>
  <c r="AZ540" i="50"/>
  <c r="AZ324" i="50"/>
  <c r="AZ348" i="50"/>
  <c r="AZ228" i="50"/>
  <c r="W49" i="65"/>
  <c r="W50" i="65" s="1"/>
  <c r="W51" i="65" s="1"/>
  <c r="W52" i="65" s="1"/>
  <c r="CG393" i="50"/>
  <c r="M365" i="50"/>
  <c r="AS393" i="50"/>
  <c r="AU393" i="50" s="1"/>
  <c r="AW393" i="50" s="1"/>
  <c r="AX393" i="50" s="1"/>
  <c r="AV297" i="50"/>
  <c r="BX287" i="50" s="1"/>
  <c r="AH269" i="50"/>
  <c r="AS441" i="50"/>
  <c r="AU441" i="50" s="1"/>
  <c r="AW441" i="50" s="1"/>
  <c r="AX441" i="50" s="1"/>
  <c r="I489" i="50"/>
  <c r="AS513" i="50"/>
  <c r="AU513" i="50" s="1"/>
  <c r="AW513" i="50" s="1"/>
  <c r="AX513" i="50" s="1"/>
  <c r="W417" i="50"/>
  <c r="AW636" i="50"/>
  <c r="AX636" i="50" s="1"/>
  <c r="I297" i="50"/>
  <c r="V442" i="50"/>
  <c r="W442" i="50" s="1"/>
  <c r="BC465" i="50"/>
  <c r="BM167" i="50"/>
  <c r="CG297" i="50"/>
  <c r="BC441" i="50"/>
  <c r="AV441" i="50"/>
  <c r="BX431" i="50" s="1"/>
  <c r="BC513" i="50"/>
  <c r="CG585" i="50"/>
  <c r="I585" i="50"/>
  <c r="AV629" i="50"/>
  <c r="BK623" i="50" s="1"/>
  <c r="AJ629" i="50"/>
  <c r="AN629" i="50" s="1"/>
  <c r="AN632" i="50" s="1"/>
  <c r="AO632" i="50" s="1"/>
  <c r="G672" i="50"/>
  <c r="H672" i="50" s="1"/>
  <c r="AW396" i="50"/>
  <c r="AX396" i="50" s="1"/>
  <c r="BC297" i="50"/>
  <c r="M317" i="50"/>
  <c r="I345" i="50"/>
  <c r="AV465" i="50"/>
  <c r="AV513" i="50"/>
  <c r="BX503" i="50" s="1"/>
  <c r="M557" i="50"/>
  <c r="AS585" i="50"/>
  <c r="AU585" i="50" s="1"/>
  <c r="AW585" i="50" s="1"/>
  <c r="AX585" i="50" s="1"/>
  <c r="M269" i="50"/>
  <c r="AH173" i="50"/>
  <c r="AT173" i="50" s="1"/>
  <c r="E124" i="38"/>
  <c r="T124" i="38" s="1"/>
  <c r="AD124" i="38" s="1"/>
  <c r="G676" i="50"/>
  <c r="H676" i="50" s="1"/>
  <c r="AE13" i="60"/>
  <c r="N13" i="60"/>
  <c r="E13" i="60"/>
  <c r="AV177" i="50"/>
  <c r="BX167" i="50" s="1"/>
  <c r="AZ204" i="50"/>
  <c r="AS201" i="50"/>
  <c r="AU201" i="50" s="1"/>
  <c r="AW201" i="50" s="1"/>
  <c r="AX201" i="50" s="1"/>
  <c r="AV225" i="50"/>
  <c r="BA225" i="50" s="1"/>
  <c r="AC344" i="50"/>
  <c r="AI344" i="50" s="1"/>
  <c r="AS345" i="50"/>
  <c r="AU345" i="50" s="1"/>
  <c r="AW345" i="50" s="1"/>
  <c r="AX345" i="50" s="1"/>
  <c r="BC396" i="50"/>
  <c r="M396" i="50" s="1"/>
  <c r="I417" i="50"/>
  <c r="I609" i="50"/>
  <c r="BC348" i="50"/>
  <c r="M348" i="50" s="1"/>
  <c r="E112" i="38"/>
  <c r="T112" i="38" s="1"/>
  <c r="AD112" i="38" s="1"/>
  <c r="AZ396" i="50"/>
  <c r="AZ564" i="50"/>
  <c r="AZ492" i="50"/>
  <c r="AZ444" i="50"/>
  <c r="CG201" i="50"/>
  <c r="I225" i="50"/>
  <c r="BC609" i="50"/>
  <c r="AV609" i="50"/>
  <c r="BX599" i="50" s="1"/>
  <c r="X13" i="60"/>
  <c r="V13" i="60"/>
  <c r="AL13" i="60"/>
  <c r="AK13" i="60"/>
  <c r="E108" i="38"/>
  <c r="T108" i="38" s="1"/>
  <c r="AD108" i="38" s="1"/>
  <c r="G660" i="50"/>
  <c r="I177" i="50"/>
  <c r="BC225" i="50"/>
  <c r="I321" i="50"/>
  <c r="BC393" i="50"/>
  <c r="W513" i="50"/>
  <c r="BC585" i="50"/>
  <c r="W609" i="50"/>
  <c r="AH485" i="50"/>
  <c r="AT485" i="50" s="1"/>
  <c r="AH413" i="50"/>
  <c r="AH149" i="50"/>
  <c r="AW348" i="50"/>
  <c r="AX348" i="50" s="1"/>
  <c r="M389" i="50"/>
  <c r="M461" i="50"/>
  <c r="BC489" i="50"/>
  <c r="M245" i="50"/>
  <c r="AC271" i="50"/>
  <c r="AF271" i="50" s="1"/>
  <c r="AS561" i="50"/>
  <c r="AU561" i="50" s="1"/>
  <c r="AW561" i="50" s="1"/>
  <c r="AX561" i="50" s="1"/>
  <c r="T25" i="9"/>
  <c r="T32" i="9" s="1"/>
  <c r="AZ108" i="50"/>
  <c r="AZ300" i="50"/>
  <c r="AH365" i="50"/>
  <c r="I369" i="50"/>
  <c r="AH461" i="50"/>
  <c r="AT461" i="50" s="1"/>
  <c r="CG561" i="50"/>
  <c r="AJ149" i="50"/>
  <c r="B67" i="57"/>
  <c r="S155" i="52"/>
  <c r="G131" i="38"/>
  <c r="AN18" i="57"/>
  <c r="C143" i="50"/>
  <c r="C167" i="50" s="1"/>
  <c r="C191" i="50" s="1"/>
  <c r="C215" i="50" s="1"/>
  <c r="C239" i="50" s="1"/>
  <c r="C263" i="50" s="1"/>
  <c r="C287" i="50" s="1"/>
  <c r="C311" i="50" s="1"/>
  <c r="C335" i="50" s="1"/>
  <c r="C359" i="50" s="1"/>
  <c r="C383" i="50" s="1"/>
  <c r="C407" i="50" s="1"/>
  <c r="C431" i="50" s="1"/>
  <c r="C455" i="50" s="1"/>
  <c r="C479" i="50" s="1"/>
  <c r="C503" i="50" s="1"/>
  <c r="C527" i="50" s="1"/>
  <c r="C551" i="50" s="1"/>
  <c r="C575" i="50" s="1"/>
  <c r="C599" i="50" s="1"/>
  <c r="C623" i="50" s="1"/>
  <c r="A119" i="50"/>
  <c r="AZ84" i="50"/>
  <c r="K3" i="50"/>
  <c r="M197" i="50"/>
  <c r="AH197" i="50"/>
  <c r="W321" i="50"/>
  <c r="M341" i="50"/>
  <c r="BC369" i="50"/>
  <c r="BC561" i="50"/>
  <c r="AV561" i="50"/>
  <c r="BX551" i="50" s="1"/>
  <c r="AJ269" i="50"/>
  <c r="I131" i="38"/>
  <c r="AL45" i="57"/>
  <c r="AL37" i="57"/>
  <c r="AL36" i="57"/>
  <c r="AL54" i="57"/>
  <c r="AL55" i="57"/>
  <c r="AL38" i="57"/>
  <c r="AL46" i="57"/>
  <c r="AL47" i="57"/>
  <c r="AL56" i="57"/>
  <c r="AL52" i="57"/>
  <c r="AL29" i="57"/>
  <c r="AL19" i="57"/>
  <c r="BC636" i="50"/>
  <c r="M636" i="50" s="1"/>
  <c r="F14" i="60"/>
  <c r="D166" i="52"/>
  <c r="Q160" i="52"/>
  <c r="S160" i="52" s="1"/>
  <c r="D85" i="65"/>
  <c r="E84" i="65"/>
  <c r="E83" i="65"/>
  <c r="R83" i="65"/>
  <c r="AH437" i="50"/>
  <c r="AT437" i="50" s="1"/>
  <c r="I365" i="50"/>
  <c r="AJ365" i="50"/>
  <c r="AO25" i="57"/>
  <c r="AO53" i="57"/>
  <c r="AO55" i="57"/>
  <c r="AO21" i="57"/>
  <c r="AO26" i="57"/>
  <c r="AO31" i="57"/>
  <c r="AO20" i="57"/>
  <c r="AO30" i="57"/>
  <c r="AO37" i="57"/>
  <c r="AO52" i="57"/>
  <c r="AO27" i="57"/>
  <c r="AO32" i="57"/>
  <c r="AO54" i="57"/>
  <c r="AO38" i="57"/>
  <c r="AO24" i="57"/>
  <c r="AO19" i="57"/>
  <c r="AO23" i="57"/>
  <c r="AO46" i="57"/>
  <c r="AO22" i="57"/>
  <c r="AO50" i="57"/>
  <c r="AO56" i="57"/>
  <c r="AO39" i="57"/>
  <c r="AO47" i="57"/>
  <c r="AO28" i="57"/>
  <c r="R82" i="65"/>
  <c r="U82" i="65" s="1"/>
  <c r="U81" i="65"/>
  <c r="Q171" i="52"/>
  <c r="S171" i="52" s="1"/>
  <c r="D177" i="52"/>
  <c r="Q177" i="52" s="1"/>
  <c r="S177" i="52" s="1"/>
  <c r="G130" i="38"/>
  <c r="Y90" i="38"/>
  <c r="Y80" i="38"/>
  <c r="Y83" i="38"/>
  <c r="B66" i="57"/>
  <c r="Y85" i="38"/>
  <c r="Y76" i="38"/>
  <c r="Y81" i="38"/>
  <c r="Y75" i="38"/>
  <c r="Y82" i="38"/>
  <c r="Y91" i="38"/>
  <c r="S154" i="52"/>
  <c r="AM18" i="57"/>
  <c r="Y87" i="38"/>
  <c r="Y89" i="38"/>
  <c r="Y88" i="38"/>
  <c r="Y84" i="38"/>
  <c r="Y78" i="38"/>
  <c r="Y79" i="38"/>
  <c r="Y77" i="38"/>
  <c r="Y86" i="38"/>
  <c r="D56" i="65"/>
  <c r="R54" i="65"/>
  <c r="R55" i="65" s="1"/>
  <c r="E54" i="65"/>
  <c r="E55" i="65"/>
  <c r="AC537" i="50"/>
  <c r="CG537" i="50"/>
  <c r="AC633" i="50"/>
  <c r="CG633" i="50"/>
  <c r="BC392" i="50"/>
  <c r="CG392" i="50"/>
  <c r="BC391" i="50"/>
  <c r="CG391" i="50"/>
  <c r="BC632" i="50"/>
  <c r="AC632" i="50"/>
  <c r="CG632" i="50"/>
  <c r="V634" i="50"/>
  <c r="W634" i="50" s="1"/>
  <c r="W633" i="50"/>
  <c r="BP623" i="50"/>
  <c r="AX640" i="50"/>
  <c r="M640" i="50" s="1"/>
  <c r="CG631" i="50"/>
  <c r="BC631" i="50"/>
  <c r="AC631" i="50"/>
  <c r="BC634" i="50"/>
  <c r="CG634" i="50"/>
  <c r="AC634" i="50"/>
  <c r="AV612" i="50"/>
  <c r="AW612" i="50"/>
  <c r="AX612" i="50" s="1"/>
  <c r="AC608" i="50"/>
  <c r="CG608" i="50"/>
  <c r="BC608" i="50"/>
  <c r="AC610" i="50"/>
  <c r="BC610" i="50"/>
  <c r="BC607" i="50"/>
  <c r="AC607" i="50"/>
  <c r="K609" i="50"/>
  <c r="AZ609" i="50"/>
  <c r="AV588" i="50"/>
  <c r="AW588" i="50"/>
  <c r="AX588" i="50" s="1"/>
  <c r="BC584" i="50"/>
  <c r="CG584" i="50"/>
  <c r="AC584" i="50"/>
  <c r="I581" i="50"/>
  <c r="AJ581" i="50"/>
  <c r="BX575" i="50"/>
  <c r="CG583" i="50"/>
  <c r="BC583" i="50"/>
  <c r="AC583" i="50"/>
  <c r="CG586" i="50"/>
  <c r="AC586" i="50"/>
  <c r="BC586" i="50"/>
  <c r="V562" i="50"/>
  <c r="W562" i="50" s="1"/>
  <c r="W561" i="50"/>
  <c r="BC559" i="50"/>
  <c r="AC559" i="50"/>
  <c r="AV564" i="50"/>
  <c r="AW564" i="50"/>
  <c r="AX564" i="50" s="1"/>
  <c r="CG560" i="50"/>
  <c r="BC560" i="50"/>
  <c r="AC560" i="50"/>
  <c r="I557" i="50"/>
  <c r="AJ557" i="50"/>
  <c r="BC562" i="50"/>
  <c r="AC562" i="50"/>
  <c r="AJ533" i="50"/>
  <c r="I533" i="50"/>
  <c r="AV540" i="50"/>
  <c r="AW540" i="50"/>
  <c r="AX540" i="50" s="1"/>
  <c r="CG536" i="50"/>
  <c r="BC536" i="50"/>
  <c r="AC536" i="50"/>
  <c r="AC538" i="50"/>
  <c r="CG538" i="50"/>
  <c r="BC538" i="50"/>
  <c r="CG535" i="50"/>
  <c r="BC535" i="50"/>
  <c r="AC535" i="50"/>
  <c r="AV516" i="50"/>
  <c r="AW516" i="50"/>
  <c r="AX516" i="50" s="1"/>
  <c r="AJ509" i="50"/>
  <c r="I509" i="50"/>
  <c r="BC512" i="50"/>
  <c r="AC512" i="50"/>
  <c r="AC514" i="50"/>
  <c r="BC514" i="50"/>
  <c r="BC511" i="50"/>
  <c r="AC511" i="50"/>
  <c r="V490" i="50"/>
  <c r="W490" i="50" s="1"/>
  <c r="W489" i="50"/>
  <c r="BC490" i="50"/>
  <c r="AC490" i="50"/>
  <c r="CG490" i="50"/>
  <c r="BC487" i="50"/>
  <c r="AC487" i="50"/>
  <c r="BX479" i="50"/>
  <c r="AV492" i="50"/>
  <c r="AW492" i="50"/>
  <c r="AX492" i="50" s="1"/>
  <c r="CG488" i="50"/>
  <c r="BC488" i="50"/>
  <c r="AC488" i="50"/>
  <c r="V466" i="50"/>
  <c r="W466" i="50" s="1"/>
  <c r="W465" i="50"/>
  <c r="BC463" i="50"/>
  <c r="AC463" i="50"/>
  <c r="AV468" i="50"/>
  <c r="AW468" i="50"/>
  <c r="AX468" i="50" s="1"/>
  <c r="BC464" i="50"/>
  <c r="AC464" i="50"/>
  <c r="AC466" i="50"/>
  <c r="BC466" i="50"/>
  <c r="BC439" i="50"/>
  <c r="AC439" i="50"/>
  <c r="AV444" i="50"/>
  <c r="AW444" i="50"/>
  <c r="AX444" i="50" s="1"/>
  <c r="BC440" i="50"/>
  <c r="CG440" i="50"/>
  <c r="AC440" i="50"/>
  <c r="BC442" i="50"/>
  <c r="CG442" i="50"/>
  <c r="AC442" i="50"/>
  <c r="BC415" i="50"/>
  <c r="AC415" i="50"/>
  <c r="AJ413" i="50"/>
  <c r="I413" i="50"/>
  <c r="AV420" i="50"/>
  <c r="AW420" i="50"/>
  <c r="AX420" i="50" s="1"/>
  <c r="BC416" i="50"/>
  <c r="AC416" i="50"/>
  <c r="BX407" i="50"/>
  <c r="AC418" i="50"/>
  <c r="BC418" i="50"/>
  <c r="AV391" i="50"/>
  <c r="BU383" i="50" s="1"/>
  <c r="AR391" i="50"/>
  <c r="AF391" i="50"/>
  <c r="AS391" i="50"/>
  <c r="AG391" i="50"/>
  <c r="AI391" i="50"/>
  <c r="AF392" i="50"/>
  <c r="AV392" i="50"/>
  <c r="BR383" i="50" s="1"/>
  <c r="AR392" i="50"/>
  <c r="AI392" i="50"/>
  <c r="AG392" i="50"/>
  <c r="AS392" i="50"/>
  <c r="BP383" i="50"/>
  <c r="BL383" i="50" s="1"/>
  <c r="AX400" i="50"/>
  <c r="M400" i="50" s="1"/>
  <c r="AC394" i="50"/>
  <c r="BC394" i="50"/>
  <c r="CG394" i="50"/>
  <c r="V394" i="50"/>
  <c r="W394" i="50" s="1"/>
  <c r="W393" i="50"/>
  <c r="I389" i="50"/>
  <c r="AJ389" i="50"/>
  <c r="BA396" i="50"/>
  <c r="CG367" i="50"/>
  <c r="BC367" i="50"/>
  <c r="AC367" i="50"/>
  <c r="AV372" i="50"/>
  <c r="AW372" i="50"/>
  <c r="AX372" i="50" s="1"/>
  <c r="BC368" i="50"/>
  <c r="CG368" i="50"/>
  <c r="AC368" i="50"/>
  <c r="BC370" i="50"/>
  <c r="AC370" i="50"/>
  <c r="K369" i="50"/>
  <c r="AZ369" i="50"/>
  <c r="V370" i="50"/>
  <c r="W370" i="50" s="1"/>
  <c r="W369" i="50"/>
  <c r="BP335" i="50"/>
  <c r="BL335" i="50" s="1"/>
  <c r="AX352" i="50"/>
  <c r="M352" i="50" s="1"/>
  <c r="CG346" i="50"/>
  <c r="AC346" i="50"/>
  <c r="BC346" i="50"/>
  <c r="I341" i="50"/>
  <c r="AJ341" i="50"/>
  <c r="V346" i="50"/>
  <c r="W346" i="50" s="1"/>
  <c r="W345" i="50"/>
  <c r="BX335" i="50"/>
  <c r="BA348" i="50"/>
  <c r="CG322" i="50"/>
  <c r="BC322" i="50"/>
  <c r="AC322" i="50"/>
  <c r="CG319" i="50"/>
  <c r="BC319" i="50"/>
  <c r="AC319" i="50"/>
  <c r="AV324" i="50"/>
  <c r="AW324" i="50"/>
  <c r="AX324" i="50" s="1"/>
  <c r="BC320" i="50"/>
  <c r="AC320" i="50"/>
  <c r="K321" i="50"/>
  <c r="AZ321" i="50"/>
  <c r="AV300" i="50"/>
  <c r="AW300" i="50"/>
  <c r="AX300" i="50" s="1"/>
  <c r="BC296" i="50"/>
  <c r="AC296" i="50"/>
  <c r="CG296" i="50"/>
  <c r="V298" i="50"/>
  <c r="W298" i="50" s="1"/>
  <c r="W297" i="50"/>
  <c r="BC295" i="50"/>
  <c r="AC295" i="50"/>
  <c r="AC298" i="50"/>
  <c r="CG298" i="50"/>
  <c r="BC298" i="50"/>
  <c r="K297" i="50"/>
  <c r="AZ297" i="50"/>
  <c r="AJ293" i="50"/>
  <c r="AT293" i="50" s="1"/>
  <c r="I293" i="50"/>
  <c r="AV276" i="50"/>
  <c r="AW276" i="50"/>
  <c r="AX276" i="50" s="1"/>
  <c r="BC272" i="50"/>
  <c r="AC272" i="50"/>
  <c r="BC274" i="50"/>
  <c r="AC274" i="50"/>
  <c r="V274" i="50"/>
  <c r="W274" i="50" s="1"/>
  <c r="W273" i="50"/>
  <c r="AV252" i="50"/>
  <c r="AW252" i="50"/>
  <c r="AX252" i="50" s="1"/>
  <c r="I245" i="50"/>
  <c r="AJ245" i="50"/>
  <c r="CG248" i="50"/>
  <c r="BC248" i="50"/>
  <c r="AC248" i="50"/>
  <c r="CG250" i="50"/>
  <c r="BC250" i="50"/>
  <c r="AC250" i="50"/>
  <c r="BX239" i="50"/>
  <c r="BC247" i="50"/>
  <c r="AC247" i="50"/>
  <c r="K225" i="50"/>
  <c r="AZ225" i="50"/>
  <c r="BC226" i="50"/>
  <c r="AC226" i="50"/>
  <c r="BC223" i="50"/>
  <c r="AC223" i="50"/>
  <c r="V226" i="50"/>
  <c r="W226" i="50" s="1"/>
  <c r="W225" i="50"/>
  <c r="I221" i="50"/>
  <c r="AJ221" i="50"/>
  <c r="AV228" i="50"/>
  <c r="AW228" i="50"/>
  <c r="AX228" i="50" s="1"/>
  <c r="BC224" i="50"/>
  <c r="AC224" i="50"/>
  <c r="AW225" i="50"/>
  <c r="AX225" i="50" s="1"/>
  <c r="BX191" i="50"/>
  <c r="BC200" i="50"/>
  <c r="AC200" i="50"/>
  <c r="CG199" i="50"/>
  <c r="V202" i="50"/>
  <c r="W202" i="50" s="1"/>
  <c r="W201" i="50"/>
  <c r="BC199" i="50"/>
  <c r="AC199" i="50"/>
  <c r="AV204" i="50"/>
  <c r="AW204" i="50"/>
  <c r="AX204" i="50" s="1"/>
  <c r="BC202" i="50"/>
  <c r="AC202" i="50"/>
  <c r="CG202" i="50"/>
  <c r="CG200" i="50"/>
  <c r="BC175" i="50"/>
  <c r="AC175" i="50"/>
  <c r="AV180" i="50"/>
  <c r="AW180" i="50"/>
  <c r="AX180" i="50" s="1"/>
  <c r="BC176" i="50"/>
  <c r="AC176" i="50"/>
  <c r="BC178" i="50"/>
  <c r="AC178" i="50"/>
  <c r="K177" i="50"/>
  <c r="AZ177" i="50"/>
  <c r="BC151" i="50"/>
  <c r="AC151" i="50"/>
  <c r="CG151" i="50"/>
  <c r="AV156" i="50"/>
  <c r="AW156" i="50"/>
  <c r="AX156" i="50" s="1"/>
  <c r="BC152" i="50"/>
  <c r="AC152" i="50"/>
  <c r="V154" i="50"/>
  <c r="W154" i="50" s="1"/>
  <c r="W153" i="50"/>
  <c r="A167" i="50"/>
  <c r="CG154" i="50"/>
  <c r="BC154" i="50"/>
  <c r="AC154" i="50"/>
  <c r="A143" i="50"/>
  <c r="CG272" i="50"/>
  <c r="CG514" i="50"/>
  <c r="CG273" i="50"/>
  <c r="CG271" i="50"/>
  <c r="CG343" i="50"/>
  <c r="CG178" i="50"/>
  <c r="CG344" i="50"/>
  <c r="CG511" i="50"/>
  <c r="CG225" i="50"/>
  <c r="CG512" i="50"/>
  <c r="CG175" i="50"/>
  <c r="CG177" i="50"/>
  <c r="CG345" i="50"/>
  <c r="CG466" i="50"/>
  <c r="CG465" i="50"/>
  <c r="CG463" i="50"/>
  <c r="CG415" i="50"/>
  <c r="CG416" i="50"/>
  <c r="CG417" i="50"/>
  <c r="CG418" i="50"/>
  <c r="A191" i="50"/>
  <c r="R22" i="9"/>
  <c r="R29" i="9"/>
  <c r="L1" i="26"/>
  <c r="M2" i="9"/>
  <c r="M121" i="43"/>
  <c r="E15" i="9"/>
  <c r="E23" i="9"/>
  <c r="M2" i="65"/>
  <c r="R26" i="9"/>
  <c r="M2" i="63"/>
  <c r="D34" i="9"/>
  <c r="E28" i="9"/>
  <c r="B77" i="52"/>
  <c r="R12" i="9"/>
  <c r="R27" i="9"/>
  <c r="B76" i="52"/>
  <c r="R21" i="9"/>
  <c r="D38" i="9"/>
  <c r="M2" i="10"/>
  <c r="D32" i="9"/>
  <c r="R16" i="9"/>
  <c r="M2" i="50"/>
  <c r="D42" i="9"/>
  <c r="M2" i="37"/>
  <c r="M2" i="43"/>
  <c r="D10" i="9"/>
  <c r="U132" i="50" l="1"/>
  <c r="U108" i="50"/>
  <c r="E106" i="38"/>
  <c r="T106" i="38" s="1"/>
  <c r="AD106" i="38" s="1"/>
  <c r="G658" i="50"/>
  <c r="U60" i="50"/>
  <c r="S17" i="9"/>
  <c r="S18" i="9"/>
  <c r="K2" i="37"/>
  <c r="U84" i="50"/>
  <c r="E120" i="50"/>
  <c r="V125" i="50"/>
  <c r="K119" i="50"/>
  <c r="K120" i="50"/>
  <c r="AM59" i="57"/>
  <c r="AL48" i="57"/>
  <c r="E48" i="50"/>
  <c r="K48" i="50"/>
  <c r="H13" i="60" s="1"/>
  <c r="K47" i="50"/>
  <c r="G13" i="60" s="1"/>
  <c r="V53" i="50"/>
  <c r="T70" i="50"/>
  <c r="AO44" i="57"/>
  <c r="U70" i="50"/>
  <c r="U94" i="50"/>
  <c r="K96" i="50" s="1"/>
  <c r="H15" i="60" s="1"/>
  <c r="T94" i="50"/>
  <c r="T118" i="50"/>
  <c r="E104" i="38"/>
  <c r="T104" i="38" s="1"/>
  <c r="AD104" i="38" s="1"/>
  <c r="G656" i="50"/>
  <c r="AN58" i="57"/>
  <c r="AN44" i="57"/>
  <c r="AN59" i="57"/>
  <c r="AN57" i="57"/>
  <c r="E105" i="38"/>
  <c r="T105" i="38" s="1"/>
  <c r="AD105" i="38" s="1"/>
  <c r="AF15" i="60"/>
  <c r="AE15" i="60"/>
  <c r="M15" i="60"/>
  <c r="AL15" i="60"/>
  <c r="E15" i="60"/>
  <c r="I15" i="60"/>
  <c r="P15" i="60"/>
  <c r="G655" i="50"/>
  <c r="E103" i="38"/>
  <c r="T103" i="38" s="1"/>
  <c r="AD103" i="38" s="1"/>
  <c r="V15" i="60"/>
  <c r="S15" i="60"/>
  <c r="AJ15" i="60"/>
  <c r="X15" i="60"/>
  <c r="AK15" i="60"/>
  <c r="AG15" i="60"/>
  <c r="D15" i="60"/>
  <c r="BA273" i="50"/>
  <c r="G653" i="50"/>
  <c r="E101" i="38"/>
  <c r="T101" i="38" s="1"/>
  <c r="AD101" i="38" s="1"/>
  <c r="AF343" i="50"/>
  <c r="K2" i="9"/>
  <c r="I2" i="37"/>
  <c r="W80" i="65"/>
  <c r="W81" i="65" s="1"/>
  <c r="AZ153" i="50"/>
  <c r="K153" i="50"/>
  <c r="AL51" i="57"/>
  <c r="AM42" i="57"/>
  <c r="AN41" i="57"/>
  <c r="AN43" i="57"/>
  <c r="AN42" i="57"/>
  <c r="AL40" i="57"/>
  <c r="AS344" i="50"/>
  <c r="BA153" i="50"/>
  <c r="BX311" i="50"/>
  <c r="AF344" i="50"/>
  <c r="AO49" i="57"/>
  <c r="AO35" i="57"/>
  <c r="AZ417" i="50"/>
  <c r="K393" i="50"/>
  <c r="K417" i="50"/>
  <c r="BX215" i="50"/>
  <c r="BX143" i="50"/>
  <c r="K585" i="50"/>
  <c r="AZ273" i="50"/>
  <c r="K273" i="50"/>
  <c r="AZ393" i="50"/>
  <c r="BA417" i="50"/>
  <c r="AT197" i="50"/>
  <c r="BA393" i="50"/>
  <c r="BA369" i="50"/>
  <c r="BA345" i="50"/>
  <c r="K441" i="50"/>
  <c r="AZ345" i="50"/>
  <c r="K465" i="50"/>
  <c r="BM623" i="50"/>
  <c r="BA465" i="50"/>
  <c r="K345" i="50"/>
  <c r="AZ201" i="50"/>
  <c r="BA489" i="50"/>
  <c r="K489" i="50"/>
  <c r="AZ489" i="50"/>
  <c r="BA561" i="50"/>
  <c r="BA585" i="50"/>
  <c r="AZ585" i="50"/>
  <c r="F18" i="60"/>
  <c r="AA18" i="60" s="1"/>
  <c r="BM191" i="50"/>
  <c r="BA177" i="50"/>
  <c r="AZ249" i="50"/>
  <c r="AR344" i="50"/>
  <c r="AG343" i="50"/>
  <c r="AR343" i="50"/>
  <c r="BL623" i="50"/>
  <c r="BA249" i="50"/>
  <c r="AV344" i="50"/>
  <c r="BR335" i="50" s="1"/>
  <c r="AS343" i="50"/>
  <c r="AV343" i="50"/>
  <c r="BU335" i="50" s="1"/>
  <c r="AZ441" i="50"/>
  <c r="BX455" i="50"/>
  <c r="BA609" i="50"/>
  <c r="BA297" i="50"/>
  <c r="AT629" i="50"/>
  <c r="K249" i="50"/>
  <c r="AG344" i="50"/>
  <c r="BA441" i="50"/>
  <c r="AZ465" i="50"/>
  <c r="AZ513" i="50"/>
  <c r="AG271" i="50"/>
  <c r="BA513" i="50"/>
  <c r="AR271" i="50"/>
  <c r="K513" i="50"/>
  <c r="F17" i="60"/>
  <c r="Y17" i="60" s="1"/>
  <c r="K201" i="50"/>
  <c r="AV271" i="50"/>
  <c r="BU263" i="50" s="1"/>
  <c r="AI271" i="50"/>
  <c r="AJ271" i="50" s="1"/>
  <c r="AS271" i="50"/>
  <c r="BA201" i="50"/>
  <c r="AZ561" i="50"/>
  <c r="K561" i="50"/>
  <c r="H660" i="50"/>
  <c r="I137" i="43"/>
  <c r="I128" i="43"/>
  <c r="I123" i="43"/>
  <c r="I129" i="43"/>
  <c r="I131" i="43"/>
  <c r="I136" i="43"/>
  <c r="I126" i="43"/>
  <c r="I138" i="43"/>
  <c r="I140" i="43"/>
  <c r="I134" i="43"/>
  <c r="I132" i="43"/>
  <c r="I122" i="43"/>
  <c r="I121" i="43"/>
  <c r="I133" i="43"/>
  <c r="I130" i="43"/>
  <c r="I127" i="43"/>
  <c r="I139" i="43"/>
  <c r="I135" i="43"/>
  <c r="I125" i="43"/>
  <c r="I124" i="43"/>
  <c r="T34" i="9"/>
  <c r="T38" i="9" s="1"/>
  <c r="T36" i="9"/>
  <c r="AN24" i="57"/>
  <c r="AN28" i="57"/>
  <c r="AN56" i="57"/>
  <c r="AN53" i="57"/>
  <c r="AN25" i="57"/>
  <c r="AN33" i="57"/>
  <c r="AN54" i="57"/>
  <c r="AN29" i="57"/>
  <c r="AN22" i="57"/>
  <c r="AN36" i="57"/>
  <c r="AN55" i="57"/>
  <c r="AN27" i="57"/>
  <c r="AN31" i="57"/>
  <c r="AN26" i="57"/>
  <c r="AN19" i="57"/>
  <c r="AN32" i="57"/>
  <c r="AN34" i="57"/>
  <c r="AN40" i="57"/>
  <c r="AN38" i="57"/>
  <c r="AN30" i="57"/>
  <c r="AN23" i="57"/>
  <c r="AN20" i="57"/>
  <c r="AN21" i="57"/>
  <c r="AN37" i="57"/>
  <c r="AN35" i="57"/>
  <c r="AN39" i="57"/>
  <c r="AN149" i="50"/>
  <c r="AN152" i="50" s="1"/>
  <c r="AO152" i="50" s="1"/>
  <c r="BM143" i="50"/>
  <c r="AT149" i="50"/>
  <c r="M3" i="50"/>
  <c r="F16" i="60"/>
  <c r="AL20" i="57"/>
  <c r="AN269" i="50"/>
  <c r="AN272" i="50" s="1"/>
  <c r="AO272" i="50" s="1"/>
  <c r="BM263" i="50"/>
  <c r="AT269" i="50"/>
  <c r="AN365" i="50"/>
  <c r="AN368" i="50" s="1"/>
  <c r="AO368" i="50" s="1"/>
  <c r="BM359" i="50"/>
  <c r="Q166" i="52"/>
  <c r="S166" i="52" s="1"/>
  <c r="D172" i="52"/>
  <c r="N14" i="60"/>
  <c r="D14" i="60"/>
  <c r="S14" i="60"/>
  <c r="P14" i="60"/>
  <c r="E14" i="60"/>
  <c r="AK14" i="60"/>
  <c r="AG14" i="60"/>
  <c r="I14" i="60"/>
  <c r="AJ14" i="60"/>
  <c r="V14" i="60"/>
  <c r="AE14" i="60"/>
  <c r="AL14" i="60"/>
  <c r="AF14" i="60"/>
  <c r="M14" i="60"/>
  <c r="X14" i="60"/>
  <c r="E57" i="65"/>
  <c r="E56" i="65"/>
  <c r="R56" i="65"/>
  <c r="R57" i="65" s="1"/>
  <c r="D58" i="65"/>
  <c r="W53" i="65"/>
  <c r="W54" i="65" s="1"/>
  <c r="E86" i="65"/>
  <c r="D87" i="65"/>
  <c r="E85" i="65"/>
  <c r="R85" i="65"/>
  <c r="AT365" i="50"/>
  <c r="AM49" i="57"/>
  <c r="AM20" i="57"/>
  <c r="AM45" i="57"/>
  <c r="AM47" i="57"/>
  <c r="AM30" i="57"/>
  <c r="AM46" i="57"/>
  <c r="AM19" i="57"/>
  <c r="AM48" i="57"/>
  <c r="AM21" i="57"/>
  <c r="AM24" i="57"/>
  <c r="AM23" i="57"/>
  <c r="AM51" i="57"/>
  <c r="AM50" i="57"/>
  <c r="AM22" i="57"/>
  <c r="AM52" i="57"/>
  <c r="AM32" i="57"/>
  <c r="AM31" i="57"/>
  <c r="AM53" i="57"/>
  <c r="U83" i="65"/>
  <c r="R84" i="65"/>
  <c r="U84" i="65" s="1"/>
  <c r="AS633" i="50"/>
  <c r="AU633" i="50" s="1"/>
  <c r="I633" i="50"/>
  <c r="AV633" i="50"/>
  <c r="BX623" i="50" s="1"/>
  <c r="I537" i="50"/>
  <c r="AV537" i="50"/>
  <c r="BX527" i="50" s="1"/>
  <c r="AS537" i="50"/>
  <c r="AU537" i="50" s="1"/>
  <c r="AW537" i="50" s="1"/>
  <c r="AX537" i="50" s="1"/>
  <c r="AV631" i="50"/>
  <c r="BU623" i="50" s="1"/>
  <c r="AR631" i="50"/>
  <c r="AF631" i="50"/>
  <c r="AI631" i="50"/>
  <c r="AS631" i="50"/>
  <c r="AG631" i="50"/>
  <c r="AF632" i="50"/>
  <c r="AI632" i="50"/>
  <c r="AS632" i="50"/>
  <c r="AV632" i="50"/>
  <c r="BR623" i="50" s="1"/>
  <c r="AR632" i="50"/>
  <c r="AG632" i="50"/>
  <c r="I634" i="50"/>
  <c r="AS634" i="50"/>
  <c r="AU634" i="50" s="1"/>
  <c r="AW634" i="50" s="1"/>
  <c r="AX634" i="50" s="1"/>
  <c r="AV634" i="50"/>
  <c r="AV607" i="50"/>
  <c r="BU599" i="50" s="1"/>
  <c r="AR607" i="50"/>
  <c r="AF607" i="50"/>
  <c r="AS607" i="50"/>
  <c r="AG607" i="50"/>
  <c r="AI607" i="50"/>
  <c r="AX616" i="50"/>
  <c r="M616" i="50" s="1"/>
  <c r="BP599" i="50"/>
  <c r="BL599" i="50" s="1"/>
  <c r="BC612" i="50"/>
  <c r="M612" i="50" s="1"/>
  <c r="BA612" i="50"/>
  <c r="I610" i="50"/>
  <c r="AV610" i="50"/>
  <c r="AS610" i="50"/>
  <c r="AU610" i="50" s="1"/>
  <c r="AW610" i="50" s="1"/>
  <c r="AX610" i="50" s="1"/>
  <c r="AF608" i="50"/>
  <c r="AS608" i="50"/>
  <c r="AV608" i="50"/>
  <c r="BR599" i="50" s="1"/>
  <c r="AR608" i="50"/>
  <c r="AG608" i="50"/>
  <c r="AI608" i="50"/>
  <c r="AF584" i="50"/>
  <c r="AI584" i="50"/>
  <c r="AV584" i="50"/>
  <c r="BR575" i="50" s="1"/>
  <c r="AR584" i="50"/>
  <c r="AG584" i="50"/>
  <c r="AS584" i="50"/>
  <c r="AV583" i="50"/>
  <c r="BU575" i="50" s="1"/>
  <c r="AR583" i="50"/>
  <c r="AF583" i="50"/>
  <c r="AI583" i="50"/>
  <c r="AS583" i="50"/>
  <c r="AG583" i="50"/>
  <c r="BC588" i="50"/>
  <c r="M588" i="50" s="1"/>
  <c r="AX592" i="50"/>
  <c r="M592" i="50" s="1"/>
  <c r="BP575" i="50"/>
  <c r="BL575" i="50" s="1"/>
  <c r="BA588" i="50"/>
  <c r="AN581" i="50"/>
  <c r="BM575" i="50"/>
  <c r="AT581" i="50"/>
  <c r="I586" i="50"/>
  <c r="AS586" i="50"/>
  <c r="AU586" i="50" s="1"/>
  <c r="AV586" i="50"/>
  <c r="AN557" i="50"/>
  <c r="BM551" i="50"/>
  <c r="AV559" i="50"/>
  <c r="BU551" i="50" s="1"/>
  <c r="AR559" i="50"/>
  <c r="AF559" i="50"/>
  <c r="AI559" i="50"/>
  <c r="AS559" i="50"/>
  <c r="AG559" i="50"/>
  <c r="I562" i="50"/>
  <c r="AS562" i="50"/>
  <c r="AU562" i="50" s="1"/>
  <c r="AW562" i="50" s="1"/>
  <c r="AX562" i="50" s="1"/>
  <c r="AV562" i="50"/>
  <c r="AF560" i="50"/>
  <c r="AI560" i="50"/>
  <c r="AS560" i="50"/>
  <c r="AV560" i="50"/>
  <c r="BR551" i="50" s="1"/>
  <c r="AR560" i="50"/>
  <c r="AG560" i="50"/>
  <c r="AT557" i="50"/>
  <c r="BP551" i="50"/>
  <c r="BL551" i="50" s="1"/>
  <c r="AX568" i="50"/>
  <c r="M568" i="50" s="1"/>
  <c r="BC564" i="50"/>
  <c r="M564" i="50" s="1"/>
  <c r="BA564" i="50"/>
  <c r="I538" i="50"/>
  <c r="AV538" i="50"/>
  <c r="AS538" i="50"/>
  <c r="AU538" i="50" s="1"/>
  <c r="AW538" i="50" s="1"/>
  <c r="AX538" i="50" s="1"/>
  <c r="AF536" i="50"/>
  <c r="AV536" i="50"/>
  <c r="BR527" i="50" s="1"/>
  <c r="AR536" i="50"/>
  <c r="AG536" i="50"/>
  <c r="AI536" i="50"/>
  <c r="AS536" i="50"/>
  <c r="AN533" i="50"/>
  <c r="BM527" i="50"/>
  <c r="AT533" i="50"/>
  <c r="AX544" i="50"/>
  <c r="M544" i="50" s="1"/>
  <c r="BP527" i="50"/>
  <c r="BL527" i="50" s="1"/>
  <c r="BC540" i="50"/>
  <c r="M540" i="50" s="1"/>
  <c r="BA540" i="50"/>
  <c r="AV535" i="50"/>
  <c r="BU527" i="50" s="1"/>
  <c r="AR535" i="50"/>
  <c r="AF535" i="50"/>
  <c r="AS535" i="50"/>
  <c r="AG535" i="50"/>
  <c r="AI535" i="50"/>
  <c r="AV511" i="50"/>
  <c r="BU503" i="50" s="1"/>
  <c r="AR511" i="50"/>
  <c r="AF511" i="50"/>
  <c r="AS511" i="50"/>
  <c r="AI511" i="50"/>
  <c r="AG511" i="50"/>
  <c r="AN509" i="50"/>
  <c r="BM503" i="50"/>
  <c r="AT509" i="50"/>
  <c r="AF512" i="50"/>
  <c r="AV512" i="50"/>
  <c r="BR503" i="50" s="1"/>
  <c r="AR512" i="50"/>
  <c r="AI512" i="50"/>
  <c r="AS512" i="50"/>
  <c r="AG512" i="50"/>
  <c r="I514" i="50"/>
  <c r="AS514" i="50"/>
  <c r="AU514" i="50" s="1"/>
  <c r="AW514" i="50" s="1"/>
  <c r="AX514" i="50" s="1"/>
  <c r="AV514" i="50"/>
  <c r="BP503" i="50"/>
  <c r="BL503" i="50" s="1"/>
  <c r="AX520" i="50"/>
  <c r="M520" i="50" s="1"/>
  <c r="BA516" i="50"/>
  <c r="BC516" i="50"/>
  <c r="M516" i="50" s="1"/>
  <c r="BC492" i="50"/>
  <c r="M492" i="50" s="1"/>
  <c r="BP479" i="50"/>
  <c r="BL479" i="50" s="1"/>
  <c r="AX496" i="50"/>
  <c r="M496" i="50" s="1"/>
  <c r="BA492" i="50"/>
  <c r="I490" i="50"/>
  <c r="AS490" i="50"/>
  <c r="AU490" i="50" s="1"/>
  <c r="AW490" i="50" s="1"/>
  <c r="AX490" i="50" s="1"/>
  <c r="AV490" i="50"/>
  <c r="AV487" i="50"/>
  <c r="BU479" i="50" s="1"/>
  <c r="AR487" i="50"/>
  <c r="AF487" i="50"/>
  <c r="AI487" i="50"/>
  <c r="AS487" i="50"/>
  <c r="AG487" i="50"/>
  <c r="AF488" i="50"/>
  <c r="AI488" i="50"/>
  <c r="AS488" i="50"/>
  <c r="AV488" i="50"/>
  <c r="BR479" i="50" s="1"/>
  <c r="AR488" i="50"/>
  <c r="AG488" i="50"/>
  <c r="I466" i="50"/>
  <c r="AS466" i="50"/>
  <c r="AU466" i="50" s="1"/>
  <c r="AW466" i="50" s="1"/>
  <c r="AX466" i="50" s="1"/>
  <c r="AV466" i="50"/>
  <c r="AV463" i="50"/>
  <c r="BU455" i="50" s="1"/>
  <c r="AR463" i="50"/>
  <c r="AF463" i="50"/>
  <c r="AS463" i="50"/>
  <c r="AG463" i="50"/>
  <c r="AI463" i="50"/>
  <c r="AF464" i="50"/>
  <c r="AV464" i="50"/>
  <c r="BR455" i="50" s="1"/>
  <c r="AG464" i="50"/>
  <c r="AI464" i="50"/>
  <c r="AR464" i="50"/>
  <c r="AS464" i="50"/>
  <c r="BP455" i="50"/>
  <c r="BL455" i="50" s="1"/>
  <c r="AX472" i="50"/>
  <c r="M472" i="50" s="1"/>
  <c r="BC468" i="50"/>
  <c r="M468" i="50" s="1"/>
  <c r="BA468" i="50"/>
  <c r="I442" i="50"/>
  <c r="AS442" i="50"/>
  <c r="AU442" i="50" s="1"/>
  <c r="AW442" i="50" s="1"/>
  <c r="AX442" i="50" s="1"/>
  <c r="AV442" i="50"/>
  <c r="BC444" i="50"/>
  <c r="M444" i="50" s="1"/>
  <c r="BP431" i="50"/>
  <c r="BL431" i="50" s="1"/>
  <c r="AX448" i="50"/>
  <c r="M448" i="50" s="1"/>
  <c r="BA444" i="50"/>
  <c r="AV439" i="50"/>
  <c r="BU431" i="50" s="1"/>
  <c r="AR439" i="50"/>
  <c r="AF439" i="50"/>
  <c r="AI439" i="50"/>
  <c r="AS439" i="50"/>
  <c r="AG439" i="50"/>
  <c r="AF440" i="50"/>
  <c r="AI440" i="50"/>
  <c r="AG440" i="50"/>
  <c r="AS440" i="50"/>
  <c r="AV440" i="50"/>
  <c r="BR431" i="50" s="1"/>
  <c r="AR440" i="50"/>
  <c r="AN413" i="50"/>
  <c r="BM407" i="50"/>
  <c r="AT413" i="50"/>
  <c r="I418" i="50"/>
  <c r="AV418" i="50"/>
  <c r="AS418" i="50"/>
  <c r="AU418" i="50" s="1"/>
  <c r="AW418" i="50" s="1"/>
  <c r="AX418" i="50" s="1"/>
  <c r="AV415" i="50"/>
  <c r="BU407" i="50" s="1"/>
  <c r="AR415" i="50"/>
  <c r="AF415" i="50"/>
  <c r="AS415" i="50"/>
  <c r="AI415" i="50"/>
  <c r="AG415" i="50"/>
  <c r="AF416" i="50"/>
  <c r="AV416" i="50"/>
  <c r="BR407" i="50" s="1"/>
  <c r="AI416" i="50"/>
  <c r="AR416" i="50"/>
  <c r="AG416" i="50"/>
  <c r="AS416" i="50"/>
  <c r="AX424" i="50"/>
  <c r="M424" i="50" s="1"/>
  <c r="BP407" i="50"/>
  <c r="BL407" i="50" s="1"/>
  <c r="BA420" i="50"/>
  <c r="BC420" i="50"/>
  <c r="M420" i="50" s="1"/>
  <c r="AJ392" i="50"/>
  <c r="I392" i="50"/>
  <c r="AJ391" i="50"/>
  <c r="I391" i="50"/>
  <c r="AN389" i="50"/>
  <c r="BM383" i="50"/>
  <c r="AT389" i="50"/>
  <c r="I394" i="50"/>
  <c r="AV394" i="50"/>
  <c r="AS394" i="50"/>
  <c r="AU394" i="50" s="1"/>
  <c r="AW394" i="50" s="1"/>
  <c r="AX394" i="50" s="1"/>
  <c r="I370" i="50"/>
  <c r="AV370" i="50"/>
  <c r="AS370" i="50"/>
  <c r="AU370" i="50" s="1"/>
  <c r="AV367" i="50"/>
  <c r="BU359" i="50" s="1"/>
  <c r="AR367" i="50"/>
  <c r="AF367" i="50"/>
  <c r="AI367" i="50"/>
  <c r="AS367" i="50"/>
  <c r="AG367" i="50"/>
  <c r="AF368" i="50"/>
  <c r="AR368" i="50"/>
  <c r="AG368" i="50"/>
  <c r="AI368" i="50"/>
  <c r="AS368" i="50"/>
  <c r="AV368" i="50"/>
  <c r="BR359" i="50" s="1"/>
  <c r="AX376" i="50"/>
  <c r="M376" i="50" s="1"/>
  <c r="BP359" i="50"/>
  <c r="BL359" i="50" s="1"/>
  <c r="BA372" i="50"/>
  <c r="BC372" i="50"/>
  <c r="M372" i="50" s="1"/>
  <c r="I346" i="50"/>
  <c r="AS346" i="50"/>
  <c r="AU346" i="50" s="1"/>
  <c r="AW346" i="50" s="1"/>
  <c r="AX346" i="50" s="1"/>
  <c r="AV346" i="50"/>
  <c r="AJ343" i="50"/>
  <c r="I343" i="50"/>
  <c r="AN341" i="50"/>
  <c r="BM335" i="50"/>
  <c r="AJ344" i="50"/>
  <c r="I344" i="50"/>
  <c r="AT341" i="50"/>
  <c r="I322" i="50"/>
  <c r="AS322" i="50"/>
  <c r="AU322" i="50" s="1"/>
  <c r="AW322" i="50" s="1"/>
  <c r="AX322" i="50" s="1"/>
  <c r="AV322" i="50"/>
  <c r="AV319" i="50"/>
  <c r="BU311" i="50" s="1"/>
  <c r="AR319" i="50"/>
  <c r="AF319" i="50"/>
  <c r="AI319" i="50"/>
  <c r="AS319" i="50"/>
  <c r="AG319" i="50"/>
  <c r="AF320" i="50"/>
  <c r="AI320" i="50"/>
  <c r="AV320" i="50"/>
  <c r="BR311" i="50" s="1"/>
  <c r="AR320" i="50"/>
  <c r="AS320" i="50"/>
  <c r="AG320" i="50"/>
  <c r="BC324" i="50"/>
  <c r="M324" i="50" s="1"/>
  <c r="BP311" i="50"/>
  <c r="BL311" i="50" s="1"/>
  <c r="AX328" i="50"/>
  <c r="M328" i="50" s="1"/>
  <c r="BA324" i="50"/>
  <c r="AV295" i="50"/>
  <c r="BU287" i="50" s="1"/>
  <c r="AR295" i="50"/>
  <c r="AF295" i="50"/>
  <c r="AI295" i="50"/>
  <c r="AS295" i="50"/>
  <c r="AG295" i="50"/>
  <c r="AF296" i="50"/>
  <c r="AR296" i="50"/>
  <c r="AI296" i="50"/>
  <c r="AV296" i="50"/>
  <c r="BR287" i="50" s="1"/>
  <c r="AG296" i="50"/>
  <c r="AS296" i="50"/>
  <c r="BP287" i="50"/>
  <c r="BL287" i="50" s="1"/>
  <c r="AX304" i="50"/>
  <c r="M304" i="50" s="1"/>
  <c r="BC300" i="50"/>
  <c r="M300" i="50" s="1"/>
  <c r="BA300" i="50"/>
  <c r="AN293" i="50"/>
  <c r="BM287" i="50"/>
  <c r="I298" i="50"/>
  <c r="AS298" i="50"/>
  <c r="AU298" i="50" s="1"/>
  <c r="AW298" i="50" s="1"/>
  <c r="AX298" i="50" s="1"/>
  <c r="AV298" i="50"/>
  <c r="I274" i="50"/>
  <c r="AS274" i="50"/>
  <c r="AU274" i="50" s="1"/>
  <c r="AV274" i="50"/>
  <c r="AF272" i="50"/>
  <c r="AI272" i="50"/>
  <c r="AS272" i="50"/>
  <c r="AV272" i="50"/>
  <c r="BR263" i="50" s="1"/>
  <c r="AR272" i="50"/>
  <c r="AG272" i="50"/>
  <c r="BC276" i="50"/>
  <c r="M276" i="50" s="1"/>
  <c r="BP263" i="50"/>
  <c r="BL263" i="50" s="1"/>
  <c r="AX280" i="50"/>
  <c r="M280" i="50" s="1"/>
  <c r="BA276" i="50"/>
  <c r="AF248" i="50"/>
  <c r="AG248" i="50"/>
  <c r="AI248" i="50"/>
  <c r="AS248" i="50"/>
  <c r="AV248" i="50"/>
  <c r="BR239" i="50" s="1"/>
  <c r="AR248" i="50"/>
  <c r="I250" i="50"/>
  <c r="AS250" i="50"/>
  <c r="AU250" i="50" s="1"/>
  <c r="AW250" i="50" s="1"/>
  <c r="AX250" i="50" s="1"/>
  <c r="AV250" i="50"/>
  <c r="AV247" i="50"/>
  <c r="BU239" i="50" s="1"/>
  <c r="AR247" i="50"/>
  <c r="AF247" i="50"/>
  <c r="AS247" i="50"/>
  <c r="AI247" i="50"/>
  <c r="AG247" i="50"/>
  <c r="AN245" i="50"/>
  <c r="BM239" i="50"/>
  <c r="AT245" i="50"/>
  <c r="BP239" i="50"/>
  <c r="BL239" i="50" s="1"/>
  <c r="BC252" i="50"/>
  <c r="M252" i="50" s="1"/>
  <c r="AX256" i="50"/>
  <c r="M256" i="50" s="1"/>
  <c r="BA252" i="50"/>
  <c r="AV223" i="50"/>
  <c r="BU215" i="50" s="1"/>
  <c r="AR223" i="50"/>
  <c r="AF223" i="50"/>
  <c r="AI223" i="50"/>
  <c r="AS223" i="50"/>
  <c r="AG223" i="50"/>
  <c r="AN221" i="50"/>
  <c r="BM215" i="50"/>
  <c r="I226" i="50"/>
  <c r="AS226" i="50"/>
  <c r="AU226" i="50" s="1"/>
  <c r="AW226" i="50" s="1"/>
  <c r="AX226" i="50" s="1"/>
  <c r="AV226" i="50"/>
  <c r="AF224" i="50"/>
  <c r="AI224" i="50"/>
  <c r="AG224" i="50"/>
  <c r="AS224" i="50"/>
  <c r="AV224" i="50"/>
  <c r="BR215" i="50" s="1"/>
  <c r="AR224" i="50"/>
  <c r="BP215" i="50"/>
  <c r="BL215" i="50" s="1"/>
  <c r="AX232" i="50"/>
  <c r="M232" i="50" s="1"/>
  <c r="BC228" i="50"/>
  <c r="M228" i="50" s="1"/>
  <c r="BA228" i="50"/>
  <c r="AT221" i="50"/>
  <c r="AF200" i="50"/>
  <c r="AI200" i="50"/>
  <c r="AR200" i="50"/>
  <c r="AG200" i="50"/>
  <c r="AS200" i="50"/>
  <c r="AV200" i="50"/>
  <c r="BR191" i="50" s="1"/>
  <c r="AV199" i="50"/>
  <c r="BU191" i="50" s="1"/>
  <c r="AR199" i="50"/>
  <c r="AF199" i="50"/>
  <c r="AI199" i="50"/>
  <c r="AG199" i="50"/>
  <c r="AS199" i="50"/>
  <c r="I202" i="50"/>
  <c r="AS202" i="50"/>
  <c r="AU202" i="50" s="1"/>
  <c r="AV202" i="50"/>
  <c r="AX208" i="50"/>
  <c r="M208" i="50" s="1"/>
  <c r="BP191" i="50"/>
  <c r="BL191" i="50" s="1"/>
  <c r="BC204" i="50"/>
  <c r="M204" i="50" s="1"/>
  <c r="BA204" i="50"/>
  <c r="AF176" i="50"/>
  <c r="AI176" i="50"/>
  <c r="AV176" i="50"/>
  <c r="BR167" i="50" s="1"/>
  <c r="AR176" i="50"/>
  <c r="AS176" i="50"/>
  <c r="AG176" i="50"/>
  <c r="AX184" i="50"/>
  <c r="M184" i="50" s="1"/>
  <c r="BP167" i="50"/>
  <c r="BL167" i="50" s="1"/>
  <c r="BA180" i="50"/>
  <c r="BC180" i="50"/>
  <c r="M180" i="50" s="1"/>
  <c r="AV175" i="50"/>
  <c r="BU167" i="50" s="1"/>
  <c r="AR175" i="50"/>
  <c r="AF175" i="50"/>
  <c r="AI175" i="50"/>
  <c r="AS175" i="50"/>
  <c r="AG175" i="50"/>
  <c r="I178" i="50"/>
  <c r="AS178" i="50"/>
  <c r="AU178" i="50" s="1"/>
  <c r="AW178" i="50" s="1"/>
  <c r="AX178" i="50" s="1"/>
  <c r="AV178" i="50"/>
  <c r="AF152" i="50"/>
  <c r="AI152" i="50"/>
  <c r="AV152" i="50"/>
  <c r="BR143" i="50" s="1"/>
  <c r="AS152" i="50"/>
  <c r="AR152" i="50"/>
  <c r="AG152" i="50"/>
  <c r="BP143" i="50"/>
  <c r="BL143" i="50" s="1"/>
  <c r="AX160" i="50"/>
  <c r="M160" i="50" s="1"/>
  <c r="BA156" i="50"/>
  <c r="BC156" i="50"/>
  <c r="M156" i="50" s="1"/>
  <c r="I154" i="50"/>
  <c r="AS154" i="50"/>
  <c r="AU154" i="50" s="1"/>
  <c r="AW154" i="50" s="1"/>
  <c r="AX154" i="50" s="1"/>
  <c r="AV154" i="50"/>
  <c r="AV151" i="50"/>
  <c r="BU143" i="50" s="1"/>
  <c r="AR151" i="50"/>
  <c r="AF151" i="50"/>
  <c r="AI151" i="50"/>
  <c r="AS151" i="50"/>
  <c r="AG151" i="50"/>
  <c r="G4" i="50"/>
  <c r="A215" i="50"/>
  <c r="I4" i="50"/>
  <c r="F19" i="60"/>
  <c r="M652" i="50"/>
  <c r="D36" i="9"/>
  <c r="D12" i="9"/>
  <c r="R25" i="9"/>
  <c r="E29" i="9"/>
  <c r="E26" i="9"/>
  <c r="E22" i="9"/>
  <c r="M2" i="38"/>
  <c r="D21" i="9"/>
  <c r="D40" i="9"/>
  <c r="R14" i="9"/>
  <c r="R30" i="9"/>
  <c r="X17" i="38"/>
  <c r="E16" i="9"/>
  <c r="E27" i="9"/>
  <c r="R17" i="9"/>
  <c r="R18" i="9"/>
  <c r="I68" i="57" l="1"/>
  <c r="S19" i="9"/>
  <c r="I2" i="38" s="1"/>
  <c r="V101" i="50"/>
  <c r="V104" i="50" s="1"/>
  <c r="V103" i="50" s="1"/>
  <c r="V105" i="50" s="1"/>
  <c r="E96" i="50"/>
  <c r="T108" i="50" s="1"/>
  <c r="K95" i="50"/>
  <c r="G15" i="60" s="1"/>
  <c r="V60" i="50"/>
  <c r="AF53" i="50"/>
  <c r="AG53" i="50"/>
  <c r="V56" i="50"/>
  <c r="V55" i="50" s="1"/>
  <c r="V57" i="50" s="1"/>
  <c r="E72" i="50"/>
  <c r="V77" i="50"/>
  <c r="K72" i="50"/>
  <c r="H14" i="60" s="1"/>
  <c r="K71" i="50"/>
  <c r="G14" i="60" s="1"/>
  <c r="T55" i="50"/>
  <c r="Z55" i="50" s="1"/>
  <c r="T53" i="50"/>
  <c r="Z53" i="50" s="1"/>
  <c r="G53" i="50" s="1"/>
  <c r="T58" i="50"/>
  <c r="Z58" i="50" s="1"/>
  <c r="G58" i="50" s="1"/>
  <c r="T57" i="50"/>
  <c r="Z57" i="50" s="1"/>
  <c r="G57" i="50" s="1"/>
  <c r="T56" i="50"/>
  <c r="Z56" i="50" s="1"/>
  <c r="AK56" i="50"/>
  <c r="T60" i="50"/>
  <c r="Z60" i="50" s="1"/>
  <c r="V132" i="50"/>
  <c r="V128" i="50"/>
  <c r="V127" i="50" s="1"/>
  <c r="V129" i="50" s="1"/>
  <c r="AG125" i="50"/>
  <c r="AF125" i="50"/>
  <c r="T132" i="50"/>
  <c r="T129" i="50"/>
  <c r="Z129" i="50" s="1"/>
  <c r="G129" i="50" s="1"/>
  <c r="T130" i="50"/>
  <c r="Z130" i="50" s="1"/>
  <c r="G130" i="50" s="1"/>
  <c r="T128" i="50"/>
  <c r="T127" i="50"/>
  <c r="AK128" i="50"/>
  <c r="T125" i="50"/>
  <c r="AL17" i="60"/>
  <c r="W18" i="60"/>
  <c r="AK104" i="50"/>
  <c r="V108" i="50"/>
  <c r="AG101" i="50"/>
  <c r="AF101" i="50"/>
  <c r="K2" i="10"/>
  <c r="AL18" i="60"/>
  <c r="K18" i="60"/>
  <c r="AD18" i="60"/>
  <c r="R18" i="60"/>
  <c r="G18" i="60"/>
  <c r="M18" i="60"/>
  <c r="U18" i="60"/>
  <c r="M108" i="65"/>
  <c r="M48" i="63"/>
  <c r="M123" i="43"/>
  <c r="H653" i="50"/>
  <c r="W68" i="57"/>
  <c r="J68" i="57"/>
  <c r="Y68" i="57"/>
  <c r="T68" i="57"/>
  <c r="AD68" i="57"/>
  <c r="AF68" i="57"/>
  <c r="S68" i="57"/>
  <c r="AB68" i="57"/>
  <c r="AC68" i="57"/>
  <c r="U68" i="57"/>
  <c r="O68" i="57"/>
  <c r="AL21" i="57"/>
  <c r="AL22" i="57" s="1"/>
  <c r="G68" i="57"/>
  <c r="H68" i="57"/>
  <c r="V68" i="57"/>
  <c r="F68" i="57"/>
  <c r="Q68" i="57"/>
  <c r="O17" i="60"/>
  <c r="AE17" i="60"/>
  <c r="AG17" i="60"/>
  <c r="N68" i="57"/>
  <c r="Z68" i="57"/>
  <c r="L68" i="57"/>
  <c r="P68" i="57"/>
  <c r="R68" i="57"/>
  <c r="AE68" i="57"/>
  <c r="X68" i="57"/>
  <c r="M68" i="57"/>
  <c r="AG68" i="57"/>
  <c r="E68" i="57"/>
  <c r="AH68" i="57"/>
  <c r="K68" i="57"/>
  <c r="AA68" i="57"/>
  <c r="E65" i="57"/>
  <c r="I271" i="50"/>
  <c r="W82" i="65"/>
  <c r="W83" i="65" s="1"/>
  <c r="AK18" i="60"/>
  <c r="E18" i="60"/>
  <c r="D18" i="60"/>
  <c r="J18" i="60"/>
  <c r="V18" i="60"/>
  <c r="AC18" i="60"/>
  <c r="L18" i="60"/>
  <c r="Z18" i="60"/>
  <c r="AB18" i="60"/>
  <c r="S18" i="60"/>
  <c r="T18" i="60"/>
  <c r="H18" i="60"/>
  <c r="AF18" i="60"/>
  <c r="N18" i="60"/>
  <c r="O18" i="60"/>
  <c r="P18" i="60"/>
  <c r="AJ18" i="60"/>
  <c r="AG18" i="60"/>
  <c r="Y18" i="60"/>
  <c r="AE18" i="60"/>
  <c r="I18" i="60"/>
  <c r="X18" i="60"/>
  <c r="Q18" i="60"/>
  <c r="AC17" i="60"/>
  <c r="T17" i="60"/>
  <c r="AJ17" i="60"/>
  <c r="V17" i="60"/>
  <c r="E17" i="60"/>
  <c r="R17" i="60"/>
  <c r="J17" i="60"/>
  <c r="H17" i="60"/>
  <c r="AK17" i="60"/>
  <c r="Z17" i="60"/>
  <c r="AD17" i="60"/>
  <c r="K17" i="60"/>
  <c r="AM25" i="57"/>
  <c r="G17" i="60"/>
  <c r="AF17" i="60"/>
  <c r="AA17" i="60"/>
  <c r="N17" i="60"/>
  <c r="W17" i="60"/>
  <c r="P17" i="60"/>
  <c r="X17" i="60"/>
  <c r="D17" i="60"/>
  <c r="L17" i="60"/>
  <c r="M17" i="60"/>
  <c r="AB17" i="60"/>
  <c r="Q17" i="60"/>
  <c r="U17" i="60"/>
  <c r="I17" i="60"/>
  <c r="S17" i="60"/>
  <c r="W55" i="65"/>
  <c r="W56" i="65" s="1"/>
  <c r="T40" i="9"/>
  <c r="AL16" i="60"/>
  <c r="P16" i="60"/>
  <c r="S16" i="60"/>
  <c r="V16" i="60"/>
  <c r="X16" i="60"/>
  <c r="G16" i="60"/>
  <c r="H16" i="60"/>
  <c r="D16" i="60"/>
  <c r="AK16" i="60"/>
  <c r="I16" i="60"/>
  <c r="AJ16" i="60"/>
  <c r="N16" i="60"/>
  <c r="E16" i="60"/>
  <c r="AF16" i="60"/>
  <c r="AE16" i="60"/>
  <c r="AG16" i="60"/>
  <c r="M16" i="60"/>
  <c r="G65" i="57"/>
  <c r="AN45" i="57"/>
  <c r="F65" i="57"/>
  <c r="U85" i="65"/>
  <c r="R86" i="65"/>
  <c r="U86" i="65" s="1"/>
  <c r="R58" i="65"/>
  <c r="R59" i="65" s="1"/>
  <c r="D60" i="65"/>
  <c r="E59" i="65"/>
  <c r="E58" i="65"/>
  <c r="E87" i="65"/>
  <c r="D89" i="65"/>
  <c r="E88" i="65"/>
  <c r="R87" i="65"/>
  <c r="Q172" i="52"/>
  <c r="S172" i="52" s="1"/>
  <c r="D178" i="52"/>
  <c r="Q178" i="52" s="1"/>
  <c r="S178" i="52" s="1"/>
  <c r="BA537" i="50"/>
  <c r="K537" i="50"/>
  <c r="AZ537" i="50"/>
  <c r="AW633" i="50"/>
  <c r="AX633" i="50" s="1"/>
  <c r="K633" i="50"/>
  <c r="AZ633" i="50"/>
  <c r="BA633" i="50"/>
  <c r="BA634" i="50"/>
  <c r="K634" i="50"/>
  <c r="AZ634" i="50"/>
  <c r="AJ632" i="50"/>
  <c r="I632" i="50"/>
  <c r="AJ631" i="50"/>
  <c r="I631" i="50"/>
  <c r="BZ623" i="50"/>
  <c r="BD634" i="50"/>
  <c r="BD633" i="50"/>
  <c r="AJ608" i="50"/>
  <c r="I608" i="50"/>
  <c r="BA610" i="50"/>
  <c r="K610" i="50"/>
  <c r="AZ610" i="50"/>
  <c r="AJ607" i="50"/>
  <c r="I607" i="50"/>
  <c r="BZ599" i="50"/>
  <c r="BD609" i="50"/>
  <c r="M609" i="50" s="1"/>
  <c r="BD610" i="50"/>
  <c r="BZ575" i="50"/>
  <c r="BD585" i="50"/>
  <c r="M585" i="50" s="1"/>
  <c r="BD586" i="50"/>
  <c r="AJ584" i="50"/>
  <c r="I584" i="50"/>
  <c r="BA586" i="50"/>
  <c r="K586" i="50"/>
  <c r="AZ586" i="50"/>
  <c r="AN584" i="50"/>
  <c r="AO584" i="50" s="1"/>
  <c r="AW586" i="50"/>
  <c r="AX586" i="50" s="1"/>
  <c r="AJ583" i="50"/>
  <c r="I583" i="50"/>
  <c r="AJ560" i="50"/>
  <c r="I560" i="50"/>
  <c r="BZ551" i="50"/>
  <c r="BD561" i="50"/>
  <c r="M561" i="50" s="1"/>
  <c r="BD562" i="50"/>
  <c r="AJ559" i="50"/>
  <c r="I559" i="50"/>
  <c r="BA562" i="50"/>
  <c r="K562" i="50"/>
  <c r="AZ562" i="50"/>
  <c r="AN560" i="50"/>
  <c r="AO560" i="50" s="1"/>
  <c r="AJ535" i="50"/>
  <c r="I535" i="50"/>
  <c r="BA538" i="50"/>
  <c r="K538" i="50"/>
  <c r="AZ538" i="50"/>
  <c r="AN536" i="50"/>
  <c r="AO536" i="50" s="1"/>
  <c r="AJ536" i="50"/>
  <c r="I536" i="50"/>
  <c r="BZ527" i="50"/>
  <c r="BD537" i="50"/>
  <c r="BD538" i="50"/>
  <c r="K514" i="50"/>
  <c r="BA514" i="50"/>
  <c r="AZ514" i="50"/>
  <c r="AJ511" i="50"/>
  <c r="I511" i="50"/>
  <c r="AN512" i="50"/>
  <c r="AO512" i="50" s="1"/>
  <c r="BZ503" i="50"/>
  <c r="BD513" i="50"/>
  <c r="M513" i="50" s="1"/>
  <c r="BD514" i="50"/>
  <c r="AJ512" i="50"/>
  <c r="I512" i="50"/>
  <c r="BA490" i="50"/>
  <c r="K490" i="50"/>
  <c r="AZ490" i="50"/>
  <c r="AJ487" i="50"/>
  <c r="I487" i="50"/>
  <c r="AJ488" i="50"/>
  <c r="I488" i="50"/>
  <c r="BZ479" i="50"/>
  <c r="BD490" i="50"/>
  <c r="BD489" i="50"/>
  <c r="M489" i="50" s="1"/>
  <c r="BA466" i="50"/>
  <c r="K466" i="50"/>
  <c r="AZ466" i="50"/>
  <c r="AJ463" i="50"/>
  <c r="I463" i="50"/>
  <c r="AJ464" i="50"/>
  <c r="I464" i="50"/>
  <c r="BZ455" i="50"/>
  <c r="BD465" i="50"/>
  <c r="M465" i="50" s="1"/>
  <c r="BD466" i="50"/>
  <c r="BA442" i="50"/>
  <c r="K442" i="50"/>
  <c r="AZ442" i="50"/>
  <c r="AJ439" i="50"/>
  <c r="I439" i="50"/>
  <c r="AJ440" i="50"/>
  <c r="I440" i="50"/>
  <c r="BZ431" i="50"/>
  <c r="BD441" i="50"/>
  <c r="M441" i="50" s="1"/>
  <c r="BD442" i="50"/>
  <c r="AJ415" i="50"/>
  <c r="I415" i="50"/>
  <c r="BA418" i="50"/>
  <c r="K418" i="50"/>
  <c r="AZ418" i="50"/>
  <c r="AJ416" i="50"/>
  <c r="I416" i="50"/>
  <c r="BZ407" i="50"/>
  <c r="BD417" i="50"/>
  <c r="M417" i="50" s="1"/>
  <c r="BD418" i="50"/>
  <c r="AN416" i="50"/>
  <c r="AO416" i="50" s="1"/>
  <c r="BA394" i="50"/>
  <c r="K394" i="50"/>
  <c r="AZ394" i="50"/>
  <c r="BV383" i="50"/>
  <c r="AN391" i="50"/>
  <c r="BG393" i="50" s="1"/>
  <c r="AT391" i="50"/>
  <c r="AU391" i="50" s="1"/>
  <c r="BZ383" i="50"/>
  <c r="BD394" i="50"/>
  <c r="BD393" i="50"/>
  <c r="M393" i="50" s="1"/>
  <c r="AN392" i="50"/>
  <c r="AO392" i="50" s="1"/>
  <c r="BS383" i="50"/>
  <c r="AT392" i="50"/>
  <c r="AU392" i="50" s="1"/>
  <c r="AJ368" i="50"/>
  <c r="I368" i="50"/>
  <c r="BA370" i="50"/>
  <c r="K370" i="50"/>
  <c r="AZ370" i="50"/>
  <c r="BZ359" i="50"/>
  <c r="BD369" i="50"/>
  <c r="M369" i="50" s="1"/>
  <c r="BD370" i="50"/>
  <c r="AJ367" i="50"/>
  <c r="I367" i="50"/>
  <c r="AW370" i="50"/>
  <c r="AX370" i="50" s="1"/>
  <c r="AN344" i="50"/>
  <c r="AO344" i="50" s="1"/>
  <c r="K346" i="50"/>
  <c r="BA346" i="50"/>
  <c r="AZ346" i="50"/>
  <c r="BS335" i="50"/>
  <c r="AT344" i="50"/>
  <c r="AU344" i="50" s="1"/>
  <c r="BV335" i="50"/>
  <c r="AN343" i="50"/>
  <c r="BG345" i="50" s="1"/>
  <c r="AT343" i="50"/>
  <c r="AU343" i="50" s="1"/>
  <c r="BZ335" i="50"/>
  <c r="BD346" i="50"/>
  <c r="BD345" i="50"/>
  <c r="M345" i="50" s="1"/>
  <c r="BA322" i="50"/>
  <c r="K322" i="50"/>
  <c r="AZ322" i="50"/>
  <c r="AJ320" i="50"/>
  <c r="I320" i="50"/>
  <c r="AJ319" i="50"/>
  <c r="I319" i="50"/>
  <c r="BZ311" i="50"/>
  <c r="BD321" i="50"/>
  <c r="M321" i="50" s="1"/>
  <c r="BD322" i="50"/>
  <c r="BZ287" i="50"/>
  <c r="BD297" i="50"/>
  <c r="M297" i="50" s="1"/>
  <c r="BD298" i="50"/>
  <c r="BA298" i="50"/>
  <c r="K298" i="50"/>
  <c r="AZ298" i="50"/>
  <c r="AN296" i="50"/>
  <c r="AO296" i="50" s="1"/>
  <c r="AJ296" i="50"/>
  <c r="I296" i="50"/>
  <c r="AJ295" i="50"/>
  <c r="I295" i="50"/>
  <c r="BA274" i="50"/>
  <c r="K274" i="50"/>
  <c r="AZ274" i="50"/>
  <c r="BV263" i="50"/>
  <c r="AN271" i="50"/>
  <c r="AT271" i="50"/>
  <c r="AU271" i="50" s="1"/>
  <c r="BZ263" i="50"/>
  <c r="BD273" i="50"/>
  <c r="M273" i="50" s="1"/>
  <c r="BD274" i="50"/>
  <c r="AJ272" i="50"/>
  <c r="I272" i="50"/>
  <c r="AW274" i="50"/>
  <c r="AX274" i="50" s="1"/>
  <c r="AJ247" i="50"/>
  <c r="I247" i="50"/>
  <c r="AJ248" i="50"/>
  <c r="I248" i="50"/>
  <c r="AN248" i="50"/>
  <c r="AO248" i="50" s="1"/>
  <c r="BA250" i="50"/>
  <c r="K250" i="50"/>
  <c r="AZ250" i="50"/>
  <c r="BZ239" i="50"/>
  <c r="BD250" i="50"/>
  <c r="BD249" i="50"/>
  <c r="M249" i="50" s="1"/>
  <c r="BZ215" i="50"/>
  <c r="BD226" i="50"/>
  <c r="BD225" i="50"/>
  <c r="M225" i="50" s="1"/>
  <c r="AJ223" i="50"/>
  <c r="I223" i="50"/>
  <c r="AJ224" i="50"/>
  <c r="I224" i="50"/>
  <c r="K226" i="50"/>
  <c r="BA226" i="50"/>
  <c r="AZ226" i="50"/>
  <c r="AN224" i="50"/>
  <c r="AO224" i="50" s="1"/>
  <c r="AJ199" i="50"/>
  <c r="I199" i="50"/>
  <c r="AJ200" i="50"/>
  <c r="I200" i="50"/>
  <c r="K202" i="50"/>
  <c r="BA202" i="50"/>
  <c r="AZ202" i="50"/>
  <c r="BZ191" i="50"/>
  <c r="BD202" i="50"/>
  <c r="BD201" i="50"/>
  <c r="M201" i="50" s="1"/>
  <c r="AW202" i="50"/>
  <c r="AX202" i="50" s="1"/>
  <c r="BA178" i="50"/>
  <c r="K178" i="50"/>
  <c r="AZ178" i="50"/>
  <c r="AJ176" i="50"/>
  <c r="I176" i="50"/>
  <c r="BZ167" i="50"/>
  <c r="BD177" i="50"/>
  <c r="M177" i="50" s="1"/>
  <c r="BD178" i="50"/>
  <c r="AJ175" i="50"/>
  <c r="I175" i="50"/>
  <c r="BA154" i="50"/>
  <c r="K154" i="50"/>
  <c r="AZ154" i="50"/>
  <c r="AJ152" i="50"/>
  <c r="I152" i="50"/>
  <c r="BZ143" i="50"/>
  <c r="BD154" i="50"/>
  <c r="BD153" i="50"/>
  <c r="M153" i="50" s="1"/>
  <c r="AJ151" i="50"/>
  <c r="I151" i="50"/>
  <c r="K4" i="50"/>
  <c r="A239" i="50"/>
  <c r="M4" i="50" s="1"/>
  <c r="D19" i="60"/>
  <c r="W19" i="60"/>
  <c r="O19" i="60"/>
  <c r="AK19" i="60"/>
  <c r="G19" i="60"/>
  <c r="AG19" i="60"/>
  <c r="K19" i="60"/>
  <c r="X19" i="60"/>
  <c r="AD19" i="60"/>
  <c r="L19" i="60"/>
  <c r="Q19" i="60"/>
  <c r="Z19" i="60"/>
  <c r="AC19" i="60"/>
  <c r="S19" i="60"/>
  <c r="N19" i="60"/>
  <c r="M19" i="60"/>
  <c r="AJ19" i="60"/>
  <c r="AL19" i="60"/>
  <c r="AE19" i="60"/>
  <c r="I19" i="60"/>
  <c r="V19" i="60"/>
  <c r="AA19" i="60"/>
  <c r="AF19" i="60"/>
  <c r="J19" i="60"/>
  <c r="P19" i="60"/>
  <c r="T19" i="60"/>
  <c r="H19" i="60"/>
  <c r="Y19" i="60"/>
  <c r="U19" i="60"/>
  <c r="AB19" i="60"/>
  <c r="E19" i="60"/>
  <c r="R19" i="60"/>
  <c r="E18" i="9"/>
  <c r="D14" i="9"/>
  <c r="C68" i="57"/>
  <c r="E30" i="9"/>
  <c r="R19" i="9"/>
  <c r="D25" i="9"/>
  <c r="E17" i="9"/>
  <c r="Y60" i="50" l="1"/>
  <c r="AC60" i="50" s="1"/>
  <c r="Y125" i="50"/>
  <c r="Z125" i="50"/>
  <c r="G125" i="50" s="1"/>
  <c r="Y127" i="50"/>
  <c r="Z127" i="50"/>
  <c r="Y128" i="50"/>
  <c r="Z128" i="50"/>
  <c r="Y132" i="50"/>
  <c r="AC132" i="50" s="1"/>
  <c r="AV132" i="50" s="1"/>
  <c r="Z132" i="50"/>
  <c r="T103" i="50"/>
  <c r="T101" i="50"/>
  <c r="T106" i="50"/>
  <c r="AH125" i="50"/>
  <c r="AH53" i="50"/>
  <c r="AI53" i="50" s="1"/>
  <c r="Y53" i="50"/>
  <c r="AV53" i="50" s="1"/>
  <c r="BK47" i="50" s="1"/>
  <c r="T105" i="50"/>
  <c r="Z105" i="50" s="1"/>
  <c r="G105" i="50" s="1"/>
  <c r="T104" i="50"/>
  <c r="Y104" i="50" s="1"/>
  <c r="CG104" i="50" s="1"/>
  <c r="H1" i="26"/>
  <c r="K2" i="65"/>
  <c r="K2" i="38"/>
  <c r="J1" i="26"/>
  <c r="K2" i="63"/>
  <c r="I2" i="43"/>
  <c r="I2" i="65"/>
  <c r="K2" i="43"/>
  <c r="K2" i="50"/>
  <c r="I2" i="63"/>
  <c r="I2" i="50"/>
  <c r="BC127" i="50"/>
  <c r="AC127" i="50"/>
  <c r="CG127" i="50"/>
  <c r="AV125" i="50"/>
  <c r="BK119" i="50" s="1"/>
  <c r="M125" i="50"/>
  <c r="AM26" i="57"/>
  <c r="AM27" i="57" s="1"/>
  <c r="AA56" i="50"/>
  <c r="G56" i="50"/>
  <c r="V84" i="50"/>
  <c r="AG77" i="50"/>
  <c r="V80" i="50"/>
  <c r="V79" i="50" s="1"/>
  <c r="V81" i="50" s="1"/>
  <c r="AF77" i="50"/>
  <c r="T82" i="50"/>
  <c r="AK80" i="50"/>
  <c r="T84" i="50"/>
  <c r="Z84" i="50" s="1"/>
  <c r="T81" i="50"/>
  <c r="T79" i="50"/>
  <c r="Z79" i="50" s="1"/>
  <c r="T80" i="50"/>
  <c r="Z80" i="50" s="1"/>
  <c r="T77" i="50"/>
  <c r="Z77" i="50" s="1"/>
  <c r="G77" i="50" s="1"/>
  <c r="Y55" i="50"/>
  <c r="Y56" i="50"/>
  <c r="W57" i="50"/>
  <c r="Y57" i="50" s="1"/>
  <c r="V58" i="50"/>
  <c r="W58" i="50" s="1"/>
  <c r="Y58" i="50" s="1"/>
  <c r="AW60" i="50"/>
  <c r="AX60" i="50" s="1"/>
  <c r="AV60" i="50"/>
  <c r="AM28" i="57"/>
  <c r="AI125" i="50"/>
  <c r="AA55" i="50"/>
  <c r="G55" i="50"/>
  <c r="AC128" i="50"/>
  <c r="CG128" i="50"/>
  <c r="BC128" i="50"/>
  <c r="V130" i="50"/>
  <c r="W130" i="50" s="1"/>
  <c r="Y130" i="50" s="1"/>
  <c r="W129" i="50"/>
  <c r="Y129" i="50" s="1"/>
  <c r="Y108" i="50"/>
  <c r="AC108" i="50" s="1"/>
  <c r="AW108" i="50" s="1"/>
  <c r="AX108" i="50" s="1"/>
  <c r="Z108" i="50"/>
  <c r="AH101" i="50"/>
  <c r="AI101" i="50" s="1"/>
  <c r="Z104" i="50"/>
  <c r="Y103" i="50"/>
  <c r="CG103" i="50" s="1"/>
  <c r="Z103" i="50"/>
  <c r="Y101" i="50"/>
  <c r="AV101" i="50" s="1"/>
  <c r="BK95" i="50" s="1"/>
  <c r="R59" i="43" s="1"/>
  <c r="Z101" i="50"/>
  <c r="G101" i="50" s="1"/>
  <c r="V106" i="50"/>
  <c r="W106" i="50" s="1"/>
  <c r="Y106" i="50" s="1"/>
  <c r="W105" i="50"/>
  <c r="H654" i="50"/>
  <c r="M633" i="50"/>
  <c r="AL23" i="57"/>
  <c r="M586" i="50"/>
  <c r="M562" i="50"/>
  <c r="E66" i="57"/>
  <c r="H65" i="57"/>
  <c r="M490" i="50"/>
  <c r="M538" i="50"/>
  <c r="M537" i="50"/>
  <c r="M154" i="50"/>
  <c r="M346" i="50"/>
  <c r="AL24" i="57"/>
  <c r="G66" i="57"/>
  <c r="F66" i="57"/>
  <c r="M250" i="50"/>
  <c r="AN46" i="57"/>
  <c r="E67" i="57" s="1"/>
  <c r="AM29" i="57"/>
  <c r="AM33" i="57" s="1"/>
  <c r="T42" i="9"/>
  <c r="K2" i="62" s="1"/>
  <c r="I2" i="62"/>
  <c r="R88" i="65"/>
  <c r="U88" i="65" s="1"/>
  <c r="U87" i="65"/>
  <c r="W84" i="65"/>
  <c r="W85" i="65" s="1"/>
  <c r="E90" i="65"/>
  <c r="E89" i="65"/>
  <c r="D91" i="65"/>
  <c r="R89" i="65"/>
  <c r="D62" i="65"/>
  <c r="E60" i="65"/>
  <c r="E61" i="65"/>
  <c r="R60" i="65"/>
  <c r="W57" i="65"/>
  <c r="W58" i="65" s="1"/>
  <c r="BG394" i="50"/>
  <c r="M178" i="50"/>
  <c r="M226" i="50"/>
  <c r="M370" i="50"/>
  <c r="M418" i="50"/>
  <c r="M514" i="50"/>
  <c r="M298" i="50"/>
  <c r="BS623" i="50"/>
  <c r="AT632" i="50"/>
  <c r="AU632" i="50" s="1"/>
  <c r="BV623" i="50"/>
  <c r="AN631" i="50"/>
  <c r="AT631" i="50"/>
  <c r="AU631" i="50" s="1"/>
  <c r="M634" i="50"/>
  <c r="M610" i="50"/>
  <c r="BV599" i="50"/>
  <c r="AN607" i="50"/>
  <c r="AT607" i="50"/>
  <c r="AU607" i="50" s="1"/>
  <c r="BS599" i="50"/>
  <c r="AT608" i="50"/>
  <c r="AU608" i="50" s="1"/>
  <c r="BS575" i="50"/>
  <c r="AT584" i="50"/>
  <c r="AU584" i="50" s="1"/>
  <c r="BV575" i="50"/>
  <c r="AN583" i="50"/>
  <c r="AT583" i="50"/>
  <c r="AU583" i="50" s="1"/>
  <c r="BV551" i="50"/>
  <c r="AN559" i="50"/>
  <c r="AT559" i="50"/>
  <c r="AU559" i="50" s="1"/>
  <c r="BS551" i="50"/>
  <c r="AT560" i="50"/>
  <c r="AU560" i="50" s="1"/>
  <c r="BS527" i="50"/>
  <c r="AT536" i="50"/>
  <c r="AU536" i="50" s="1"/>
  <c r="BV527" i="50"/>
  <c r="AN535" i="50"/>
  <c r="AT535" i="50"/>
  <c r="AU535" i="50" s="1"/>
  <c r="BS503" i="50"/>
  <c r="AT512" i="50"/>
  <c r="AU512" i="50" s="1"/>
  <c r="BV503" i="50"/>
  <c r="AN511" i="50"/>
  <c r="AT511" i="50"/>
  <c r="AU511" i="50" s="1"/>
  <c r="BV479" i="50"/>
  <c r="AN487" i="50"/>
  <c r="AT487" i="50"/>
  <c r="AU487" i="50" s="1"/>
  <c r="BS479" i="50"/>
  <c r="AT488" i="50"/>
  <c r="AU488" i="50" s="1"/>
  <c r="BV455" i="50"/>
  <c r="AN463" i="50"/>
  <c r="AT463" i="50"/>
  <c r="AU463" i="50" s="1"/>
  <c r="BS455" i="50"/>
  <c r="AT464" i="50"/>
  <c r="AU464" i="50" s="1"/>
  <c r="M466" i="50"/>
  <c r="BV431" i="50"/>
  <c r="AN439" i="50"/>
  <c r="AT439" i="50"/>
  <c r="AU439" i="50" s="1"/>
  <c r="BS431" i="50"/>
  <c r="AT440" i="50"/>
  <c r="AU440" i="50" s="1"/>
  <c r="M442" i="50"/>
  <c r="BS407" i="50"/>
  <c r="AT416" i="50"/>
  <c r="AU416" i="50" s="1"/>
  <c r="BV407" i="50"/>
  <c r="AN415" i="50"/>
  <c r="AT415" i="50"/>
  <c r="AU415" i="50" s="1"/>
  <c r="K392" i="50"/>
  <c r="BA392" i="50"/>
  <c r="AZ392" i="50"/>
  <c r="AW392" i="50"/>
  <c r="AX392" i="50" s="1"/>
  <c r="K391" i="50"/>
  <c r="BA391" i="50"/>
  <c r="AZ391" i="50"/>
  <c r="AW391" i="50"/>
  <c r="AX391" i="50" s="1"/>
  <c r="M394" i="50"/>
  <c r="BB391" i="50"/>
  <c r="AN393" i="50"/>
  <c r="AO393" i="50" s="1"/>
  <c r="BG389" i="50" s="1"/>
  <c r="BV359" i="50"/>
  <c r="AN367" i="50"/>
  <c r="AT367" i="50"/>
  <c r="AU367" i="50" s="1"/>
  <c r="BS359" i="50"/>
  <c r="AT368" i="50"/>
  <c r="AU368" i="50" s="1"/>
  <c r="K344" i="50"/>
  <c r="BA344" i="50"/>
  <c r="AZ344" i="50"/>
  <c r="AW344" i="50"/>
  <c r="AX344" i="50" s="1"/>
  <c r="K343" i="50"/>
  <c r="BA343" i="50"/>
  <c r="AZ343" i="50"/>
  <c r="AW343" i="50"/>
  <c r="AX343" i="50" s="1"/>
  <c r="BB343" i="50"/>
  <c r="AN345" i="50"/>
  <c r="AO345" i="50" s="1"/>
  <c r="BG344" i="50" s="1"/>
  <c r="BG346" i="50"/>
  <c r="BS311" i="50"/>
  <c r="AT320" i="50"/>
  <c r="AU320" i="50" s="1"/>
  <c r="BV311" i="50"/>
  <c r="AN319" i="50"/>
  <c r="AT319" i="50"/>
  <c r="AU319" i="50" s="1"/>
  <c r="M322" i="50"/>
  <c r="BV287" i="50"/>
  <c r="AN295" i="50"/>
  <c r="AT295" i="50"/>
  <c r="AU295" i="50" s="1"/>
  <c r="BS287" i="50"/>
  <c r="AT296" i="50"/>
  <c r="AU296" i="50" s="1"/>
  <c r="BS263" i="50"/>
  <c r="AT272" i="50"/>
  <c r="AU272" i="50" s="1"/>
  <c r="K271" i="50"/>
  <c r="AZ271" i="50"/>
  <c r="BA271" i="50"/>
  <c r="AW271" i="50"/>
  <c r="AX271" i="50" s="1"/>
  <c r="M274" i="50"/>
  <c r="AN273" i="50"/>
  <c r="AO273" i="50" s="1"/>
  <c r="BB271" i="50"/>
  <c r="BG274" i="50"/>
  <c r="BG273" i="50"/>
  <c r="BS239" i="50"/>
  <c r="AT248" i="50"/>
  <c r="AU248" i="50" s="1"/>
  <c r="BV239" i="50"/>
  <c r="AN247" i="50"/>
  <c r="AT247" i="50"/>
  <c r="AU247" i="50" s="1"/>
  <c r="BS215" i="50"/>
  <c r="AT224" i="50"/>
  <c r="AU224" i="50" s="1"/>
  <c r="BV215" i="50"/>
  <c r="AN223" i="50"/>
  <c r="AT223" i="50"/>
  <c r="AU223" i="50" s="1"/>
  <c r="BS191" i="50"/>
  <c r="AT200" i="50"/>
  <c r="AU200" i="50" s="1"/>
  <c r="M202" i="50"/>
  <c r="BV191" i="50"/>
  <c r="AN199" i="50"/>
  <c r="AT199" i="50"/>
  <c r="AU199" i="50" s="1"/>
  <c r="BS167" i="50"/>
  <c r="AT176" i="50"/>
  <c r="AU176" i="50" s="1"/>
  <c r="BV167" i="50"/>
  <c r="AN175" i="50"/>
  <c r="AT175" i="50"/>
  <c r="AU175" i="50" s="1"/>
  <c r="BS143" i="50"/>
  <c r="AT152" i="50"/>
  <c r="AU152" i="50" s="1"/>
  <c r="BV143" i="50"/>
  <c r="AN151" i="50"/>
  <c r="AT151" i="50"/>
  <c r="AU151" i="50" s="1"/>
  <c r="A263" i="50"/>
  <c r="F21" i="60"/>
  <c r="F20" i="60"/>
  <c r="E19" i="9"/>
  <c r="AA128" i="50" l="1"/>
  <c r="G128" i="50"/>
  <c r="G127" i="50"/>
  <c r="AA127" i="50"/>
  <c r="AW132" i="50"/>
  <c r="AX132" i="50" s="1"/>
  <c r="Y105" i="50"/>
  <c r="AC105" i="50" s="1"/>
  <c r="M53" i="50"/>
  <c r="AV108" i="50"/>
  <c r="BA108" i="50" s="1"/>
  <c r="I53" i="50"/>
  <c r="AJ53" i="50"/>
  <c r="I101" i="50"/>
  <c r="AJ101" i="50"/>
  <c r="AT101" i="50" s="1"/>
  <c r="AH77" i="50"/>
  <c r="AI77" i="50" s="1"/>
  <c r="J57" i="43"/>
  <c r="J58" i="43"/>
  <c r="I31" i="62" s="1"/>
  <c r="J59" i="43"/>
  <c r="I32" i="62" s="1"/>
  <c r="CG57" i="50"/>
  <c r="AC57" i="50"/>
  <c r="BC57" i="50"/>
  <c r="AA79" i="50"/>
  <c r="G79" i="50"/>
  <c r="AF128" i="50"/>
  <c r="AH128" i="50" s="1"/>
  <c r="AR128" i="50"/>
  <c r="AG128" i="50"/>
  <c r="AS128" i="50"/>
  <c r="I125" i="50"/>
  <c r="AJ125" i="50"/>
  <c r="AC56" i="50"/>
  <c r="CG56" i="50"/>
  <c r="BC56" i="50"/>
  <c r="G80" i="50"/>
  <c r="AA80" i="50"/>
  <c r="Y80" i="50"/>
  <c r="BC58" i="50"/>
  <c r="AC58" i="50"/>
  <c r="CG58" i="50"/>
  <c r="V82" i="50"/>
  <c r="W82" i="50" s="1"/>
  <c r="Y82" i="50" s="1"/>
  <c r="W81" i="50"/>
  <c r="Y81" i="50" s="1"/>
  <c r="AL26" i="57"/>
  <c r="AL27" i="57" s="1"/>
  <c r="BP119" i="50"/>
  <c r="BA132" i="50"/>
  <c r="BC132" i="50"/>
  <c r="M132" i="50" s="1"/>
  <c r="AX136" i="50"/>
  <c r="M136" i="50" s="1"/>
  <c r="BC60" i="50"/>
  <c r="M60" i="50" s="1"/>
  <c r="BP47" i="50"/>
  <c r="O13" i="60" s="1"/>
  <c r="AX64" i="50"/>
  <c r="M64" i="50" s="1"/>
  <c r="BA60" i="50"/>
  <c r="Y77" i="50"/>
  <c r="R60" i="43"/>
  <c r="T60" i="43" s="1"/>
  <c r="L33" i="62" s="1"/>
  <c r="J16" i="60"/>
  <c r="R57" i="43"/>
  <c r="J13" i="60"/>
  <c r="AC129" i="50"/>
  <c r="BC129" i="50"/>
  <c r="CG129" i="50"/>
  <c r="CG55" i="50"/>
  <c r="BC55" i="50"/>
  <c r="AC55" i="50"/>
  <c r="Y84" i="50"/>
  <c r="AC84" i="50" s="1"/>
  <c r="CG130" i="50"/>
  <c r="BC130" i="50"/>
  <c r="AC130" i="50"/>
  <c r="Y79" i="50"/>
  <c r="AS127" i="50"/>
  <c r="AR127" i="50"/>
  <c r="AF127" i="50"/>
  <c r="AG127" i="50"/>
  <c r="AC104" i="50"/>
  <c r="AF104" i="50" s="1"/>
  <c r="BC104" i="50"/>
  <c r="M101" i="50"/>
  <c r="AC103" i="50"/>
  <c r="AR103" i="50" s="1"/>
  <c r="BC103" i="50"/>
  <c r="AA103" i="50"/>
  <c r="G103" i="50"/>
  <c r="G104" i="50"/>
  <c r="AA104" i="50"/>
  <c r="H655" i="50"/>
  <c r="J15" i="60"/>
  <c r="BC106" i="50"/>
  <c r="AC106" i="50"/>
  <c r="CG106" i="50"/>
  <c r="I65" i="57"/>
  <c r="AN47" i="57"/>
  <c r="F67" i="57" s="1"/>
  <c r="AL28" i="57"/>
  <c r="AM34" i="57"/>
  <c r="AL30" i="57"/>
  <c r="AL31" i="57" s="1"/>
  <c r="AL32" i="57" s="1"/>
  <c r="AL41" i="57" s="1"/>
  <c r="R61" i="65"/>
  <c r="W59" i="65"/>
  <c r="W60" i="65" s="1"/>
  <c r="U89" i="65"/>
  <c r="R90" i="65"/>
  <c r="U90" i="65" s="1"/>
  <c r="W86" i="65"/>
  <c r="W87" i="65" s="1"/>
  <c r="E92" i="65"/>
  <c r="D93" i="65"/>
  <c r="E91" i="65"/>
  <c r="R91" i="65"/>
  <c r="BG392" i="50"/>
  <c r="E62" i="65"/>
  <c r="R62" i="65"/>
  <c r="R63" i="65" s="1"/>
  <c r="E63" i="65"/>
  <c r="D64" i="65"/>
  <c r="BG341" i="50"/>
  <c r="BB344" i="50"/>
  <c r="M344" i="50" s="1"/>
  <c r="BG343" i="50"/>
  <c r="BB392" i="50"/>
  <c r="M392" i="50" s="1"/>
  <c r="BG391" i="50"/>
  <c r="AN633" i="50"/>
  <c r="AO633" i="50" s="1"/>
  <c r="BB631" i="50"/>
  <c r="BG634" i="50"/>
  <c r="BG633" i="50"/>
  <c r="K632" i="50"/>
  <c r="BA632" i="50"/>
  <c r="AZ632" i="50"/>
  <c r="AW632" i="50"/>
  <c r="AX632" i="50" s="1"/>
  <c r="K631" i="50"/>
  <c r="BA631" i="50"/>
  <c r="AZ631" i="50"/>
  <c r="AW631" i="50"/>
  <c r="AX631" i="50" s="1"/>
  <c r="K607" i="50"/>
  <c r="BA607" i="50"/>
  <c r="AZ607" i="50"/>
  <c r="AW607" i="50"/>
  <c r="AX607" i="50" s="1"/>
  <c r="K608" i="50"/>
  <c r="BA608" i="50"/>
  <c r="AZ608" i="50"/>
  <c r="AW608" i="50"/>
  <c r="AX608" i="50" s="1"/>
  <c r="AN609" i="50"/>
  <c r="AO609" i="50" s="1"/>
  <c r="BB607" i="50"/>
  <c r="BG610" i="50"/>
  <c r="BG609" i="50"/>
  <c r="AN585" i="50"/>
  <c r="AO585" i="50" s="1"/>
  <c r="BB583" i="50"/>
  <c r="BG586" i="50"/>
  <c r="BG585" i="50"/>
  <c r="K584" i="50"/>
  <c r="AZ584" i="50"/>
  <c r="BA584" i="50"/>
  <c r="AW584" i="50"/>
  <c r="AX584" i="50" s="1"/>
  <c r="K583" i="50"/>
  <c r="BA583" i="50"/>
  <c r="AZ583" i="50"/>
  <c r="AW583" i="50"/>
  <c r="AX583" i="50" s="1"/>
  <c r="AN561" i="50"/>
  <c r="AO561" i="50" s="1"/>
  <c r="BB559" i="50"/>
  <c r="BG561" i="50"/>
  <c r="BG562" i="50"/>
  <c r="K559" i="50"/>
  <c r="AZ559" i="50"/>
  <c r="BA559" i="50"/>
  <c r="AW559" i="50"/>
  <c r="AX559" i="50" s="1"/>
  <c r="K560" i="50"/>
  <c r="BA560" i="50"/>
  <c r="AZ560" i="50"/>
  <c r="AW560" i="50"/>
  <c r="AX560" i="50" s="1"/>
  <c r="AN537" i="50"/>
  <c r="AO537" i="50" s="1"/>
  <c r="BB535" i="50"/>
  <c r="BG538" i="50"/>
  <c r="BG537" i="50"/>
  <c r="K535" i="50"/>
  <c r="BA535" i="50"/>
  <c r="AZ535" i="50"/>
  <c r="AW535" i="50"/>
  <c r="AX535" i="50" s="1"/>
  <c r="K536" i="50"/>
  <c r="AZ536" i="50"/>
  <c r="BA536" i="50"/>
  <c r="AW536" i="50"/>
  <c r="AX536" i="50" s="1"/>
  <c r="BB511" i="50"/>
  <c r="AN513" i="50"/>
  <c r="AO513" i="50" s="1"/>
  <c r="BG514" i="50"/>
  <c r="BG513" i="50"/>
  <c r="K512" i="50"/>
  <c r="BA512" i="50"/>
  <c r="AZ512" i="50"/>
  <c r="AW512" i="50"/>
  <c r="AX512" i="50" s="1"/>
  <c r="K511" i="50"/>
  <c r="BA511" i="50"/>
  <c r="AZ511" i="50"/>
  <c r="AW511" i="50"/>
  <c r="AX511" i="50" s="1"/>
  <c r="K487" i="50"/>
  <c r="BA487" i="50"/>
  <c r="AZ487" i="50"/>
  <c r="AW487" i="50"/>
  <c r="AX487" i="50" s="1"/>
  <c r="AN489" i="50"/>
  <c r="AO489" i="50" s="1"/>
  <c r="BB487" i="50"/>
  <c r="BG489" i="50"/>
  <c r="BG490" i="50"/>
  <c r="K488" i="50"/>
  <c r="AZ488" i="50"/>
  <c r="BA488" i="50"/>
  <c r="AW488" i="50"/>
  <c r="AX488" i="50" s="1"/>
  <c r="K463" i="50"/>
  <c r="AZ463" i="50"/>
  <c r="BA463" i="50"/>
  <c r="AW463" i="50"/>
  <c r="AX463" i="50" s="1"/>
  <c r="BB463" i="50"/>
  <c r="AN465" i="50"/>
  <c r="AO465" i="50" s="1"/>
  <c r="BG465" i="50"/>
  <c r="BG466" i="50"/>
  <c r="K464" i="50"/>
  <c r="AZ464" i="50"/>
  <c r="BA464" i="50"/>
  <c r="AW464" i="50"/>
  <c r="AX464" i="50" s="1"/>
  <c r="K439" i="50"/>
  <c r="AZ439" i="50"/>
  <c r="BA439" i="50"/>
  <c r="AW439" i="50"/>
  <c r="AX439" i="50" s="1"/>
  <c r="AN441" i="50"/>
  <c r="AO441" i="50" s="1"/>
  <c r="BB439" i="50"/>
  <c r="BG441" i="50"/>
  <c r="BG442" i="50"/>
  <c r="K440" i="50"/>
  <c r="AZ440" i="50"/>
  <c r="BA440" i="50"/>
  <c r="AW440" i="50"/>
  <c r="AX440" i="50" s="1"/>
  <c r="AN417" i="50"/>
  <c r="AO417" i="50" s="1"/>
  <c r="BB415" i="50"/>
  <c r="BG418" i="50"/>
  <c r="BG417" i="50"/>
  <c r="K416" i="50"/>
  <c r="BA416" i="50"/>
  <c r="AZ416" i="50"/>
  <c r="AW416" i="50"/>
  <c r="AX416" i="50" s="1"/>
  <c r="K415" i="50"/>
  <c r="BA415" i="50"/>
  <c r="AZ415" i="50"/>
  <c r="AW415" i="50"/>
  <c r="AX415" i="50" s="1"/>
  <c r="M391" i="50"/>
  <c r="K367" i="50"/>
  <c r="AZ367" i="50"/>
  <c r="BA367" i="50"/>
  <c r="AW367" i="50"/>
  <c r="AX367" i="50" s="1"/>
  <c r="BB367" i="50"/>
  <c r="AN369" i="50"/>
  <c r="AO369" i="50" s="1"/>
  <c r="BG369" i="50"/>
  <c r="BG370" i="50"/>
  <c r="K368" i="50"/>
  <c r="AZ368" i="50"/>
  <c r="BA368" i="50"/>
  <c r="AW368" i="50"/>
  <c r="AX368" i="50" s="1"/>
  <c r="M343" i="50"/>
  <c r="BB319" i="50"/>
  <c r="AN321" i="50"/>
  <c r="AO321" i="50" s="1"/>
  <c r="BG322" i="50"/>
  <c r="BG321" i="50"/>
  <c r="K320" i="50"/>
  <c r="BA320" i="50"/>
  <c r="AZ320" i="50"/>
  <c r="AW320" i="50"/>
  <c r="AX320" i="50" s="1"/>
  <c r="K319" i="50"/>
  <c r="BA319" i="50"/>
  <c r="AZ319" i="50"/>
  <c r="AW319" i="50"/>
  <c r="AX319" i="50" s="1"/>
  <c r="K295" i="50"/>
  <c r="BA295" i="50"/>
  <c r="AZ295" i="50"/>
  <c r="AW295" i="50"/>
  <c r="AX295" i="50" s="1"/>
  <c r="AN297" i="50"/>
  <c r="AO297" i="50" s="1"/>
  <c r="BB295" i="50"/>
  <c r="BG298" i="50"/>
  <c r="BG297" i="50"/>
  <c r="K296" i="50"/>
  <c r="BA296" i="50"/>
  <c r="AZ296" i="50"/>
  <c r="AW296" i="50"/>
  <c r="AX296" i="50" s="1"/>
  <c r="BB272" i="50"/>
  <c r="BG272" i="50"/>
  <c r="BG271" i="50"/>
  <c r="BG269" i="50"/>
  <c r="M271" i="50"/>
  <c r="K272" i="50"/>
  <c r="AZ272" i="50"/>
  <c r="BA272" i="50"/>
  <c r="AW272" i="50"/>
  <c r="AX272" i="50" s="1"/>
  <c r="AN249" i="50"/>
  <c r="AO249" i="50" s="1"/>
  <c r="BB247" i="50"/>
  <c r="BG250" i="50"/>
  <c r="BG249" i="50"/>
  <c r="K248" i="50"/>
  <c r="BA248" i="50"/>
  <c r="AZ248" i="50"/>
  <c r="AW248" i="50"/>
  <c r="AX248" i="50" s="1"/>
  <c r="K247" i="50"/>
  <c r="BA247" i="50"/>
  <c r="AZ247" i="50"/>
  <c r="AW247" i="50"/>
  <c r="AX247" i="50" s="1"/>
  <c r="AN225" i="50"/>
  <c r="AO225" i="50" s="1"/>
  <c r="BB223" i="50"/>
  <c r="BG225" i="50"/>
  <c r="BG226" i="50"/>
  <c r="K224" i="50"/>
  <c r="AZ224" i="50"/>
  <c r="BA224" i="50"/>
  <c r="AW224" i="50"/>
  <c r="AX224" i="50" s="1"/>
  <c r="K223" i="50"/>
  <c r="BA223" i="50"/>
  <c r="AZ223" i="50"/>
  <c r="AW223" i="50"/>
  <c r="AX223" i="50" s="1"/>
  <c r="K199" i="50"/>
  <c r="BA199" i="50"/>
  <c r="AZ199" i="50"/>
  <c r="AW199" i="50"/>
  <c r="AX199" i="50" s="1"/>
  <c r="K200" i="50"/>
  <c r="BA200" i="50"/>
  <c r="AZ200" i="50"/>
  <c r="AW200" i="50"/>
  <c r="AX200" i="50" s="1"/>
  <c r="AN201" i="50"/>
  <c r="AO201" i="50" s="1"/>
  <c r="BB199" i="50"/>
  <c r="BG202" i="50"/>
  <c r="BG201" i="50"/>
  <c r="BB175" i="50"/>
  <c r="AN177" i="50"/>
  <c r="AO177" i="50" s="1"/>
  <c r="BG178" i="50"/>
  <c r="BG177" i="50"/>
  <c r="K176" i="50"/>
  <c r="AZ176" i="50"/>
  <c r="BA176" i="50"/>
  <c r="AW176" i="50"/>
  <c r="AX176" i="50" s="1"/>
  <c r="K175" i="50"/>
  <c r="AZ175" i="50"/>
  <c r="BA175" i="50"/>
  <c r="AW175" i="50"/>
  <c r="AX175" i="50" s="1"/>
  <c r="BB151" i="50"/>
  <c r="AN153" i="50"/>
  <c r="AO153" i="50" s="1"/>
  <c r="BG154" i="50"/>
  <c r="BG153" i="50"/>
  <c r="K152" i="50"/>
  <c r="BA152" i="50"/>
  <c r="AZ152" i="50"/>
  <c r="AW152" i="50"/>
  <c r="AX152" i="50" s="1"/>
  <c r="K151" i="50"/>
  <c r="AZ151" i="50"/>
  <c r="BA151" i="50"/>
  <c r="AW151" i="50"/>
  <c r="AX151" i="50" s="1"/>
  <c r="A287" i="50"/>
  <c r="K20" i="60"/>
  <c r="T20" i="60"/>
  <c r="AB20" i="60"/>
  <c r="U20" i="60"/>
  <c r="Z20" i="60"/>
  <c r="N20" i="60"/>
  <c r="W20" i="60"/>
  <c r="AL20" i="60"/>
  <c r="R20" i="60"/>
  <c r="AE20" i="60"/>
  <c r="H20" i="60"/>
  <c r="P20" i="60"/>
  <c r="AJ20" i="60"/>
  <c r="M20" i="60"/>
  <c r="J20" i="60"/>
  <c r="G20" i="60"/>
  <c r="O20" i="60"/>
  <c r="AG20" i="60"/>
  <c r="L20" i="60"/>
  <c r="AD20" i="60"/>
  <c r="S20" i="60"/>
  <c r="V20" i="60"/>
  <c r="AC20" i="60"/>
  <c r="Q20" i="60"/>
  <c r="AK20" i="60"/>
  <c r="AA20" i="60"/>
  <c r="AF20" i="60"/>
  <c r="I20" i="60"/>
  <c r="Y20" i="60"/>
  <c r="D20" i="60"/>
  <c r="E20" i="60"/>
  <c r="X20" i="60"/>
  <c r="K21" i="60"/>
  <c r="E21" i="60"/>
  <c r="AL21" i="60"/>
  <c r="J21" i="60"/>
  <c r="D21" i="60"/>
  <c r="AG21" i="60"/>
  <c r="R21" i="60"/>
  <c r="W21" i="60"/>
  <c r="L21" i="60"/>
  <c r="AC21" i="60"/>
  <c r="I21" i="60"/>
  <c r="T21" i="60"/>
  <c r="O21" i="60"/>
  <c r="N21" i="60"/>
  <c r="U21" i="60"/>
  <c r="S21" i="60"/>
  <c r="Q21" i="60"/>
  <c r="P21" i="60"/>
  <c r="AA21" i="60"/>
  <c r="AJ21" i="60"/>
  <c r="M21" i="60"/>
  <c r="AK21" i="60"/>
  <c r="AE21" i="60"/>
  <c r="AB21" i="60"/>
  <c r="V21" i="60"/>
  <c r="H21" i="60"/>
  <c r="Z21" i="60"/>
  <c r="AD21" i="60"/>
  <c r="Y21" i="60"/>
  <c r="G21" i="60"/>
  <c r="AF21" i="60"/>
  <c r="X21" i="60"/>
  <c r="G5" i="50"/>
  <c r="CG105" i="50" l="1"/>
  <c r="AX112" i="50"/>
  <c r="M112" i="50" s="1"/>
  <c r="AH127" i="50"/>
  <c r="AI127" i="50"/>
  <c r="AJ127" i="50" s="1"/>
  <c r="BP95" i="50"/>
  <c r="O15" i="60" s="1"/>
  <c r="BC105" i="50"/>
  <c r="BC108" i="50"/>
  <c r="M108" i="50" s="1"/>
  <c r="AN53" i="50"/>
  <c r="BM47" i="50"/>
  <c r="L13" i="60" s="1"/>
  <c r="AT53" i="50"/>
  <c r="I77" i="50"/>
  <c r="AJ77" i="50"/>
  <c r="AT77" i="50" s="1"/>
  <c r="AN101" i="50"/>
  <c r="BM95" i="50"/>
  <c r="L15" i="60" s="1"/>
  <c r="AG104" i="50"/>
  <c r="AR104" i="50"/>
  <c r="AS104" i="50"/>
  <c r="AN48" i="57"/>
  <c r="G67" i="57" s="1"/>
  <c r="AC82" i="50"/>
  <c r="BC82" i="50"/>
  <c r="CG82" i="50"/>
  <c r="I130" i="50"/>
  <c r="AS130" i="50"/>
  <c r="AU130" i="50" s="1"/>
  <c r="AS57" i="50"/>
  <c r="AU57" i="50" s="1"/>
  <c r="K57" i="50" s="1"/>
  <c r="I57" i="50"/>
  <c r="AV77" i="50"/>
  <c r="BK71" i="50" s="1"/>
  <c r="M77" i="50"/>
  <c r="AS58" i="50"/>
  <c r="AU58" i="50" s="1"/>
  <c r="I58" i="50"/>
  <c r="BL119" i="50"/>
  <c r="O16" i="60"/>
  <c r="AS56" i="50"/>
  <c r="AR56" i="50"/>
  <c r="AF56" i="50"/>
  <c r="AH56" i="50" s="1"/>
  <c r="AG56" i="50"/>
  <c r="AS129" i="50"/>
  <c r="AU129" i="50" s="1"/>
  <c r="I129" i="50"/>
  <c r="AC80" i="50"/>
  <c r="BC80" i="50"/>
  <c r="CG80" i="50"/>
  <c r="BM119" i="50"/>
  <c r="AN125" i="50"/>
  <c r="AT125" i="50"/>
  <c r="AM35" i="57"/>
  <c r="AM36" i="57" s="1"/>
  <c r="AM37" i="57" s="1"/>
  <c r="BL47" i="50"/>
  <c r="K57" i="43" s="1"/>
  <c r="AW84" i="50"/>
  <c r="AX84" i="50" s="1"/>
  <c r="AV84" i="50"/>
  <c r="H656" i="50"/>
  <c r="AC79" i="50"/>
  <c r="BC79" i="50"/>
  <c r="CG79" i="50"/>
  <c r="AG55" i="50"/>
  <c r="AF55" i="50"/>
  <c r="AH55" i="50" s="1"/>
  <c r="AR55" i="50"/>
  <c r="AS55" i="50"/>
  <c r="AC81" i="50"/>
  <c r="BC81" i="50"/>
  <c r="CG81" i="50"/>
  <c r="AL33" i="57"/>
  <c r="AL34" i="57" s="1"/>
  <c r="AS103" i="50"/>
  <c r="AG103" i="50"/>
  <c r="AF103" i="50"/>
  <c r="AH103" i="50" s="1"/>
  <c r="AI103" i="50" s="1"/>
  <c r="I103" i="50" s="1"/>
  <c r="AH104" i="50"/>
  <c r="I106" i="50"/>
  <c r="AS106" i="50"/>
  <c r="AU106" i="50" s="1"/>
  <c r="AS105" i="50"/>
  <c r="AU105" i="50" s="1"/>
  <c r="I105" i="50"/>
  <c r="I30" i="62"/>
  <c r="M151" i="50"/>
  <c r="M175" i="50"/>
  <c r="M319" i="50"/>
  <c r="M511" i="50"/>
  <c r="AL42" i="57"/>
  <c r="AL43" i="57" s="1"/>
  <c r="AL53" i="57" s="1"/>
  <c r="K65" i="57"/>
  <c r="J65" i="57"/>
  <c r="M247" i="50"/>
  <c r="M223" i="50"/>
  <c r="M65" i="57"/>
  <c r="N65" i="57"/>
  <c r="AN49" i="57"/>
  <c r="AN50" i="57" s="1"/>
  <c r="O65" i="57"/>
  <c r="L65" i="57"/>
  <c r="W88" i="65"/>
  <c r="W89" i="65" s="1"/>
  <c r="R92" i="65"/>
  <c r="U92" i="65" s="1"/>
  <c r="U91" i="65"/>
  <c r="E64" i="65"/>
  <c r="D66" i="65"/>
  <c r="E65" i="65"/>
  <c r="R64" i="65"/>
  <c r="R65" i="65" s="1"/>
  <c r="M272" i="50"/>
  <c r="E93" i="65"/>
  <c r="R93" i="65"/>
  <c r="E94" i="65"/>
  <c r="D95" i="65"/>
  <c r="W61" i="65"/>
  <c r="W62" i="65" s="1"/>
  <c r="M415" i="50"/>
  <c r="M535" i="50"/>
  <c r="M559" i="50"/>
  <c r="M583" i="50"/>
  <c r="M607" i="50"/>
  <c r="M631" i="50"/>
  <c r="BB632" i="50"/>
  <c r="M632" i="50" s="1"/>
  <c r="BG632" i="50"/>
  <c r="BG631" i="50"/>
  <c r="BG629" i="50"/>
  <c r="BG605" i="50"/>
  <c r="BB608" i="50"/>
  <c r="M608" i="50" s="1"/>
  <c r="BG607" i="50"/>
  <c r="BG608" i="50"/>
  <c r="BG584" i="50"/>
  <c r="BG581" i="50"/>
  <c r="BG583" i="50"/>
  <c r="BB584" i="50"/>
  <c r="M584" i="50" s="1"/>
  <c r="BG560" i="50"/>
  <c r="BG559" i="50"/>
  <c r="BG557" i="50"/>
  <c r="BB560" i="50"/>
  <c r="M560" i="50" s="1"/>
  <c r="BG535" i="50"/>
  <c r="BG533" i="50"/>
  <c r="BG536" i="50"/>
  <c r="BB536" i="50"/>
  <c r="M536" i="50" s="1"/>
  <c r="BB512" i="50"/>
  <c r="M512" i="50" s="1"/>
  <c r="BG509" i="50"/>
  <c r="BG512" i="50"/>
  <c r="BG511" i="50"/>
  <c r="BG488" i="50"/>
  <c r="BB488" i="50"/>
  <c r="M488" i="50" s="1"/>
  <c r="BG487" i="50"/>
  <c r="BG485" i="50"/>
  <c r="M487" i="50"/>
  <c r="BG464" i="50"/>
  <c r="BB464" i="50"/>
  <c r="M464" i="50" s="1"/>
  <c r="BG463" i="50"/>
  <c r="BG461" i="50"/>
  <c r="M463" i="50"/>
  <c r="BB440" i="50"/>
  <c r="M440" i="50" s="1"/>
  <c r="BG440" i="50"/>
  <c r="BG439" i="50"/>
  <c r="BG437" i="50"/>
  <c r="M439" i="50"/>
  <c r="BG413" i="50"/>
  <c r="BB416" i="50"/>
  <c r="M416" i="50" s="1"/>
  <c r="BG416" i="50"/>
  <c r="BG415" i="50"/>
  <c r="BG368" i="50"/>
  <c r="BG367" i="50"/>
  <c r="BG365" i="50"/>
  <c r="BB368" i="50"/>
  <c r="M368" i="50" s="1"/>
  <c r="M367" i="50"/>
  <c r="BB320" i="50"/>
  <c r="M320" i="50" s="1"/>
  <c r="BG319" i="50"/>
  <c r="BG317" i="50"/>
  <c r="BG320" i="50"/>
  <c r="BB296" i="50"/>
  <c r="M296" i="50" s="1"/>
  <c r="BG296" i="50"/>
  <c r="BG295" i="50"/>
  <c r="BG293" i="50"/>
  <c r="M295" i="50"/>
  <c r="BG245" i="50"/>
  <c r="BB248" i="50"/>
  <c r="M248" i="50" s="1"/>
  <c r="BG248" i="50"/>
  <c r="BG247" i="50"/>
  <c r="BG224" i="50"/>
  <c r="BG223" i="50"/>
  <c r="BG221" i="50"/>
  <c r="BB224" i="50"/>
  <c r="M224" i="50" s="1"/>
  <c r="BB200" i="50"/>
  <c r="M200" i="50" s="1"/>
  <c r="BG199" i="50"/>
  <c r="BG200" i="50"/>
  <c r="BG197" i="50"/>
  <c r="M199" i="50"/>
  <c r="BB176" i="50"/>
  <c r="M176" i="50" s="1"/>
  <c r="BG175" i="50"/>
  <c r="BG173" i="50"/>
  <c r="BG176" i="50"/>
  <c r="BG152" i="50"/>
  <c r="BB152" i="50"/>
  <c r="M152" i="50" s="1"/>
  <c r="BG151" i="50"/>
  <c r="BG149" i="50"/>
  <c r="I5" i="50"/>
  <c r="A311" i="50"/>
  <c r="F22" i="60"/>
  <c r="I127" i="50" l="1"/>
  <c r="BL95" i="50"/>
  <c r="AN77" i="50"/>
  <c r="BM71" i="50"/>
  <c r="L14" i="60" s="1"/>
  <c r="K15" i="60"/>
  <c r="K59" i="43"/>
  <c r="J14" i="60"/>
  <c r="R58" i="43"/>
  <c r="H657" i="50"/>
  <c r="J66" i="57"/>
  <c r="I81" i="50"/>
  <c r="AS81" i="50"/>
  <c r="AU81" i="50" s="1"/>
  <c r="AR79" i="50"/>
  <c r="AF79" i="50"/>
  <c r="AH79" i="50" s="1"/>
  <c r="AS79" i="50"/>
  <c r="AG79" i="50"/>
  <c r="AS80" i="50"/>
  <c r="AR80" i="50"/>
  <c r="AF80" i="50"/>
  <c r="AH80" i="50" s="1"/>
  <c r="AG80" i="50"/>
  <c r="AI55" i="50"/>
  <c r="AW129" i="50"/>
  <c r="AX129" i="50" s="1"/>
  <c r="K129" i="50"/>
  <c r="AV129" i="50" s="1"/>
  <c r="BA129" i="50" s="1"/>
  <c r="AZ129" i="50"/>
  <c r="AV57" i="50"/>
  <c r="BA57" i="50" s="1"/>
  <c r="AZ57" i="50"/>
  <c r="AW57" i="50"/>
  <c r="AX57" i="50" s="1"/>
  <c r="I82" i="50"/>
  <c r="AS82" i="50"/>
  <c r="AU82" i="50" s="1"/>
  <c r="I66" i="57"/>
  <c r="K16" i="60"/>
  <c r="BP71" i="50"/>
  <c r="AX88" i="50"/>
  <c r="M88" i="50" s="1"/>
  <c r="BC84" i="50"/>
  <c r="M84" i="50" s="1"/>
  <c r="BA84" i="50"/>
  <c r="H66" i="57"/>
  <c r="AW130" i="50"/>
  <c r="AX130" i="50" s="1"/>
  <c r="K130" i="50"/>
  <c r="AZ130" i="50"/>
  <c r="L16" i="60"/>
  <c r="AW58" i="50"/>
  <c r="AX58" i="50" s="1"/>
  <c r="AZ58" i="50"/>
  <c r="K58" i="50"/>
  <c r="AV58" i="50" s="1"/>
  <c r="W65" i="57"/>
  <c r="BV119" i="50"/>
  <c r="U16" i="60" s="1"/>
  <c r="AN127" i="50"/>
  <c r="AT127" i="50"/>
  <c r="AU127" i="50" s="1"/>
  <c r="K13" i="60"/>
  <c r="H67" i="57"/>
  <c r="AJ103" i="50"/>
  <c r="BV95" i="50" s="1"/>
  <c r="U15" i="60" s="1"/>
  <c r="AW105" i="50"/>
  <c r="AX105" i="50" s="1"/>
  <c r="AZ105" i="50"/>
  <c r="K105" i="50"/>
  <c r="AV105" i="50" s="1"/>
  <c r="BA105" i="50" s="1"/>
  <c r="AW106" i="50"/>
  <c r="AX106" i="50" s="1"/>
  <c r="K106" i="50"/>
  <c r="AV106" i="50" s="1"/>
  <c r="BZ95" i="50" s="1"/>
  <c r="Y15" i="60" s="1"/>
  <c r="AZ106" i="50"/>
  <c r="Z65" i="57"/>
  <c r="AD65" i="57"/>
  <c r="Q65" i="57"/>
  <c r="S65" i="57"/>
  <c r="V65" i="57"/>
  <c r="AF65" i="57"/>
  <c r="AA65" i="57"/>
  <c r="AE65" i="57"/>
  <c r="T65" i="57"/>
  <c r="AC65" i="57"/>
  <c r="AH65" i="57"/>
  <c r="AG65" i="57"/>
  <c r="U65" i="57"/>
  <c r="AB65" i="57"/>
  <c r="X65" i="57"/>
  <c r="R65" i="57"/>
  <c r="Y65" i="57"/>
  <c r="P65" i="57"/>
  <c r="W63" i="65"/>
  <c r="W64" i="65" s="1"/>
  <c r="AM38" i="57"/>
  <c r="I67" i="57"/>
  <c r="AN51" i="57"/>
  <c r="J67" i="57" s="1"/>
  <c r="U93" i="65"/>
  <c r="R94" i="65"/>
  <c r="U94" i="65" s="1"/>
  <c r="W90" i="65"/>
  <c r="W91" i="65" s="1"/>
  <c r="E95" i="65"/>
  <c r="D97" i="65"/>
  <c r="E96" i="65"/>
  <c r="R95" i="65"/>
  <c r="E66" i="65"/>
  <c r="R66" i="65"/>
  <c r="R67" i="65" s="1"/>
  <c r="E67" i="65"/>
  <c r="D68" i="65"/>
  <c r="A335" i="50"/>
  <c r="K22" i="60"/>
  <c r="L22" i="60"/>
  <c r="AC22" i="60"/>
  <c r="AE22" i="60"/>
  <c r="AK22" i="60"/>
  <c r="AB22" i="60"/>
  <c r="Z22" i="60"/>
  <c r="X22" i="60"/>
  <c r="E22" i="60"/>
  <c r="I22" i="60"/>
  <c r="AA22" i="60"/>
  <c r="D22" i="60"/>
  <c r="R22" i="60"/>
  <c r="AG22" i="60"/>
  <c r="AL22" i="60"/>
  <c r="Q22" i="60"/>
  <c r="J22" i="60"/>
  <c r="H22" i="60"/>
  <c r="G22" i="60"/>
  <c r="M22" i="60"/>
  <c r="AF22" i="60"/>
  <c r="Y22" i="60"/>
  <c r="N22" i="60"/>
  <c r="O22" i="60"/>
  <c r="V22" i="60"/>
  <c r="S22" i="60"/>
  <c r="W22" i="60"/>
  <c r="AD22" i="60"/>
  <c r="P22" i="60"/>
  <c r="U22" i="60"/>
  <c r="AJ22" i="60"/>
  <c r="T22" i="60"/>
  <c r="F23" i="60"/>
  <c r="K5" i="50"/>
  <c r="M5" i="50"/>
  <c r="C65" i="57"/>
  <c r="I55" i="50" l="1"/>
  <c r="AJ55" i="50"/>
  <c r="Y74" i="38"/>
  <c r="Y73" i="38"/>
  <c r="H658" i="50"/>
  <c r="H659" i="50" s="1"/>
  <c r="I658" i="50" s="1"/>
  <c r="AW127" i="50"/>
  <c r="AX127" i="50" s="1"/>
  <c r="AZ127" i="50"/>
  <c r="K127" i="50"/>
  <c r="I33" i="62"/>
  <c r="K16" i="62"/>
  <c r="K17" i="62"/>
  <c r="L15" i="62"/>
  <c r="L19" i="62"/>
  <c r="K15" i="62"/>
  <c r="K18" i="62"/>
  <c r="L18" i="62"/>
  <c r="L16" i="62"/>
  <c r="K19" i="62"/>
  <c r="L17" i="62"/>
  <c r="BX47" i="50"/>
  <c r="W13" i="60" s="1"/>
  <c r="BD57" i="50"/>
  <c r="M57" i="50" s="1"/>
  <c r="BD58" i="50"/>
  <c r="M58" i="50" s="1"/>
  <c r="AW81" i="50"/>
  <c r="AX81" i="50" s="1"/>
  <c r="AZ81" i="50"/>
  <c r="K81" i="50"/>
  <c r="AV81" i="50" s="1"/>
  <c r="BA81" i="50" s="1"/>
  <c r="AV130" i="50"/>
  <c r="BD130" i="50" s="1"/>
  <c r="M130" i="50" s="1"/>
  <c r="BZ47" i="50"/>
  <c r="Y13" i="60" s="1"/>
  <c r="BA58" i="50"/>
  <c r="AW82" i="50"/>
  <c r="AX82" i="50" s="1"/>
  <c r="K82" i="50"/>
  <c r="AV82" i="50" s="1"/>
  <c r="AZ82" i="50"/>
  <c r="BX119" i="50"/>
  <c r="W16" i="60" s="1"/>
  <c r="BB127" i="50"/>
  <c r="AI128" i="50"/>
  <c r="BL71" i="50"/>
  <c r="O14" i="60"/>
  <c r="AI79" i="50"/>
  <c r="AN103" i="50"/>
  <c r="AT103" i="50"/>
  <c r="AU103" i="50" s="1"/>
  <c r="AW103" i="50" s="1"/>
  <c r="AX103" i="50" s="1"/>
  <c r="BA106" i="50"/>
  <c r="BD106" i="50"/>
  <c r="M106" i="50" s="1"/>
  <c r="BD105" i="50"/>
  <c r="M105" i="50" s="1"/>
  <c r="BX95" i="50"/>
  <c r="W15" i="60" s="1"/>
  <c r="AM39" i="57"/>
  <c r="K66" i="57" s="1"/>
  <c r="W92" i="65"/>
  <c r="W93" i="65" s="1"/>
  <c r="AN52" i="57"/>
  <c r="AF67" i="57" s="1"/>
  <c r="U95" i="65"/>
  <c r="R96" i="65"/>
  <c r="U96" i="65" s="1"/>
  <c r="W65" i="65"/>
  <c r="W66" i="65" s="1"/>
  <c r="E97" i="65"/>
  <c r="E98" i="65"/>
  <c r="R97" i="65"/>
  <c r="R68" i="65"/>
  <c r="R69" i="65" s="1"/>
  <c r="E68" i="65"/>
  <c r="E69" i="65"/>
  <c r="A359" i="50"/>
  <c r="W23" i="60"/>
  <c r="I23" i="60"/>
  <c r="N23" i="60"/>
  <c r="AF23" i="60"/>
  <c r="O23" i="60"/>
  <c r="AA23" i="60"/>
  <c r="AK23" i="60"/>
  <c r="M23" i="60"/>
  <c r="Y23" i="60"/>
  <c r="H23" i="60"/>
  <c r="G23" i="60"/>
  <c r="U23" i="60"/>
  <c r="S23" i="60"/>
  <c r="AE23" i="60"/>
  <c r="R23" i="60"/>
  <c r="AG23" i="60"/>
  <c r="AD23" i="60"/>
  <c r="E23" i="60"/>
  <c r="Z23" i="60"/>
  <c r="K23" i="60"/>
  <c r="AL23" i="60"/>
  <c r="T23" i="60"/>
  <c r="AJ23" i="60"/>
  <c r="V23" i="60"/>
  <c r="Q23" i="60"/>
  <c r="AC23" i="60"/>
  <c r="X23" i="60"/>
  <c r="L23" i="60"/>
  <c r="P23" i="60"/>
  <c r="D23" i="60"/>
  <c r="AB23" i="60"/>
  <c r="J23" i="60"/>
  <c r="I665" i="50" l="1"/>
  <c r="I660" i="50"/>
  <c r="I663" i="50"/>
  <c r="I671" i="50"/>
  <c r="I675" i="50"/>
  <c r="I653" i="50"/>
  <c r="I661" i="50"/>
  <c r="I676" i="50"/>
  <c r="I674" i="50"/>
  <c r="I672" i="50"/>
  <c r="I662" i="50"/>
  <c r="I670" i="50"/>
  <c r="I664" i="50"/>
  <c r="I668" i="50"/>
  <c r="I654" i="50"/>
  <c r="I656" i="50"/>
  <c r="I652" i="50"/>
  <c r="BV47" i="50"/>
  <c r="U13" i="60" s="1"/>
  <c r="AN55" i="50"/>
  <c r="AI56" i="50" s="1"/>
  <c r="AT55" i="50"/>
  <c r="AU55" i="50" s="1"/>
  <c r="I669" i="50"/>
  <c r="I659" i="50"/>
  <c r="I667" i="50"/>
  <c r="I666" i="50"/>
  <c r="I673" i="50"/>
  <c r="I657" i="50"/>
  <c r="I655" i="50"/>
  <c r="K14" i="60"/>
  <c r="K58" i="43"/>
  <c r="BD129" i="50"/>
  <c r="M129" i="50" s="1"/>
  <c r="AV127" i="50"/>
  <c r="M127" i="50"/>
  <c r="AJ79" i="50"/>
  <c r="I79" i="50"/>
  <c r="AM40" i="57"/>
  <c r="L66" i="57"/>
  <c r="BD81" i="50"/>
  <c r="M81" i="50" s="1"/>
  <c r="BX71" i="50"/>
  <c r="W14" i="60" s="1"/>
  <c r="BD82" i="50"/>
  <c r="M82" i="50" s="1"/>
  <c r="BA82" i="50"/>
  <c r="BZ71" i="50"/>
  <c r="Y14" i="60" s="1"/>
  <c r="AJ128" i="50"/>
  <c r="I128" i="50"/>
  <c r="K67" i="57"/>
  <c r="BZ119" i="50"/>
  <c r="Y16" i="60" s="1"/>
  <c r="BA130" i="50"/>
  <c r="BB103" i="50"/>
  <c r="AI104" i="50"/>
  <c r="AZ103" i="50"/>
  <c r="K103" i="50"/>
  <c r="AD67" i="57"/>
  <c r="P67" i="57"/>
  <c r="M67" i="57"/>
  <c r="AG67" i="57"/>
  <c r="AA67" i="57"/>
  <c r="S67" i="57"/>
  <c r="AE67" i="57"/>
  <c r="AH67" i="57"/>
  <c r="Q67" i="57"/>
  <c r="R67" i="57"/>
  <c r="AB67" i="57"/>
  <c r="AC67" i="57"/>
  <c r="X67" i="57"/>
  <c r="Y67" i="57"/>
  <c r="L67" i="57"/>
  <c r="V67" i="57"/>
  <c r="W67" i="57"/>
  <c r="Z67" i="57"/>
  <c r="O67" i="57"/>
  <c r="N67" i="57"/>
  <c r="T67" i="57"/>
  <c r="U67" i="57"/>
  <c r="R98" i="65"/>
  <c r="U98" i="65" s="1"/>
  <c r="U97" i="65"/>
  <c r="W67" i="65"/>
  <c r="W68" i="65" s="1"/>
  <c r="W69" i="65" s="1"/>
  <c r="W94" i="65"/>
  <c r="W95" i="65" s="1"/>
  <c r="A383" i="50"/>
  <c r="F26" i="60"/>
  <c r="I6" i="50"/>
  <c r="G6" i="50"/>
  <c r="C67" i="57"/>
  <c r="I56" i="50" l="1"/>
  <c r="AJ56" i="50"/>
  <c r="AW55" i="50"/>
  <c r="AX55" i="50" s="1"/>
  <c r="AZ55" i="50"/>
  <c r="K55" i="50"/>
  <c r="BB55" i="50"/>
  <c r="AN57" i="50"/>
  <c r="AO57" i="50" s="1"/>
  <c r="AT128" i="50"/>
  <c r="AU128" i="50" s="1"/>
  <c r="BS119" i="50"/>
  <c r="R16" i="60" s="1"/>
  <c r="AN128" i="50"/>
  <c r="AO128" i="50" s="1"/>
  <c r="AN129" i="50"/>
  <c r="AO129" i="50" s="1"/>
  <c r="AM41" i="57"/>
  <c r="M66" i="57"/>
  <c r="BV71" i="50"/>
  <c r="U14" i="60" s="1"/>
  <c r="AN79" i="50"/>
  <c r="AI80" i="50" s="1"/>
  <c r="AT79" i="50"/>
  <c r="AU79" i="50" s="1"/>
  <c r="BU119" i="50"/>
  <c r="T16" i="60" s="1"/>
  <c r="BA127" i="50"/>
  <c r="BG129" i="50"/>
  <c r="R124" i="50" s="1"/>
  <c r="CD119" i="50" s="1"/>
  <c r="AC16" i="60" s="1"/>
  <c r="BG130" i="50"/>
  <c r="R125" i="50" s="1"/>
  <c r="CE119" i="50" s="1"/>
  <c r="AD16" i="60" s="1"/>
  <c r="I104" i="50"/>
  <c r="AJ104" i="50"/>
  <c r="M103" i="50"/>
  <c r="AV103" i="50"/>
  <c r="S57" i="43"/>
  <c r="T57" i="43" s="1"/>
  <c r="L30" i="62" s="1"/>
  <c r="W96" i="65"/>
  <c r="W97" i="65" s="1"/>
  <c r="W98" i="65" s="1"/>
  <c r="A407" i="50"/>
  <c r="K26" i="60"/>
  <c r="AC26" i="60"/>
  <c r="V26" i="60"/>
  <c r="R26" i="60"/>
  <c r="AE26" i="60"/>
  <c r="Q26" i="60"/>
  <c r="H26" i="60"/>
  <c r="Z26" i="60"/>
  <c r="M26" i="60"/>
  <c r="W26" i="60"/>
  <c r="N26" i="60"/>
  <c r="AG26" i="60"/>
  <c r="AJ26" i="60"/>
  <c r="AL26" i="60"/>
  <c r="I26" i="60"/>
  <c r="U26" i="60"/>
  <c r="AF26" i="60"/>
  <c r="O26" i="60"/>
  <c r="J26" i="60"/>
  <c r="AK26" i="60"/>
  <c r="Y26" i="60"/>
  <c r="X26" i="60"/>
  <c r="T26" i="60"/>
  <c r="L26" i="60"/>
  <c r="P26" i="60"/>
  <c r="AA26" i="60"/>
  <c r="G26" i="60"/>
  <c r="S26" i="60"/>
  <c r="AB26" i="60"/>
  <c r="AD26" i="60"/>
  <c r="D26" i="60"/>
  <c r="E26" i="60"/>
  <c r="AJ80" i="50" l="1"/>
  <c r="I80" i="50"/>
  <c r="AT56" i="50"/>
  <c r="AU56" i="50" s="1"/>
  <c r="BS47" i="50"/>
  <c r="R13" i="60" s="1"/>
  <c r="AN56" i="50"/>
  <c r="AO56" i="50" s="1"/>
  <c r="AV55" i="50"/>
  <c r="M55" i="50"/>
  <c r="AM43" i="57"/>
  <c r="BB128" i="50"/>
  <c r="AW79" i="50"/>
  <c r="AX79" i="50" s="1"/>
  <c r="K79" i="50"/>
  <c r="AZ79" i="50"/>
  <c r="BB79" i="50"/>
  <c r="AN81" i="50"/>
  <c r="AO81" i="50" s="1"/>
  <c r="AW128" i="50"/>
  <c r="AX128" i="50" s="1"/>
  <c r="AZ128" i="50"/>
  <c r="K128" i="50"/>
  <c r="AV128" i="50" s="1"/>
  <c r="BR119" i="50" s="1"/>
  <c r="Q16" i="60" s="1"/>
  <c r="BS95" i="50"/>
  <c r="R15" i="60" s="1"/>
  <c r="AN105" i="50"/>
  <c r="AO105" i="50" s="1"/>
  <c r="AT104" i="50"/>
  <c r="AU104" i="50" s="1"/>
  <c r="AN104" i="50"/>
  <c r="AO104" i="50" s="1"/>
  <c r="BG106" i="50"/>
  <c r="R101" i="50" s="1"/>
  <c r="CE95" i="50" s="1"/>
  <c r="AD15" i="60" s="1"/>
  <c r="BG105" i="50"/>
  <c r="R100" i="50" s="1"/>
  <c r="CD95" i="50" s="1"/>
  <c r="AC15" i="60" s="1"/>
  <c r="BU95" i="50"/>
  <c r="T15" i="60" s="1"/>
  <c r="BA103" i="50"/>
  <c r="A431" i="50"/>
  <c r="AT80" i="50" l="1"/>
  <c r="AU80" i="50" s="1"/>
  <c r="BS71" i="50"/>
  <c r="R14" i="60" s="1"/>
  <c r="AN80" i="50"/>
  <c r="AO80" i="50" s="1"/>
  <c r="BB80" i="50" s="1"/>
  <c r="BB56" i="50"/>
  <c r="BG57" i="50"/>
  <c r="R52" i="50" s="1"/>
  <c r="CD47" i="50" s="1"/>
  <c r="AC13" i="60" s="1"/>
  <c r="BG58" i="50"/>
  <c r="R53" i="50" s="1"/>
  <c r="CE47" i="50" s="1"/>
  <c r="AD13" i="60" s="1"/>
  <c r="AZ56" i="50"/>
  <c r="K56" i="50"/>
  <c r="AV56" i="50" s="1"/>
  <c r="BR47" i="50" s="1"/>
  <c r="Q13" i="60" s="1"/>
  <c r="AW56" i="50"/>
  <c r="AX56" i="50" s="1"/>
  <c r="N66" i="57"/>
  <c r="BA55" i="50"/>
  <c r="BU47" i="50"/>
  <c r="T13" i="60" s="1"/>
  <c r="BG128" i="50"/>
  <c r="R122" i="50" s="1"/>
  <c r="CC119" i="50" s="1"/>
  <c r="AB16" i="60" s="1"/>
  <c r="BB104" i="50"/>
  <c r="M128" i="50"/>
  <c r="BG127" i="50"/>
  <c r="N120" i="50" s="1"/>
  <c r="CB119" i="50" s="1"/>
  <c r="AA16" i="60" s="1"/>
  <c r="BG125" i="50"/>
  <c r="N119" i="50" s="1"/>
  <c r="CA119" i="50" s="1"/>
  <c r="BA128" i="50"/>
  <c r="M79" i="50"/>
  <c r="AV79" i="50"/>
  <c r="AM44" i="57"/>
  <c r="O66" i="57" s="1"/>
  <c r="AW104" i="50"/>
  <c r="AX104" i="50" s="1"/>
  <c r="AZ104" i="50"/>
  <c r="K104" i="50"/>
  <c r="A455" i="50"/>
  <c r="AW80" i="50" l="1"/>
  <c r="AX80" i="50" s="1"/>
  <c r="K80" i="50"/>
  <c r="AV80" i="50" s="1"/>
  <c r="BR71" i="50" s="1"/>
  <c r="Q14" i="60" s="1"/>
  <c r="AZ80" i="50"/>
  <c r="BG55" i="50"/>
  <c r="N48" i="50" s="1"/>
  <c r="CB47" i="50" s="1"/>
  <c r="AA13" i="60" s="1"/>
  <c r="BG56" i="50"/>
  <c r="R50" i="50" s="1"/>
  <c r="CC47" i="50" s="1"/>
  <c r="AB13" i="60" s="1"/>
  <c r="M56" i="50"/>
  <c r="BA56" i="50"/>
  <c r="BG53" i="50"/>
  <c r="N47" i="50" s="1"/>
  <c r="CA47" i="50" s="1"/>
  <c r="Z13" i="60" s="1"/>
  <c r="AM54" i="57"/>
  <c r="AM55" i="57" s="1"/>
  <c r="AM56" i="57" s="1"/>
  <c r="AM57" i="57" s="1"/>
  <c r="AM58" i="57" s="1"/>
  <c r="X66" i="57" s="1"/>
  <c r="P66" i="57"/>
  <c r="BU71" i="50"/>
  <c r="T14" i="60" s="1"/>
  <c r="BA79" i="50"/>
  <c r="BG82" i="50"/>
  <c r="R77" i="50" s="1"/>
  <c r="CE71" i="50" s="1"/>
  <c r="AD14" i="60" s="1"/>
  <c r="BG77" i="50"/>
  <c r="N71" i="50" s="1"/>
  <c r="CA71" i="50" s="1"/>
  <c r="BG81" i="50"/>
  <c r="R76" i="50" s="1"/>
  <c r="CD71" i="50" s="1"/>
  <c r="AC14" i="60" s="1"/>
  <c r="S60" i="43"/>
  <c r="Z16" i="60"/>
  <c r="Q66" i="57"/>
  <c r="AV104" i="50"/>
  <c r="M104" i="50"/>
  <c r="A479" i="50"/>
  <c r="BA80" i="50" l="1"/>
  <c r="BG79" i="50"/>
  <c r="N72" i="50" s="1"/>
  <c r="CB71" i="50" s="1"/>
  <c r="AA14" i="60" s="1"/>
  <c r="BG80" i="50"/>
  <c r="R74" i="50" s="1"/>
  <c r="CC71" i="50" s="1"/>
  <c r="AB14" i="60" s="1"/>
  <c r="M80" i="50"/>
  <c r="W66" i="57"/>
  <c r="Z66" i="57"/>
  <c r="S66" i="57"/>
  <c r="V66" i="57"/>
  <c r="R66" i="57"/>
  <c r="T66" i="57"/>
  <c r="AC66" i="57"/>
  <c r="AF66" i="57"/>
  <c r="AB66" i="57"/>
  <c r="AG66" i="57"/>
  <c r="Z14" i="60"/>
  <c r="S58" i="43"/>
  <c r="T58" i="43" s="1"/>
  <c r="L31" i="62" s="1"/>
  <c r="AA66" i="57"/>
  <c r="AD66" i="57"/>
  <c r="Y66" i="57"/>
  <c r="U66" i="57"/>
  <c r="AE66" i="57"/>
  <c r="AH66" i="57"/>
  <c r="BR95" i="50"/>
  <c r="Q15" i="60" s="1"/>
  <c r="BA104" i="50"/>
  <c r="BG104" i="50"/>
  <c r="R98" i="50" s="1"/>
  <c r="CC95" i="50" s="1"/>
  <c r="AB15" i="60" s="1"/>
  <c r="BG101" i="50"/>
  <c r="N95" i="50" s="1"/>
  <c r="CA95" i="50" s="1"/>
  <c r="BG103" i="50"/>
  <c r="N96" i="50" s="1"/>
  <c r="CB95" i="50" s="1"/>
  <c r="AA15" i="60" s="1"/>
  <c r="A503" i="50"/>
  <c r="C66" i="57"/>
  <c r="Y68" i="38" l="1"/>
  <c r="Z15" i="60"/>
  <c r="S59" i="43"/>
  <c r="T59" i="43" s="1"/>
  <c r="L32" i="62" s="1"/>
  <c r="Y71" i="38"/>
  <c r="Y72" i="38"/>
  <c r="Y70" i="38"/>
  <c r="Y67" i="38"/>
  <c r="Y69" i="38"/>
  <c r="M63" i="57"/>
  <c r="A527" i="50"/>
  <c r="A551" i="50" l="1"/>
  <c r="A575" i="50" l="1"/>
  <c r="A599" i="50" l="1"/>
  <c r="A623" i="50"/>
  <c r="F24" i="60" l="1"/>
  <c r="F33" i="60"/>
  <c r="F37" i="60"/>
  <c r="M6" i="50"/>
  <c r="F36" i="60"/>
  <c r="F25" i="60"/>
  <c r="F29" i="60"/>
  <c r="F32" i="60"/>
  <c r="F34" i="60"/>
  <c r="F27" i="60"/>
  <c r="F31" i="60"/>
  <c r="F28" i="60"/>
  <c r="F35" i="60"/>
  <c r="F30" i="60"/>
  <c r="K6" i="50"/>
  <c r="K35" i="60" l="1"/>
  <c r="X35" i="60"/>
  <c r="AG35" i="60"/>
  <c r="T35" i="60"/>
  <c r="M35" i="60"/>
  <c r="AE35" i="60"/>
  <c r="AD35" i="60"/>
  <c r="H35" i="60"/>
  <c r="Q35" i="60"/>
  <c r="E35" i="60"/>
  <c r="Z35" i="60"/>
  <c r="W35" i="60"/>
  <c r="N35" i="60"/>
  <c r="V35" i="60"/>
  <c r="AC35" i="60"/>
  <c r="Y35" i="60"/>
  <c r="P35" i="60"/>
  <c r="L35" i="60"/>
  <c r="S35" i="60"/>
  <c r="AA35" i="60"/>
  <c r="AF35" i="60"/>
  <c r="D35" i="60"/>
  <c r="U35" i="60"/>
  <c r="R35" i="60"/>
  <c r="AJ35" i="60"/>
  <c r="AB35" i="60"/>
  <c r="AL35" i="60"/>
  <c r="I35" i="60"/>
  <c r="G35" i="60"/>
  <c r="J35" i="60"/>
  <c r="O35" i="60"/>
  <c r="AK35" i="60"/>
  <c r="K28" i="60"/>
  <c r="AF28" i="60"/>
  <c r="N28" i="60"/>
  <c r="AA28" i="60"/>
  <c r="AJ28" i="60"/>
  <c r="S28" i="60"/>
  <c r="AL28" i="60"/>
  <c r="Z28" i="60"/>
  <c r="V28" i="60"/>
  <c r="R28" i="60"/>
  <c r="T28" i="60"/>
  <c r="I28" i="60"/>
  <c r="AG28" i="60"/>
  <c r="D28" i="60"/>
  <c r="Y28" i="60"/>
  <c r="E28" i="60"/>
  <c r="AD28" i="60"/>
  <c r="P28" i="60"/>
  <c r="AB28" i="60"/>
  <c r="Q28" i="60"/>
  <c r="U28" i="60"/>
  <c r="AK28" i="60"/>
  <c r="O28" i="60"/>
  <c r="AC28" i="60"/>
  <c r="J28" i="60"/>
  <c r="X28" i="60"/>
  <c r="AE28" i="60"/>
  <c r="M28" i="60"/>
  <c r="L28" i="60"/>
  <c r="H28" i="60"/>
  <c r="W28" i="60"/>
  <c r="G28" i="60"/>
  <c r="K32" i="60"/>
  <c r="D32" i="60"/>
  <c r="AC32" i="60"/>
  <c r="S32" i="60"/>
  <c r="Y32" i="60"/>
  <c r="W32" i="60"/>
  <c r="V32" i="60"/>
  <c r="AF32" i="60"/>
  <c r="R32" i="60"/>
  <c r="P32" i="60"/>
  <c r="AA32" i="60"/>
  <c r="AG32" i="60"/>
  <c r="AK32" i="60"/>
  <c r="AB32" i="60"/>
  <c r="I32" i="60"/>
  <c r="Q32" i="60"/>
  <c r="T32" i="60"/>
  <c r="H32" i="60"/>
  <c r="AJ32" i="60"/>
  <c r="AD32" i="60"/>
  <c r="Z32" i="60"/>
  <c r="M32" i="60"/>
  <c r="O32" i="60"/>
  <c r="X32" i="60"/>
  <c r="L32" i="60"/>
  <c r="AE32" i="60"/>
  <c r="J32" i="60"/>
  <c r="U32" i="60"/>
  <c r="AL32" i="60"/>
  <c r="G32" i="60"/>
  <c r="E32" i="60"/>
  <c r="N32" i="60"/>
  <c r="K29" i="60"/>
  <c r="L29" i="60"/>
  <c r="V29" i="60"/>
  <c r="U29" i="60"/>
  <c r="AL29" i="60"/>
  <c r="AK29" i="60"/>
  <c r="AE29" i="60"/>
  <c r="R29" i="60"/>
  <c r="O29" i="60"/>
  <c r="H29" i="60"/>
  <c r="AF29" i="60"/>
  <c r="S29" i="60"/>
  <c r="AC29" i="60"/>
  <c r="AJ29" i="60"/>
  <c r="J29" i="60"/>
  <c r="I29" i="60"/>
  <c r="Q29" i="60"/>
  <c r="Y29" i="60"/>
  <c r="P29" i="60"/>
  <c r="M29" i="60"/>
  <c r="G29" i="60"/>
  <c r="AG29" i="60"/>
  <c r="AB29" i="60"/>
  <c r="AD29" i="60"/>
  <c r="AA29" i="60"/>
  <c r="N29" i="60"/>
  <c r="X29" i="60"/>
  <c r="W29" i="60"/>
  <c r="Z29" i="60"/>
  <c r="E29" i="60"/>
  <c r="D29" i="60"/>
  <c r="T29" i="60"/>
  <c r="K37" i="60"/>
  <c r="D37" i="60"/>
  <c r="L37" i="60"/>
  <c r="AF37" i="60"/>
  <c r="AB37" i="60"/>
  <c r="AE37" i="60"/>
  <c r="P37" i="60"/>
  <c r="W37" i="60"/>
  <c r="T37" i="60"/>
  <c r="AD37" i="60"/>
  <c r="N37" i="60"/>
  <c r="M37" i="60"/>
  <c r="Q37" i="60"/>
  <c r="I37" i="60"/>
  <c r="AC37" i="60"/>
  <c r="H37" i="60"/>
  <c r="X37" i="60"/>
  <c r="AG37" i="60"/>
  <c r="AL37" i="60"/>
  <c r="O37" i="60"/>
  <c r="J37" i="60"/>
  <c r="E37" i="60"/>
  <c r="AJ37" i="60"/>
  <c r="S37" i="60"/>
  <c r="V37" i="60"/>
  <c r="G37" i="60"/>
  <c r="AA37" i="60"/>
  <c r="Z37" i="60"/>
  <c r="AK37" i="60"/>
  <c r="Y37" i="60"/>
  <c r="U37" i="60"/>
  <c r="R37" i="60"/>
  <c r="K31" i="60"/>
  <c r="U31" i="60"/>
  <c r="J31" i="60"/>
  <c r="M31" i="60"/>
  <c r="Q31" i="60"/>
  <c r="H31" i="60"/>
  <c r="P31" i="60"/>
  <c r="AG31" i="60"/>
  <c r="G31" i="60"/>
  <c r="AA31" i="60"/>
  <c r="I31" i="60"/>
  <c r="O31" i="60"/>
  <c r="W31" i="60"/>
  <c r="E31" i="60"/>
  <c r="AB31" i="60"/>
  <c r="L31" i="60"/>
  <c r="R31" i="60"/>
  <c r="AK31" i="60"/>
  <c r="T31" i="60"/>
  <c r="AL31" i="60"/>
  <c r="Z31" i="60"/>
  <c r="D31" i="60"/>
  <c r="AE31" i="60"/>
  <c r="S31" i="60"/>
  <c r="AJ31" i="60"/>
  <c r="X31" i="60"/>
  <c r="Y31" i="60"/>
  <c r="AC31" i="60"/>
  <c r="AD31" i="60"/>
  <c r="AF31" i="60"/>
  <c r="N31" i="60"/>
  <c r="V31" i="60"/>
  <c r="K30" i="60"/>
  <c r="S30" i="60"/>
  <c r="G30" i="60"/>
  <c r="AG30" i="60"/>
  <c r="Q30" i="60"/>
  <c r="AD30" i="60"/>
  <c r="M30" i="60"/>
  <c r="Z30" i="60"/>
  <c r="L30" i="60"/>
  <c r="Y30" i="60"/>
  <c r="E30" i="60"/>
  <c r="N30" i="60"/>
  <c r="U30" i="60"/>
  <c r="P30" i="60"/>
  <c r="AF30" i="60"/>
  <c r="AK30" i="60"/>
  <c r="T30" i="60"/>
  <c r="AL30" i="60"/>
  <c r="I30" i="60"/>
  <c r="O30" i="60"/>
  <c r="D30" i="60"/>
  <c r="AB30" i="60"/>
  <c r="J30" i="60"/>
  <c r="AJ30" i="60"/>
  <c r="H30" i="60"/>
  <c r="W30" i="60"/>
  <c r="V30" i="60"/>
  <c r="AA30" i="60"/>
  <c r="R30" i="60"/>
  <c r="AC30" i="60"/>
  <c r="AE30" i="60"/>
  <c r="X30" i="60"/>
  <c r="K27" i="60"/>
  <c r="Y27" i="60"/>
  <c r="Q27" i="60"/>
  <c r="AF27" i="60"/>
  <c r="V27" i="60"/>
  <c r="L27" i="60"/>
  <c r="J27" i="60"/>
  <c r="H27" i="60"/>
  <c r="AC27" i="60"/>
  <c r="M27" i="60"/>
  <c r="AJ27" i="60"/>
  <c r="S27" i="60"/>
  <c r="Z27" i="60"/>
  <c r="O27" i="60"/>
  <c r="AD27" i="60"/>
  <c r="D27" i="60"/>
  <c r="T27" i="60"/>
  <c r="AA27" i="60"/>
  <c r="N27" i="60"/>
  <c r="AG27" i="60"/>
  <c r="E27" i="60"/>
  <c r="U27" i="60"/>
  <c r="G27" i="60"/>
  <c r="R27" i="60"/>
  <c r="W27" i="60"/>
  <c r="AE27" i="60"/>
  <c r="I27" i="60"/>
  <c r="X27" i="60"/>
  <c r="AK27" i="60"/>
  <c r="P27" i="60"/>
  <c r="AB27" i="60"/>
  <c r="AL27" i="60"/>
  <c r="K25" i="60"/>
  <c r="D25" i="60"/>
  <c r="AK25" i="60"/>
  <c r="N25" i="60"/>
  <c r="AG25" i="60"/>
  <c r="AC25" i="60"/>
  <c r="G25" i="60"/>
  <c r="X25" i="60"/>
  <c r="M25" i="60"/>
  <c r="AB25" i="60"/>
  <c r="U25" i="60"/>
  <c r="Q25" i="60"/>
  <c r="S25" i="60"/>
  <c r="E25" i="60"/>
  <c r="AA25" i="60"/>
  <c r="L25" i="60"/>
  <c r="W25" i="60"/>
  <c r="V25" i="60"/>
  <c r="O25" i="60"/>
  <c r="Y25" i="60"/>
  <c r="H25" i="60"/>
  <c r="AF25" i="60"/>
  <c r="AJ25" i="60"/>
  <c r="Z25" i="60"/>
  <c r="J25" i="60"/>
  <c r="R25" i="60"/>
  <c r="T25" i="60"/>
  <c r="AE25" i="60"/>
  <c r="AL25" i="60"/>
  <c r="P25" i="60"/>
  <c r="AD25" i="60"/>
  <c r="I25" i="60"/>
  <c r="K33" i="60"/>
  <c r="H33" i="60"/>
  <c r="V33" i="60"/>
  <c r="M33" i="60"/>
  <c r="I33" i="60"/>
  <c r="L33" i="60"/>
  <c r="AB33" i="60"/>
  <c r="T33" i="60"/>
  <c r="AF33" i="60"/>
  <c r="AD33" i="60"/>
  <c r="Z33" i="60"/>
  <c r="S33" i="60"/>
  <c r="AE33" i="60"/>
  <c r="X33" i="60"/>
  <c r="AA33" i="60"/>
  <c r="AJ33" i="60"/>
  <c r="AL33" i="60"/>
  <c r="AK33" i="60"/>
  <c r="N33" i="60"/>
  <c r="E33" i="60"/>
  <c r="G33" i="60"/>
  <c r="J33" i="60"/>
  <c r="Y33" i="60"/>
  <c r="D33" i="60"/>
  <c r="O33" i="60"/>
  <c r="W33" i="60"/>
  <c r="AC33" i="60"/>
  <c r="U33" i="60"/>
  <c r="R33" i="60"/>
  <c r="AG33" i="60"/>
  <c r="P33" i="60"/>
  <c r="Q33" i="60"/>
  <c r="K34" i="60"/>
  <c r="V34" i="60"/>
  <c r="I34" i="60"/>
  <c r="W34" i="60"/>
  <c r="N34" i="60"/>
  <c r="P34" i="60"/>
  <c r="D34" i="60"/>
  <c r="AG34" i="60"/>
  <c r="J34" i="60"/>
  <c r="Y34" i="60"/>
  <c r="S34" i="60"/>
  <c r="T34" i="60"/>
  <c r="R34" i="60"/>
  <c r="AD34" i="60"/>
  <c r="AL34" i="60"/>
  <c r="Z34" i="60"/>
  <c r="Q34" i="60"/>
  <c r="G34" i="60"/>
  <c r="X34" i="60"/>
  <c r="O34" i="60"/>
  <c r="U34" i="60"/>
  <c r="AA34" i="60"/>
  <c r="M34" i="60"/>
  <c r="AK34" i="60"/>
  <c r="AC34" i="60"/>
  <c r="AJ34" i="60"/>
  <c r="H34" i="60"/>
  <c r="AB34" i="60"/>
  <c r="AE34" i="60"/>
  <c r="L34" i="60"/>
  <c r="E34" i="60"/>
  <c r="AF34" i="60"/>
  <c r="K36" i="60"/>
  <c r="AA36" i="60"/>
  <c r="P36" i="60"/>
  <c r="T36" i="60"/>
  <c r="J36" i="60"/>
  <c r="AE36" i="60"/>
  <c r="E36" i="60"/>
  <c r="M36" i="60"/>
  <c r="N36" i="60"/>
  <c r="AD36" i="60"/>
  <c r="AK36" i="60"/>
  <c r="I36" i="60"/>
  <c r="L36" i="60"/>
  <c r="S36" i="60"/>
  <c r="AB36" i="60"/>
  <c r="O36" i="60"/>
  <c r="H36" i="60"/>
  <c r="AJ36" i="60"/>
  <c r="Q36" i="60"/>
  <c r="Y36" i="60"/>
  <c r="U36" i="60"/>
  <c r="AF36" i="60"/>
  <c r="X36" i="60"/>
  <c r="V36" i="60"/>
  <c r="W36" i="60"/>
  <c r="AC36" i="60"/>
  <c r="D36" i="60"/>
  <c r="AG36" i="60"/>
  <c r="Z36" i="60"/>
  <c r="AL36" i="60"/>
  <c r="R36" i="60"/>
  <c r="G36" i="60"/>
  <c r="K24" i="60"/>
  <c r="X24" i="60"/>
  <c r="Y24" i="60"/>
  <c r="P24" i="60"/>
  <c r="AG24" i="60"/>
  <c r="I24" i="60"/>
  <c r="T24" i="60"/>
  <c r="W24" i="60"/>
  <c r="D24" i="60"/>
  <c r="O24" i="60"/>
  <c r="S24" i="60"/>
  <c r="AD24" i="60"/>
  <c r="AJ24" i="60"/>
  <c r="M24" i="60"/>
  <c r="N24" i="60"/>
  <c r="V24" i="60"/>
  <c r="AC24" i="60"/>
  <c r="AF24" i="60"/>
  <c r="U24" i="60"/>
  <c r="AB24" i="60"/>
  <c r="E24" i="60"/>
  <c r="J24" i="60"/>
  <c r="G24" i="60"/>
  <c r="AL24" i="60"/>
  <c r="R24" i="60"/>
  <c r="AE24" i="60"/>
  <c r="L24" i="60"/>
  <c r="AA24" i="60"/>
  <c r="AK24" i="60"/>
  <c r="H24" i="60"/>
  <c r="Q24" i="60"/>
  <c r="Z24" i="60"/>
  <c r="H19" i="62" l="1"/>
  <c r="H17" i="62"/>
  <c r="H15" i="62"/>
  <c r="H18" i="62"/>
  <c r="H16" i="62"/>
  <c r="I15" i="62" l="1"/>
  <c r="I18" i="62"/>
  <c r="J18" i="62" s="1"/>
  <c r="I17" i="62"/>
  <c r="J17" i="62" s="1"/>
  <c r="I16" i="62"/>
  <c r="J16" i="62" s="1"/>
  <c r="I19" i="62"/>
  <c r="J19" i="62" s="1"/>
  <c r="J15" i="62" l="1"/>
  <c r="L24" i="62" s="1"/>
  <c r="I24" i="62" l="1"/>
  <c r="K24" i="62"/>
  <c r="H24" i="62"/>
  <c r="J26" i="62" s="1"/>
  <c r="J24"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Y57" authorId="0" shapeId="0" xr:uid="{00000000-0006-0000-0400-000001000000}">
      <text>
        <r>
          <rPr>
            <b/>
            <sz val="9"/>
            <color indexed="81"/>
            <rFont val="Tahoma"/>
            <family val="2"/>
          </rPr>
          <t>Christian:</t>
        </r>
        <r>
          <rPr>
            <sz val="9"/>
            <color indexed="81"/>
            <rFont val="Tahoma"/>
            <family val="2"/>
          </rPr>
          <t xml:space="preserve">
NA if fossil</t>
        </r>
      </text>
    </comment>
    <comment ref="AS57" authorId="0" shapeId="0" xr:uid="{00000000-0006-0000-0400-000002000000}">
      <text>
        <r>
          <rPr>
            <b/>
            <sz val="9"/>
            <color indexed="81"/>
            <rFont val="Tahoma"/>
            <family val="2"/>
          </rPr>
          <t>Christian:</t>
        </r>
        <r>
          <rPr>
            <sz val="9"/>
            <color indexed="81"/>
            <rFont val="Tahoma"/>
            <family val="2"/>
          </rPr>
          <t xml:space="preserve">
Type I here related to MS specific</t>
        </r>
      </text>
    </comment>
    <comment ref="Y58" authorId="0" shapeId="0" xr:uid="{00000000-0006-0000-0400-000003000000}">
      <text>
        <r>
          <rPr>
            <b/>
            <sz val="9"/>
            <color indexed="81"/>
            <rFont val="Tahoma"/>
            <family val="2"/>
          </rPr>
          <t>Christian:</t>
        </r>
        <r>
          <rPr>
            <sz val="9"/>
            <color indexed="81"/>
            <rFont val="Tahoma"/>
            <family val="2"/>
          </rPr>
          <t xml:space="preserve">
NA if fossil</t>
        </r>
      </text>
    </comment>
    <comment ref="AS58" authorId="0" shapeId="0" xr:uid="{00000000-0006-0000-0400-000004000000}">
      <text>
        <r>
          <rPr>
            <b/>
            <sz val="9"/>
            <color indexed="81"/>
            <rFont val="Tahoma"/>
            <family val="2"/>
          </rPr>
          <t>Christian:</t>
        </r>
        <r>
          <rPr>
            <sz val="9"/>
            <color indexed="81"/>
            <rFont val="Tahoma"/>
            <family val="2"/>
          </rPr>
          <t xml:space="preserve">
Type I here related to MS specific</t>
        </r>
      </text>
    </comment>
    <comment ref="Y60" authorId="0" shapeId="0" xr:uid="{00000000-0006-0000-0400-000005000000}">
      <text>
        <r>
          <rPr>
            <b/>
            <sz val="9"/>
            <color indexed="81"/>
            <rFont val="Tahoma"/>
            <family val="2"/>
          </rPr>
          <t>Christian:</t>
        </r>
        <r>
          <rPr>
            <sz val="9"/>
            <color indexed="81"/>
            <rFont val="Tahoma"/>
            <family val="2"/>
          </rPr>
          <t xml:space="preserve">
NA if fossil</t>
        </r>
      </text>
    </comment>
    <comment ref="Y81" authorId="0" shapeId="0" xr:uid="{00000000-0006-0000-0400-000006000000}">
      <text>
        <r>
          <rPr>
            <b/>
            <sz val="9"/>
            <color indexed="81"/>
            <rFont val="Tahoma"/>
            <family val="2"/>
          </rPr>
          <t>Christian:</t>
        </r>
        <r>
          <rPr>
            <sz val="9"/>
            <color indexed="81"/>
            <rFont val="Tahoma"/>
            <family val="2"/>
          </rPr>
          <t xml:space="preserve">
NA if fossil</t>
        </r>
      </text>
    </comment>
    <comment ref="AS81" authorId="0" shapeId="0" xr:uid="{00000000-0006-0000-0400-000007000000}">
      <text>
        <r>
          <rPr>
            <b/>
            <sz val="9"/>
            <color indexed="81"/>
            <rFont val="Tahoma"/>
            <family val="2"/>
          </rPr>
          <t>Christian:</t>
        </r>
        <r>
          <rPr>
            <sz val="9"/>
            <color indexed="81"/>
            <rFont val="Tahoma"/>
            <family val="2"/>
          </rPr>
          <t xml:space="preserve">
Type I here related to MS specific</t>
        </r>
      </text>
    </comment>
    <comment ref="Y82" authorId="0" shapeId="0" xr:uid="{00000000-0006-0000-0400-000008000000}">
      <text>
        <r>
          <rPr>
            <b/>
            <sz val="9"/>
            <color indexed="81"/>
            <rFont val="Tahoma"/>
            <family val="2"/>
          </rPr>
          <t>Christian:</t>
        </r>
        <r>
          <rPr>
            <sz val="9"/>
            <color indexed="81"/>
            <rFont val="Tahoma"/>
            <family val="2"/>
          </rPr>
          <t xml:space="preserve">
NA if fossil</t>
        </r>
      </text>
    </comment>
    <comment ref="AS82" authorId="0" shapeId="0" xr:uid="{00000000-0006-0000-0400-000009000000}">
      <text>
        <r>
          <rPr>
            <b/>
            <sz val="9"/>
            <color indexed="81"/>
            <rFont val="Tahoma"/>
            <family val="2"/>
          </rPr>
          <t>Christian:</t>
        </r>
        <r>
          <rPr>
            <sz val="9"/>
            <color indexed="81"/>
            <rFont val="Tahoma"/>
            <family val="2"/>
          </rPr>
          <t xml:space="preserve">
Type I here related to MS specific</t>
        </r>
      </text>
    </comment>
    <comment ref="Y84" authorId="0" shapeId="0" xr:uid="{00000000-0006-0000-0400-00000A000000}">
      <text>
        <r>
          <rPr>
            <b/>
            <sz val="9"/>
            <color indexed="81"/>
            <rFont val="Tahoma"/>
            <family val="2"/>
          </rPr>
          <t>Christian:</t>
        </r>
        <r>
          <rPr>
            <sz val="9"/>
            <color indexed="81"/>
            <rFont val="Tahoma"/>
            <family val="2"/>
          </rPr>
          <t xml:space="preserve">
NA if fossil</t>
        </r>
      </text>
    </comment>
    <comment ref="Y105" authorId="0" shapeId="0" xr:uid="{00000000-0006-0000-0400-00000B000000}">
      <text>
        <r>
          <rPr>
            <b/>
            <sz val="9"/>
            <color indexed="81"/>
            <rFont val="Tahoma"/>
            <family val="2"/>
          </rPr>
          <t>Christian:</t>
        </r>
        <r>
          <rPr>
            <sz val="9"/>
            <color indexed="81"/>
            <rFont val="Tahoma"/>
            <family val="2"/>
          </rPr>
          <t xml:space="preserve">
NA if fossil</t>
        </r>
      </text>
    </comment>
    <comment ref="AS105" authorId="0" shapeId="0" xr:uid="{00000000-0006-0000-0400-00000C000000}">
      <text>
        <r>
          <rPr>
            <b/>
            <sz val="9"/>
            <color indexed="81"/>
            <rFont val="Tahoma"/>
            <family val="2"/>
          </rPr>
          <t>Christian:</t>
        </r>
        <r>
          <rPr>
            <sz val="9"/>
            <color indexed="81"/>
            <rFont val="Tahoma"/>
            <family val="2"/>
          </rPr>
          <t xml:space="preserve">
Type I here related to MS specific</t>
        </r>
      </text>
    </comment>
    <comment ref="Y106" authorId="0" shapeId="0" xr:uid="{00000000-0006-0000-0400-00000D000000}">
      <text>
        <r>
          <rPr>
            <b/>
            <sz val="9"/>
            <color indexed="81"/>
            <rFont val="Tahoma"/>
            <family val="2"/>
          </rPr>
          <t>Christian:</t>
        </r>
        <r>
          <rPr>
            <sz val="9"/>
            <color indexed="81"/>
            <rFont val="Tahoma"/>
            <family val="2"/>
          </rPr>
          <t xml:space="preserve">
NA if fossil</t>
        </r>
      </text>
    </comment>
    <comment ref="AS106" authorId="0" shapeId="0" xr:uid="{00000000-0006-0000-0400-00000E000000}">
      <text>
        <r>
          <rPr>
            <b/>
            <sz val="9"/>
            <color indexed="81"/>
            <rFont val="Tahoma"/>
            <family val="2"/>
          </rPr>
          <t>Christian:</t>
        </r>
        <r>
          <rPr>
            <sz val="9"/>
            <color indexed="81"/>
            <rFont val="Tahoma"/>
            <family val="2"/>
          </rPr>
          <t xml:space="preserve">
Type I here related to MS specific</t>
        </r>
      </text>
    </comment>
    <comment ref="Y108" authorId="0" shapeId="0" xr:uid="{00000000-0006-0000-0400-00000F000000}">
      <text>
        <r>
          <rPr>
            <b/>
            <sz val="9"/>
            <color indexed="81"/>
            <rFont val="Tahoma"/>
            <family val="2"/>
          </rPr>
          <t>Christian:</t>
        </r>
        <r>
          <rPr>
            <sz val="9"/>
            <color indexed="81"/>
            <rFont val="Tahoma"/>
            <family val="2"/>
          </rPr>
          <t xml:space="preserve">
NA if fossil</t>
        </r>
      </text>
    </comment>
    <comment ref="Y129" authorId="0" shapeId="0" xr:uid="{00000000-0006-0000-0400-000010000000}">
      <text>
        <r>
          <rPr>
            <b/>
            <sz val="9"/>
            <color indexed="81"/>
            <rFont val="Tahoma"/>
            <family val="2"/>
          </rPr>
          <t>Christian:</t>
        </r>
        <r>
          <rPr>
            <sz val="9"/>
            <color indexed="81"/>
            <rFont val="Tahoma"/>
            <family val="2"/>
          </rPr>
          <t xml:space="preserve">
NA if fossil</t>
        </r>
      </text>
    </comment>
    <comment ref="AS129" authorId="0" shapeId="0" xr:uid="{00000000-0006-0000-0400-000011000000}">
      <text>
        <r>
          <rPr>
            <b/>
            <sz val="9"/>
            <color indexed="81"/>
            <rFont val="Tahoma"/>
            <family val="2"/>
          </rPr>
          <t>Christian:</t>
        </r>
        <r>
          <rPr>
            <sz val="9"/>
            <color indexed="81"/>
            <rFont val="Tahoma"/>
            <family val="2"/>
          </rPr>
          <t xml:space="preserve">
Type I here related to MS specific</t>
        </r>
      </text>
    </comment>
    <comment ref="Y130" authorId="0" shapeId="0" xr:uid="{00000000-0006-0000-0400-000012000000}">
      <text>
        <r>
          <rPr>
            <b/>
            <sz val="9"/>
            <color indexed="81"/>
            <rFont val="Tahoma"/>
            <family val="2"/>
          </rPr>
          <t>Christian:</t>
        </r>
        <r>
          <rPr>
            <sz val="9"/>
            <color indexed="81"/>
            <rFont val="Tahoma"/>
            <family val="2"/>
          </rPr>
          <t xml:space="preserve">
NA if fossil</t>
        </r>
      </text>
    </comment>
    <comment ref="AS130" authorId="0" shapeId="0" xr:uid="{00000000-0006-0000-0400-000013000000}">
      <text>
        <r>
          <rPr>
            <b/>
            <sz val="9"/>
            <color indexed="81"/>
            <rFont val="Tahoma"/>
            <family val="2"/>
          </rPr>
          <t>Christian:</t>
        </r>
        <r>
          <rPr>
            <sz val="9"/>
            <color indexed="81"/>
            <rFont val="Tahoma"/>
            <family val="2"/>
          </rPr>
          <t xml:space="preserve">
Type I here related to MS specific</t>
        </r>
      </text>
    </comment>
    <comment ref="Y132" authorId="0" shapeId="0" xr:uid="{00000000-0006-0000-0400-000014000000}">
      <text>
        <r>
          <rPr>
            <b/>
            <sz val="9"/>
            <color indexed="81"/>
            <rFont val="Tahoma"/>
            <family val="2"/>
          </rPr>
          <t>Christian:</t>
        </r>
        <r>
          <rPr>
            <sz val="9"/>
            <color indexed="81"/>
            <rFont val="Tahoma"/>
            <family val="2"/>
          </rPr>
          <t xml:space="preserve">
NA if fossil</t>
        </r>
      </text>
    </comment>
    <comment ref="Y153" authorId="0" shapeId="0" xr:uid="{00000000-0006-0000-0400-000015000000}">
      <text>
        <r>
          <rPr>
            <b/>
            <sz val="9"/>
            <color indexed="81"/>
            <rFont val="Tahoma"/>
            <family val="2"/>
          </rPr>
          <t>Christian:</t>
        </r>
        <r>
          <rPr>
            <sz val="9"/>
            <color indexed="81"/>
            <rFont val="Tahoma"/>
            <family val="2"/>
          </rPr>
          <t xml:space="preserve">
NA if fossil</t>
        </r>
      </text>
    </comment>
    <comment ref="AS153" authorId="0" shapeId="0" xr:uid="{00000000-0006-0000-0400-000016000000}">
      <text>
        <r>
          <rPr>
            <b/>
            <sz val="9"/>
            <color indexed="81"/>
            <rFont val="Tahoma"/>
            <family val="2"/>
          </rPr>
          <t>Christian:</t>
        </r>
        <r>
          <rPr>
            <sz val="9"/>
            <color indexed="81"/>
            <rFont val="Tahoma"/>
            <family val="2"/>
          </rPr>
          <t xml:space="preserve">
Type I here related to MS specific</t>
        </r>
      </text>
    </comment>
    <comment ref="Y154" authorId="0" shapeId="0" xr:uid="{00000000-0006-0000-0400-000017000000}">
      <text>
        <r>
          <rPr>
            <b/>
            <sz val="9"/>
            <color indexed="81"/>
            <rFont val="Tahoma"/>
            <family val="2"/>
          </rPr>
          <t>Christian:</t>
        </r>
        <r>
          <rPr>
            <sz val="9"/>
            <color indexed="81"/>
            <rFont val="Tahoma"/>
            <family val="2"/>
          </rPr>
          <t xml:space="preserve">
NA if fossil</t>
        </r>
      </text>
    </comment>
    <comment ref="AS154" authorId="0" shapeId="0" xr:uid="{00000000-0006-0000-0400-000018000000}">
      <text>
        <r>
          <rPr>
            <b/>
            <sz val="9"/>
            <color indexed="81"/>
            <rFont val="Tahoma"/>
            <family val="2"/>
          </rPr>
          <t>Christian:</t>
        </r>
        <r>
          <rPr>
            <sz val="9"/>
            <color indexed="81"/>
            <rFont val="Tahoma"/>
            <family val="2"/>
          </rPr>
          <t xml:space="preserve">
Type I here related to MS specific</t>
        </r>
      </text>
    </comment>
    <comment ref="Y156" authorId="0" shapeId="0" xr:uid="{00000000-0006-0000-0400-000019000000}">
      <text>
        <r>
          <rPr>
            <b/>
            <sz val="9"/>
            <color indexed="81"/>
            <rFont val="Tahoma"/>
            <family val="2"/>
          </rPr>
          <t>Christian:</t>
        </r>
        <r>
          <rPr>
            <sz val="9"/>
            <color indexed="81"/>
            <rFont val="Tahoma"/>
            <family val="2"/>
          </rPr>
          <t xml:space="preserve">
NA if fossil</t>
        </r>
      </text>
    </comment>
    <comment ref="Y177" authorId="0" shapeId="0" xr:uid="{00000000-0006-0000-0400-00001A000000}">
      <text>
        <r>
          <rPr>
            <b/>
            <sz val="9"/>
            <color indexed="81"/>
            <rFont val="Tahoma"/>
            <family val="2"/>
          </rPr>
          <t>Christian:</t>
        </r>
        <r>
          <rPr>
            <sz val="9"/>
            <color indexed="81"/>
            <rFont val="Tahoma"/>
            <family val="2"/>
          </rPr>
          <t xml:space="preserve">
NA if fossil</t>
        </r>
      </text>
    </comment>
    <comment ref="AS177" authorId="0" shapeId="0" xr:uid="{00000000-0006-0000-0400-00001B000000}">
      <text>
        <r>
          <rPr>
            <b/>
            <sz val="9"/>
            <color indexed="81"/>
            <rFont val="Tahoma"/>
            <family val="2"/>
          </rPr>
          <t>Christian:</t>
        </r>
        <r>
          <rPr>
            <sz val="9"/>
            <color indexed="81"/>
            <rFont val="Tahoma"/>
            <family val="2"/>
          </rPr>
          <t xml:space="preserve">
Type I here related to MS specific</t>
        </r>
      </text>
    </comment>
    <comment ref="Y178" authorId="0" shapeId="0" xr:uid="{00000000-0006-0000-0400-00001C000000}">
      <text>
        <r>
          <rPr>
            <b/>
            <sz val="9"/>
            <color indexed="81"/>
            <rFont val="Tahoma"/>
            <family val="2"/>
          </rPr>
          <t>Christian:</t>
        </r>
        <r>
          <rPr>
            <sz val="9"/>
            <color indexed="81"/>
            <rFont val="Tahoma"/>
            <family val="2"/>
          </rPr>
          <t xml:space="preserve">
NA if fossil</t>
        </r>
      </text>
    </comment>
    <comment ref="AS178" authorId="0" shapeId="0" xr:uid="{00000000-0006-0000-0400-00001D000000}">
      <text>
        <r>
          <rPr>
            <b/>
            <sz val="9"/>
            <color indexed="81"/>
            <rFont val="Tahoma"/>
            <family val="2"/>
          </rPr>
          <t>Christian:</t>
        </r>
        <r>
          <rPr>
            <sz val="9"/>
            <color indexed="81"/>
            <rFont val="Tahoma"/>
            <family val="2"/>
          </rPr>
          <t xml:space="preserve">
Type I here related to MS specific</t>
        </r>
      </text>
    </comment>
    <comment ref="Y180" authorId="0" shapeId="0" xr:uid="{00000000-0006-0000-0400-00001E000000}">
      <text>
        <r>
          <rPr>
            <b/>
            <sz val="9"/>
            <color indexed="81"/>
            <rFont val="Tahoma"/>
            <family val="2"/>
          </rPr>
          <t>Christian:</t>
        </r>
        <r>
          <rPr>
            <sz val="9"/>
            <color indexed="81"/>
            <rFont val="Tahoma"/>
            <family val="2"/>
          </rPr>
          <t xml:space="preserve">
NA if fossil</t>
        </r>
      </text>
    </comment>
    <comment ref="Y201" authorId="0" shapeId="0" xr:uid="{00000000-0006-0000-0400-00001F000000}">
      <text>
        <r>
          <rPr>
            <b/>
            <sz val="9"/>
            <color indexed="81"/>
            <rFont val="Tahoma"/>
            <family val="2"/>
          </rPr>
          <t>Christian:</t>
        </r>
        <r>
          <rPr>
            <sz val="9"/>
            <color indexed="81"/>
            <rFont val="Tahoma"/>
            <family val="2"/>
          </rPr>
          <t xml:space="preserve">
NA if fossil</t>
        </r>
      </text>
    </comment>
    <comment ref="AS201" authorId="0" shapeId="0" xr:uid="{00000000-0006-0000-0400-000020000000}">
      <text>
        <r>
          <rPr>
            <b/>
            <sz val="9"/>
            <color indexed="81"/>
            <rFont val="Tahoma"/>
            <family val="2"/>
          </rPr>
          <t>Christian:</t>
        </r>
        <r>
          <rPr>
            <sz val="9"/>
            <color indexed="81"/>
            <rFont val="Tahoma"/>
            <family val="2"/>
          </rPr>
          <t xml:space="preserve">
Type I here related to MS specific</t>
        </r>
      </text>
    </comment>
    <comment ref="Y202" authorId="0" shapeId="0" xr:uid="{00000000-0006-0000-0400-000021000000}">
      <text>
        <r>
          <rPr>
            <b/>
            <sz val="9"/>
            <color indexed="81"/>
            <rFont val="Tahoma"/>
            <family val="2"/>
          </rPr>
          <t>Christian:</t>
        </r>
        <r>
          <rPr>
            <sz val="9"/>
            <color indexed="81"/>
            <rFont val="Tahoma"/>
            <family val="2"/>
          </rPr>
          <t xml:space="preserve">
NA if fossil</t>
        </r>
      </text>
    </comment>
    <comment ref="AS202" authorId="0" shapeId="0" xr:uid="{00000000-0006-0000-0400-000022000000}">
      <text>
        <r>
          <rPr>
            <b/>
            <sz val="9"/>
            <color indexed="81"/>
            <rFont val="Tahoma"/>
            <family val="2"/>
          </rPr>
          <t>Christian:</t>
        </r>
        <r>
          <rPr>
            <sz val="9"/>
            <color indexed="81"/>
            <rFont val="Tahoma"/>
            <family val="2"/>
          </rPr>
          <t xml:space="preserve">
Type I here related to MS specific</t>
        </r>
      </text>
    </comment>
    <comment ref="Y204" authorId="0" shapeId="0" xr:uid="{00000000-0006-0000-0400-000023000000}">
      <text>
        <r>
          <rPr>
            <b/>
            <sz val="9"/>
            <color indexed="81"/>
            <rFont val="Tahoma"/>
            <family val="2"/>
          </rPr>
          <t>Christian:</t>
        </r>
        <r>
          <rPr>
            <sz val="9"/>
            <color indexed="81"/>
            <rFont val="Tahoma"/>
            <family val="2"/>
          </rPr>
          <t xml:space="preserve">
NA if fossil</t>
        </r>
      </text>
    </comment>
    <comment ref="Y225" authorId="0" shapeId="0" xr:uid="{00000000-0006-0000-0400-000024000000}">
      <text>
        <r>
          <rPr>
            <b/>
            <sz val="9"/>
            <color indexed="81"/>
            <rFont val="Tahoma"/>
            <family val="2"/>
          </rPr>
          <t>Christian:</t>
        </r>
        <r>
          <rPr>
            <sz val="9"/>
            <color indexed="81"/>
            <rFont val="Tahoma"/>
            <family val="2"/>
          </rPr>
          <t xml:space="preserve">
NA if fossil</t>
        </r>
      </text>
    </comment>
    <comment ref="AS225" authorId="0" shapeId="0" xr:uid="{00000000-0006-0000-0400-000025000000}">
      <text>
        <r>
          <rPr>
            <b/>
            <sz val="9"/>
            <color indexed="81"/>
            <rFont val="Tahoma"/>
            <family val="2"/>
          </rPr>
          <t>Christian:</t>
        </r>
        <r>
          <rPr>
            <sz val="9"/>
            <color indexed="81"/>
            <rFont val="Tahoma"/>
            <family val="2"/>
          </rPr>
          <t xml:space="preserve">
Type I here related to MS specific</t>
        </r>
      </text>
    </comment>
    <comment ref="Y226" authorId="0" shapeId="0" xr:uid="{00000000-0006-0000-0400-000026000000}">
      <text>
        <r>
          <rPr>
            <b/>
            <sz val="9"/>
            <color indexed="81"/>
            <rFont val="Tahoma"/>
            <family val="2"/>
          </rPr>
          <t>Christian:</t>
        </r>
        <r>
          <rPr>
            <sz val="9"/>
            <color indexed="81"/>
            <rFont val="Tahoma"/>
            <family val="2"/>
          </rPr>
          <t xml:space="preserve">
NA if fossil</t>
        </r>
      </text>
    </comment>
    <comment ref="AS226" authorId="0" shapeId="0" xr:uid="{00000000-0006-0000-0400-000027000000}">
      <text>
        <r>
          <rPr>
            <b/>
            <sz val="9"/>
            <color indexed="81"/>
            <rFont val="Tahoma"/>
            <family val="2"/>
          </rPr>
          <t>Christian:</t>
        </r>
        <r>
          <rPr>
            <sz val="9"/>
            <color indexed="81"/>
            <rFont val="Tahoma"/>
            <family val="2"/>
          </rPr>
          <t xml:space="preserve">
Type I here related to MS specific</t>
        </r>
      </text>
    </comment>
    <comment ref="Y228" authorId="0" shapeId="0" xr:uid="{00000000-0006-0000-0400-000028000000}">
      <text>
        <r>
          <rPr>
            <b/>
            <sz val="9"/>
            <color indexed="81"/>
            <rFont val="Tahoma"/>
            <family val="2"/>
          </rPr>
          <t>Christian:</t>
        </r>
        <r>
          <rPr>
            <sz val="9"/>
            <color indexed="81"/>
            <rFont val="Tahoma"/>
            <family val="2"/>
          </rPr>
          <t xml:space="preserve">
NA if fossil</t>
        </r>
      </text>
    </comment>
    <comment ref="Y249" authorId="0" shapeId="0" xr:uid="{00000000-0006-0000-0400-000029000000}">
      <text>
        <r>
          <rPr>
            <b/>
            <sz val="9"/>
            <color indexed="81"/>
            <rFont val="Tahoma"/>
            <family val="2"/>
          </rPr>
          <t>Christian:</t>
        </r>
        <r>
          <rPr>
            <sz val="9"/>
            <color indexed="81"/>
            <rFont val="Tahoma"/>
            <family val="2"/>
          </rPr>
          <t xml:space="preserve">
NA if fossil</t>
        </r>
      </text>
    </comment>
    <comment ref="AS249" authorId="0" shapeId="0" xr:uid="{00000000-0006-0000-0400-00002A000000}">
      <text>
        <r>
          <rPr>
            <b/>
            <sz val="9"/>
            <color indexed="81"/>
            <rFont val="Tahoma"/>
            <family val="2"/>
          </rPr>
          <t>Christian:</t>
        </r>
        <r>
          <rPr>
            <sz val="9"/>
            <color indexed="81"/>
            <rFont val="Tahoma"/>
            <family val="2"/>
          </rPr>
          <t xml:space="preserve">
Type I here related to MS specific</t>
        </r>
      </text>
    </comment>
    <comment ref="Y250" authorId="0" shapeId="0" xr:uid="{00000000-0006-0000-0400-00002B000000}">
      <text>
        <r>
          <rPr>
            <b/>
            <sz val="9"/>
            <color indexed="81"/>
            <rFont val="Tahoma"/>
            <family val="2"/>
          </rPr>
          <t>Christian:</t>
        </r>
        <r>
          <rPr>
            <sz val="9"/>
            <color indexed="81"/>
            <rFont val="Tahoma"/>
            <family val="2"/>
          </rPr>
          <t xml:space="preserve">
NA if fossil</t>
        </r>
      </text>
    </comment>
    <comment ref="AS250" authorId="0" shapeId="0" xr:uid="{00000000-0006-0000-0400-00002C000000}">
      <text>
        <r>
          <rPr>
            <b/>
            <sz val="9"/>
            <color indexed="81"/>
            <rFont val="Tahoma"/>
            <family val="2"/>
          </rPr>
          <t>Christian:</t>
        </r>
        <r>
          <rPr>
            <sz val="9"/>
            <color indexed="81"/>
            <rFont val="Tahoma"/>
            <family val="2"/>
          </rPr>
          <t xml:space="preserve">
Type I here related to MS specific</t>
        </r>
      </text>
    </comment>
    <comment ref="Y252" authorId="0" shapeId="0" xr:uid="{00000000-0006-0000-0400-00002D000000}">
      <text>
        <r>
          <rPr>
            <b/>
            <sz val="9"/>
            <color indexed="81"/>
            <rFont val="Tahoma"/>
            <family val="2"/>
          </rPr>
          <t>Christian:</t>
        </r>
        <r>
          <rPr>
            <sz val="9"/>
            <color indexed="81"/>
            <rFont val="Tahoma"/>
            <family val="2"/>
          </rPr>
          <t xml:space="preserve">
NA if fossil</t>
        </r>
      </text>
    </comment>
    <comment ref="Y273" authorId="0" shapeId="0" xr:uid="{00000000-0006-0000-0400-00002E000000}">
      <text>
        <r>
          <rPr>
            <b/>
            <sz val="9"/>
            <color indexed="81"/>
            <rFont val="Tahoma"/>
            <family val="2"/>
          </rPr>
          <t>Christian:</t>
        </r>
        <r>
          <rPr>
            <sz val="9"/>
            <color indexed="81"/>
            <rFont val="Tahoma"/>
            <family val="2"/>
          </rPr>
          <t xml:space="preserve">
NA if fossil</t>
        </r>
      </text>
    </comment>
    <comment ref="AS273" authorId="0" shapeId="0" xr:uid="{00000000-0006-0000-0400-00002F000000}">
      <text>
        <r>
          <rPr>
            <b/>
            <sz val="9"/>
            <color indexed="81"/>
            <rFont val="Tahoma"/>
            <family val="2"/>
          </rPr>
          <t>Christian:</t>
        </r>
        <r>
          <rPr>
            <sz val="9"/>
            <color indexed="81"/>
            <rFont val="Tahoma"/>
            <family val="2"/>
          </rPr>
          <t xml:space="preserve">
Type I here related to MS specific</t>
        </r>
      </text>
    </comment>
    <comment ref="Y274" authorId="0" shapeId="0" xr:uid="{00000000-0006-0000-0400-000030000000}">
      <text>
        <r>
          <rPr>
            <b/>
            <sz val="9"/>
            <color indexed="81"/>
            <rFont val="Tahoma"/>
            <family val="2"/>
          </rPr>
          <t>Christian:</t>
        </r>
        <r>
          <rPr>
            <sz val="9"/>
            <color indexed="81"/>
            <rFont val="Tahoma"/>
            <family val="2"/>
          </rPr>
          <t xml:space="preserve">
NA if fossil</t>
        </r>
      </text>
    </comment>
    <comment ref="AS274" authorId="0" shapeId="0" xr:uid="{00000000-0006-0000-0400-000031000000}">
      <text>
        <r>
          <rPr>
            <b/>
            <sz val="9"/>
            <color indexed="81"/>
            <rFont val="Tahoma"/>
            <family val="2"/>
          </rPr>
          <t>Christian:</t>
        </r>
        <r>
          <rPr>
            <sz val="9"/>
            <color indexed="81"/>
            <rFont val="Tahoma"/>
            <family val="2"/>
          </rPr>
          <t xml:space="preserve">
Type I here related to MS specific</t>
        </r>
      </text>
    </comment>
    <comment ref="Y276" authorId="0" shapeId="0" xr:uid="{00000000-0006-0000-0400-000032000000}">
      <text>
        <r>
          <rPr>
            <b/>
            <sz val="9"/>
            <color indexed="81"/>
            <rFont val="Tahoma"/>
            <family val="2"/>
          </rPr>
          <t>Christian:</t>
        </r>
        <r>
          <rPr>
            <sz val="9"/>
            <color indexed="81"/>
            <rFont val="Tahoma"/>
            <family val="2"/>
          </rPr>
          <t xml:space="preserve">
NA if fossil</t>
        </r>
      </text>
    </comment>
    <comment ref="Y297" authorId="0" shapeId="0" xr:uid="{00000000-0006-0000-0400-000033000000}">
      <text>
        <r>
          <rPr>
            <b/>
            <sz val="9"/>
            <color indexed="81"/>
            <rFont val="Tahoma"/>
            <family val="2"/>
          </rPr>
          <t>Christian:</t>
        </r>
        <r>
          <rPr>
            <sz val="9"/>
            <color indexed="81"/>
            <rFont val="Tahoma"/>
            <family val="2"/>
          </rPr>
          <t xml:space="preserve">
NA if fossil</t>
        </r>
      </text>
    </comment>
    <comment ref="AS297" authorId="0" shapeId="0" xr:uid="{00000000-0006-0000-0400-000034000000}">
      <text>
        <r>
          <rPr>
            <b/>
            <sz val="9"/>
            <color indexed="81"/>
            <rFont val="Tahoma"/>
            <family val="2"/>
          </rPr>
          <t>Christian:</t>
        </r>
        <r>
          <rPr>
            <sz val="9"/>
            <color indexed="81"/>
            <rFont val="Tahoma"/>
            <family val="2"/>
          </rPr>
          <t xml:space="preserve">
Type I here related to MS specific</t>
        </r>
      </text>
    </comment>
    <comment ref="Y298" authorId="0" shapeId="0" xr:uid="{00000000-0006-0000-0400-000035000000}">
      <text>
        <r>
          <rPr>
            <b/>
            <sz val="9"/>
            <color indexed="81"/>
            <rFont val="Tahoma"/>
            <family val="2"/>
          </rPr>
          <t>Christian:</t>
        </r>
        <r>
          <rPr>
            <sz val="9"/>
            <color indexed="81"/>
            <rFont val="Tahoma"/>
            <family val="2"/>
          </rPr>
          <t xml:space="preserve">
NA if fossil</t>
        </r>
      </text>
    </comment>
    <comment ref="AS298" authorId="0" shapeId="0" xr:uid="{00000000-0006-0000-0400-000036000000}">
      <text>
        <r>
          <rPr>
            <b/>
            <sz val="9"/>
            <color indexed="81"/>
            <rFont val="Tahoma"/>
            <family val="2"/>
          </rPr>
          <t>Christian:</t>
        </r>
        <r>
          <rPr>
            <sz val="9"/>
            <color indexed="81"/>
            <rFont val="Tahoma"/>
            <family val="2"/>
          </rPr>
          <t xml:space="preserve">
Type I here related to MS specific</t>
        </r>
      </text>
    </comment>
    <comment ref="Y300" authorId="0" shapeId="0" xr:uid="{00000000-0006-0000-0400-000037000000}">
      <text>
        <r>
          <rPr>
            <b/>
            <sz val="9"/>
            <color indexed="81"/>
            <rFont val="Tahoma"/>
            <family val="2"/>
          </rPr>
          <t>Christian:</t>
        </r>
        <r>
          <rPr>
            <sz val="9"/>
            <color indexed="81"/>
            <rFont val="Tahoma"/>
            <family val="2"/>
          </rPr>
          <t xml:space="preserve">
NA if fossil</t>
        </r>
      </text>
    </comment>
    <comment ref="Y321" authorId="0" shapeId="0" xr:uid="{00000000-0006-0000-0400-000038000000}">
      <text>
        <r>
          <rPr>
            <b/>
            <sz val="9"/>
            <color indexed="81"/>
            <rFont val="Tahoma"/>
            <family val="2"/>
          </rPr>
          <t>Christian:</t>
        </r>
        <r>
          <rPr>
            <sz val="9"/>
            <color indexed="81"/>
            <rFont val="Tahoma"/>
            <family val="2"/>
          </rPr>
          <t xml:space="preserve">
NA if fossil</t>
        </r>
      </text>
    </comment>
    <comment ref="AS321" authorId="0" shapeId="0" xr:uid="{00000000-0006-0000-0400-000039000000}">
      <text>
        <r>
          <rPr>
            <b/>
            <sz val="9"/>
            <color indexed="81"/>
            <rFont val="Tahoma"/>
            <family val="2"/>
          </rPr>
          <t>Christian:</t>
        </r>
        <r>
          <rPr>
            <sz val="9"/>
            <color indexed="81"/>
            <rFont val="Tahoma"/>
            <family val="2"/>
          </rPr>
          <t xml:space="preserve">
Type I here related to MS specific</t>
        </r>
      </text>
    </comment>
    <comment ref="Y322" authorId="0" shapeId="0" xr:uid="{00000000-0006-0000-0400-00003A000000}">
      <text>
        <r>
          <rPr>
            <b/>
            <sz val="9"/>
            <color indexed="81"/>
            <rFont val="Tahoma"/>
            <family val="2"/>
          </rPr>
          <t>Christian:</t>
        </r>
        <r>
          <rPr>
            <sz val="9"/>
            <color indexed="81"/>
            <rFont val="Tahoma"/>
            <family val="2"/>
          </rPr>
          <t xml:space="preserve">
NA if fossil</t>
        </r>
      </text>
    </comment>
    <comment ref="AS322" authorId="0" shapeId="0" xr:uid="{00000000-0006-0000-0400-00003B000000}">
      <text>
        <r>
          <rPr>
            <b/>
            <sz val="9"/>
            <color indexed="81"/>
            <rFont val="Tahoma"/>
            <family val="2"/>
          </rPr>
          <t>Christian:</t>
        </r>
        <r>
          <rPr>
            <sz val="9"/>
            <color indexed="81"/>
            <rFont val="Tahoma"/>
            <family val="2"/>
          </rPr>
          <t xml:space="preserve">
Type I here related to MS specific</t>
        </r>
      </text>
    </comment>
    <comment ref="Y324" authorId="0" shapeId="0" xr:uid="{00000000-0006-0000-0400-00003C000000}">
      <text>
        <r>
          <rPr>
            <b/>
            <sz val="9"/>
            <color indexed="81"/>
            <rFont val="Tahoma"/>
            <family val="2"/>
          </rPr>
          <t>Christian:</t>
        </r>
        <r>
          <rPr>
            <sz val="9"/>
            <color indexed="81"/>
            <rFont val="Tahoma"/>
            <family val="2"/>
          </rPr>
          <t xml:space="preserve">
NA if fossil</t>
        </r>
      </text>
    </comment>
    <comment ref="Y345" authorId="0" shapeId="0" xr:uid="{00000000-0006-0000-0400-00003D000000}">
      <text>
        <r>
          <rPr>
            <b/>
            <sz val="9"/>
            <color indexed="81"/>
            <rFont val="Tahoma"/>
            <family val="2"/>
          </rPr>
          <t>Christian:</t>
        </r>
        <r>
          <rPr>
            <sz val="9"/>
            <color indexed="81"/>
            <rFont val="Tahoma"/>
            <family val="2"/>
          </rPr>
          <t xml:space="preserve">
NA if fossil</t>
        </r>
      </text>
    </comment>
    <comment ref="AS345" authorId="0" shapeId="0" xr:uid="{00000000-0006-0000-0400-00003E000000}">
      <text>
        <r>
          <rPr>
            <b/>
            <sz val="9"/>
            <color indexed="81"/>
            <rFont val="Tahoma"/>
            <family val="2"/>
          </rPr>
          <t>Christian:</t>
        </r>
        <r>
          <rPr>
            <sz val="9"/>
            <color indexed="81"/>
            <rFont val="Tahoma"/>
            <family val="2"/>
          </rPr>
          <t xml:space="preserve">
Type I here related to MS specific</t>
        </r>
      </text>
    </comment>
    <comment ref="Y346" authorId="0" shapeId="0" xr:uid="{00000000-0006-0000-0400-00003F000000}">
      <text>
        <r>
          <rPr>
            <b/>
            <sz val="9"/>
            <color indexed="81"/>
            <rFont val="Tahoma"/>
            <family val="2"/>
          </rPr>
          <t>Christian:</t>
        </r>
        <r>
          <rPr>
            <sz val="9"/>
            <color indexed="81"/>
            <rFont val="Tahoma"/>
            <family val="2"/>
          </rPr>
          <t xml:space="preserve">
NA if fossil</t>
        </r>
      </text>
    </comment>
    <comment ref="AS346" authorId="0" shapeId="0" xr:uid="{00000000-0006-0000-0400-000040000000}">
      <text>
        <r>
          <rPr>
            <b/>
            <sz val="9"/>
            <color indexed="81"/>
            <rFont val="Tahoma"/>
            <family val="2"/>
          </rPr>
          <t>Christian:</t>
        </r>
        <r>
          <rPr>
            <sz val="9"/>
            <color indexed="81"/>
            <rFont val="Tahoma"/>
            <family val="2"/>
          </rPr>
          <t xml:space="preserve">
Type I here related to MS specific</t>
        </r>
      </text>
    </comment>
    <comment ref="Y348" authorId="0" shapeId="0" xr:uid="{00000000-0006-0000-0400-000041000000}">
      <text>
        <r>
          <rPr>
            <b/>
            <sz val="9"/>
            <color indexed="81"/>
            <rFont val="Tahoma"/>
            <family val="2"/>
          </rPr>
          <t>Christian:</t>
        </r>
        <r>
          <rPr>
            <sz val="9"/>
            <color indexed="81"/>
            <rFont val="Tahoma"/>
            <family val="2"/>
          </rPr>
          <t xml:space="preserve">
NA if fossil</t>
        </r>
      </text>
    </comment>
    <comment ref="Y369" authorId="0" shapeId="0" xr:uid="{00000000-0006-0000-0400-000042000000}">
      <text>
        <r>
          <rPr>
            <b/>
            <sz val="9"/>
            <color indexed="81"/>
            <rFont val="Tahoma"/>
            <family val="2"/>
          </rPr>
          <t>Christian:</t>
        </r>
        <r>
          <rPr>
            <sz val="9"/>
            <color indexed="81"/>
            <rFont val="Tahoma"/>
            <family val="2"/>
          </rPr>
          <t xml:space="preserve">
NA if fossil</t>
        </r>
      </text>
    </comment>
    <comment ref="AS369" authorId="0" shapeId="0" xr:uid="{00000000-0006-0000-0400-000043000000}">
      <text>
        <r>
          <rPr>
            <b/>
            <sz val="9"/>
            <color indexed="81"/>
            <rFont val="Tahoma"/>
            <family val="2"/>
          </rPr>
          <t>Christian:</t>
        </r>
        <r>
          <rPr>
            <sz val="9"/>
            <color indexed="81"/>
            <rFont val="Tahoma"/>
            <family val="2"/>
          </rPr>
          <t xml:space="preserve">
Type I here related to MS specific</t>
        </r>
      </text>
    </comment>
    <comment ref="Y370" authorId="0" shapeId="0" xr:uid="{00000000-0006-0000-0400-000044000000}">
      <text>
        <r>
          <rPr>
            <b/>
            <sz val="9"/>
            <color indexed="81"/>
            <rFont val="Tahoma"/>
            <family val="2"/>
          </rPr>
          <t>Christian:</t>
        </r>
        <r>
          <rPr>
            <sz val="9"/>
            <color indexed="81"/>
            <rFont val="Tahoma"/>
            <family val="2"/>
          </rPr>
          <t xml:space="preserve">
NA if fossil</t>
        </r>
      </text>
    </comment>
    <comment ref="AS370" authorId="0" shapeId="0" xr:uid="{00000000-0006-0000-0400-000045000000}">
      <text>
        <r>
          <rPr>
            <b/>
            <sz val="9"/>
            <color indexed="81"/>
            <rFont val="Tahoma"/>
            <family val="2"/>
          </rPr>
          <t>Christian:</t>
        </r>
        <r>
          <rPr>
            <sz val="9"/>
            <color indexed="81"/>
            <rFont val="Tahoma"/>
            <family val="2"/>
          </rPr>
          <t xml:space="preserve">
Type I here related to MS specific</t>
        </r>
      </text>
    </comment>
    <comment ref="Y372" authorId="0" shapeId="0" xr:uid="{00000000-0006-0000-0400-000046000000}">
      <text>
        <r>
          <rPr>
            <b/>
            <sz val="9"/>
            <color indexed="81"/>
            <rFont val="Tahoma"/>
            <family val="2"/>
          </rPr>
          <t>Christian:</t>
        </r>
        <r>
          <rPr>
            <sz val="9"/>
            <color indexed="81"/>
            <rFont val="Tahoma"/>
            <family val="2"/>
          </rPr>
          <t xml:space="preserve">
NA if fossil</t>
        </r>
      </text>
    </comment>
    <comment ref="Y393" authorId="0" shapeId="0" xr:uid="{00000000-0006-0000-0400-000047000000}">
      <text>
        <r>
          <rPr>
            <b/>
            <sz val="9"/>
            <color indexed="81"/>
            <rFont val="Tahoma"/>
            <family val="2"/>
          </rPr>
          <t>Christian:</t>
        </r>
        <r>
          <rPr>
            <sz val="9"/>
            <color indexed="81"/>
            <rFont val="Tahoma"/>
            <family val="2"/>
          </rPr>
          <t xml:space="preserve">
NA if fossil</t>
        </r>
      </text>
    </comment>
    <comment ref="AS393" authorId="0" shapeId="0" xr:uid="{00000000-0006-0000-0400-000048000000}">
      <text>
        <r>
          <rPr>
            <b/>
            <sz val="9"/>
            <color indexed="81"/>
            <rFont val="Tahoma"/>
            <family val="2"/>
          </rPr>
          <t>Christian:</t>
        </r>
        <r>
          <rPr>
            <sz val="9"/>
            <color indexed="81"/>
            <rFont val="Tahoma"/>
            <family val="2"/>
          </rPr>
          <t xml:space="preserve">
Type I here related to MS specific</t>
        </r>
      </text>
    </comment>
    <comment ref="Y394" authorId="0" shapeId="0" xr:uid="{00000000-0006-0000-0400-000049000000}">
      <text>
        <r>
          <rPr>
            <b/>
            <sz val="9"/>
            <color indexed="81"/>
            <rFont val="Tahoma"/>
            <family val="2"/>
          </rPr>
          <t>Christian:</t>
        </r>
        <r>
          <rPr>
            <sz val="9"/>
            <color indexed="81"/>
            <rFont val="Tahoma"/>
            <family val="2"/>
          </rPr>
          <t xml:space="preserve">
NA if fossil</t>
        </r>
      </text>
    </comment>
    <comment ref="AS394" authorId="0" shapeId="0" xr:uid="{00000000-0006-0000-0400-00004A000000}">
      <text>
        <r>
          <rPr>
            <b/>
            <sz val="9"/>
            <color indexed="81"/>
            <rFont val="Tahoma"/>
            <family val="2"/>
          </rPr>
          <t>Christian:</t>
        </r>
        <r>
          <rPr>
            <sz val="9"/>
            <color indexed="81"/>
            <rFont val="Tahoma"/>
            <family val="2"/>
          </rPr>
          <t xml:space="preserve">
Type I here related to MS specific</t>
        </r>
      </text>
    </comment>
    <comment ref="Y396" authorId="0" shapeId="0" xr:uid="{00000000-0006-0000-0400-00004B000000}">
      <text>
        <r>
          <rPr>
            <b/>
            <sz val="9"/>
            <color indexed="81"/>
            <rFont val="Tahoma"/>
            <family val="2"/>
          </rPr>
          <t>Christian:</t>
        </r>
        <r>
          <rPr>
            <sz val="9"/>
            <color indexed="81"/>
            <rFont val="Tahoma"/>
            <family val="2"/>
          </rPr>
          <t xml:space="preserve">
NA if fossil</t>
        </r>
      </text>
    </comment>
    <comment ref="Y417" authorId="0" shapeId="0" xr:uid="{00000000-0006-0000-0400-00004C000000}">
      <text>
        <r>
          <rPr>
            <b/>
            <sz val="9"/>
            <color indexed="81"/>
            <rFont val="Tahoma"/>
            <family val="2"/>
          </rPr>
          <t>Christian:</t>
        </r>
        <r>
          <rPr>
            <sz val="9"/>
            <color indexed="81"/>
            <rFont val="Tahoma"/>
            <family val="2"/>
          </rPr>
          <t xml:space="preserve">
NA if fossil</t>
        </r>
      </text>
    </comment>
    <comment ref="AS417" authorId="0" shapeId="0" xr:uid="{00000000-0006-0000-0400-00004D000000}">
      <text>
        <r>
          <rPr>
            <b/>
            <sz val="9"/>
            <color indexed="81"/>
            <rFont val="Tahoma"/>
            <family val="2"/>
          </rPr>
          <t>Christian:</t>
        </r>
        <r>
          <rPr>
            <sz val="9"/>
            <color indexed="81"/>
            <rFont val="Tahoma"/>
            <family val="2"/>
          </rPr>
          <t xml:space="preserve">
Type I here related to MS specific</t>
        </r>
      </text>
    </comment>
    <comment ref="Y418" authorId="0" shapeId="0" xr:uid="{00000000-0006-0000-0400-00004E000000}">
      <text>
        <r>
          <rPr>
            <b/>
            <sz val="9"/>
            <color indexed="81"/>
            <rFont val="Tahoma"/>
            <family val="2"/>
          </rPr>
          <t>Christian:</t>
        </r>
        <r>
          <rPr>
            <sz val="9"/>
            <color indexed="81"/>
            <rFont val="Tahoma"/>
            <family val="2"/>
          </rPr>
          <t xml:space="preserve">
NA if fossil</t>
        </r>
      </text>
    </comment>
    <comment ref="AS418" authorId="0" shapeId="0" xr:uid="{00000000-0006-0000-0400-00004F000000}">
      <text>
        <r>
          <rPr>
            <b/>
            <sz val="9"/>
            <color indexed="81"/>
            <rFont val="Tahoma"/>
            <family val="2"/>
          </rPr>
          <t>Christian:</t>
        </r>
        <r>
          <rPr>
            <sz val="9"/>
            <color indexed="81"/>
            <rFont val="Tahoma"/>
            <family val="2"/>
          </rPr>
          <t xml:space="preserve">
Type I here related to MS specific</t>
        </r>
      </text>
    </comment>
    <comment ref="Y420" authorId="0" shapeId="0" xr:uid="{00000000-0006-0000-0400-000050000000}">
      <text>
        <r>
          <rPr>
            <b/>
            <sz val="9"/>
            <color indexed="81"/>
            <rFont val="Tahoma"/>
            <family val="2"/>
          </rPr>
          <t>Christian:</t>
        </r>
        <r>
          <rPr>
            <sz val="9"/>
            <color indexed="81"/>
            <rFont val="Tahoma"/>
            <family val="2"/>
          </rPr>
          <t xml:space="preserve">
NA if fossil</t>
        </r>
      </text>
    </comment>
    <comment ref="Y441" authorId="0" shapeId="0" xr:uid="{00000000-0006-0000-0400-000051000000}">
      <text>
        <r>
          <rPr>
            <b/>
            <sz val="9"/>
            <color indexed="81"/>
            <rFont val="Tahoma"/>
            <family val="2"/>
          </rPr>
          <t>Christian:</t>
        </r>
        <r>
          <rPr>
            <sz val="9"/>
            <color indexed="81"/>
            <rFont val="Tahoma"/>
            <family val="2"/>
          </rPr>
          <t xml:space="preserve">
NA if fossil</t>
        </r>
      </text>
    </comment>
    <comment ref="AS441" authorId="0" shapeId="0" xr:uid="{00000000-0006-0000-0400-000052000000}">
      <text>
        <r>
          <rPr>
            <b/>
            <sz val="9"/>
            <color indexed="81"/>
            <rFont val="Tahoma"/>
            <family val="2"/>
          </rPr>
          <t>Christian:</t>
        </r>
        <r>
          <rPr>
            <sz val="9"/>
            <color indexed="81"/>
            <rFont val="Tahoma"/>
            <family val="2"/>
          </rPr>
          <t xml:space="preserve">
Type I here related to MS specific</t>
        </r>
      </text>
    </comment>
    <comment ref="Y442" authorId="0" shapeId="0" xr:uid="{00000000-0006-0000-0400-000053000000}">
      <text>
        <r>
          <rPr>
            <b/>
            <sz val="9"/>
            <color indexed="81"/>
            <rFont val="Tahoma"/>
            <family val="2"/>
          </rPr>
          <t>Christian:</t>
        </r>
        <r>
          <rPr>
            <sz val="9"/>
            <color indexed="81"/>
            <rFont val="Tahoma"/>
            <family val="2"/>
          </rPr>
          <t xml:space="preserve">
NA if fossil</t>
        </r>
      </text>
    </comment>
    <comment ref="AS442" authorId="0" shapeId="0" xr:uid="{00000000-0006-0000-0400-000054000000}">
      <text>
        <r>
          <rPr>
            <b/>
            <sz val="9"/>
            <color indexed="81"/>
            <rFont val="Tahoma"/>
            <family val="2"/>
          </rPr>
          <t>Christian:</t>
        </r>
        <r>
          <rPr>
            <sz val="9"/>
            <color indexed="81"/>
            <rFont val="Tahoma"/>
            <family val="2"/>
          </rPr>
          <t xml:space="preserve">
Type I here related to MS specific</t>
        </r>
      </text>
    </comment>
    <comment ref="Y444" authorId="0" shapeId="0" xr:uid="{00000000-0006-0000-0400-000055000000}">
      <text>
        <r>
          <rPr>
            <b/>
            <sz val="9"/>
            <color indexed="81"/>
            <rFont val="Tahoma"/>
            <family val="2"/>
          </rPr>
          <t>Christian:</t>
        </r>
        <r>
          <rPr>
            <sz val="9"/>
            <color indexed="81"/>
            <rFont val="Tahoma"/>
            <family val="2"/>
          </rPr>
          <t xml:space="preserve">
NA if fossil</t>
        </r>
      </text>
    </comment>
    <comment ref="Y465" authorId="0" shapeId="0" xr:uid="{00000000-0006-0000-0400-000056000000}">
      <text>
        <r>
          <rPr>
            <b/>
            <sz val="9"/>
            <color indexed="81"/>
            <rFont val="Tahoma"/>
            <family val="2"/>
          </rPr>
          <t>Christian:</t>
        </r>
        <r>
          <rPr>
            <sz val="9"/>
            <color indexed="81"/>
            <rFont val="Tahoma"/>
            <family val="2"/>
          </rPr>
          <t xml:space="preserve">
NA if fossil</t>
        </r>
      </text>
    </comment>
    <comment ref="AS465" authorId="0" shapeId="0" xr:uid="{00000000-0006-0000-0400-000057000000}">
      <text>
        <r>
          <rPr>
            <b/>
            <sz val="9"/>
            <color indexed="81"/>
            <rFont val="Tahoma"/>
            <family val="2"/>
          </rPr>
          <t>Christian:</t>
        </r>
        <r>
          <rPr>
            <sz val="9"/>
            <color indexed="81"/>
            <rFont val="Tahoma"/>
            <family val="2"/>
          </rPr>
          <t xml:space="preserve">
Type I here related to MS specific</t>
        </r>
      </text>
    </comment>
    <comment ref="Y466" authorId="0" shapeId="0" xr:uid="{00000000-0006-0000-0400-000058000000}">
      <text>
        <r>
          <rPr>
            <b/>
            <sz val="9"/>
            <color indexed="81"/>
            <rFont val="Tahoma"/>
            <family val="2"/>
          </rPr>
          <t>Christian:</t>
        </r>
        <r>
          <rPr>
            <sz val="9"/>
            <color indexed="81"/>
            <rFont val="Tahoma"/>
            <family val="2"/>
          </rPr>
          <t xml:space="preserve">
NA if fossil</t>
        </r>
      </text>
    </comment>
    <comment ref="AS466" authorId="0" shapeId="0" xr:uid="{00000000-0006-0000-0400-000059000000}">
      <text>
        <r>
          <rPr>
            <b/>
            <sz val="9"/>
            <color indexed="81"/>
            <rFont val="Tahoma"/>
            <family val="2"/>
          </rPr>
          <t>Christian:</t>
        </r>
        <r>
          <rPr>
            <sz val="9"/>
            <color indexed="81"/>
            <rFont val="Tahoma"/>
            <family val="2"/>
          </rPr>
          <t xml:space="preserve">
Type I here related to MS specific</t>
        </r>
      </text>
    </comment>
    <comment ref="Y468" authorId="0" shapeId="0" xr:uid="{00000000-0006-0000-0400-00005A000000}">
      <text>
        <r>
          <rPr>
            <b/>
            <sz val="9"/>
            <color indexed="81"/>
            <rFont val="Tahoma"/>
            <family val="2"/>
          </rPr>
          <t>Christian:</t>
        </r>
        <r>
          <rPr>
            <sz val="9"/>
            <color indexed="81"/>
            <rFont val="Tahoma"/>
            <family val="2"/>
          </rPr>
          <t xml:space="preserve">
NA if fossil</t>
        </r>
      </text>
    </comment>
    <comment ref="Y489" authorId="0" shapeId="0" xr:uid="{00000000-0006-0000-0400-00005B000000}">
      <text>
        <r>
          <rPr>
            <b/>
            <sz val="9"/>
            <color indexed="81"/>
            <rFont val="Tahoma"/>
            <family val="2"/>
          </rPr>
          <t>Christian:</t>
        </r>
        <r>
          <rPr>
            <sz val="9"/>
            <color indexed="81"/>
            <rFont val="Tahoma"/>
            <family val="2"/>
          </rPr>
          <t xml:space="preserve">
NA if fossil</t>
        </r>
      </text>
    </comment>
    <comment ref="AS489" authorId="0" shapeId="0" xr:uid="{00000000-0006-0000-0400-00005C000000}">
      <text>
        <r>
          <rPr>
            <b/>
            <sz val="9"/>
            <color indexed="81"/>
            <rFont val="Tahoma"/>
            <family val="2"/>
          </rPr>
          <t>Christian:</t>
        </r>
        <r>
          <rPr>
            <sz val="9"/>
            <color indexed="81"/>
            <rFont val="Tahoma"/>
            <family val="2"/>
          </rPr>
          <t xml:space="preserve">
Type I here related to MS specific</t>
        </r>
      </text>
    </comment>
    <comment ref="Y490" authorId="0" shapeId="0" xr:uid="{00000000-0006-0000-0400-00005D000000}">
      <text>
        <r>
          <rPr>
            <b/>
            <sz val="9"/>
            <color indexed="81"/>
            <rFont val="Tahoma"/>
            <family val="2"/>
          </rPr>
          <t>Christian:</t>
        </r>
        <r>
          <rPr>
            <sz val="9"/>
            <color indexed="81"/>
            <rFont val="Tahoma"/>
            <family val="2"/>
          </rPr>
          <t xml:space="preserve">
NA if fossil</t>
        </r>
      </text>
    </comment>
    <comment ref="AS490" authorId="0" shapeId="0" xr:uid="{00000000-0006-0000-0400-00005E000000}">
      <text>
        <r>
          <rPr>
            <b/>
            <sz val="9"/>
            <color indexed="81"/>
            <rFont val="Tahoma"/>
            <family val="2"/>
          </rPr>
          <t>Christian:</t>
        </r>
        <r>
          <rPr>
            <sz val="9"/>
            <color indexed="81"/>
            <rFont val="Tahoma"/>
            <family val="2"/>
          </rPr>
          <t xml:space="preserve">
Type I here related to MS specific</t>
        </r>
      </text>
    </comment>
    <comment ref="Y492" authorId="0" shapeId="0" xr:uid="{00000000-0006-0000-0400-00005F000000}">
      <text>
        <r>
          <rPr>
            <b/>
            <sz val="9"/>
            <color indexed="81"/>
            <rFont val="Tahoma"/>
            <family val="2"/>
          </rPr>
          <t>Christian:</t>
        </r>
        <r>
          <rPr>
            <sz val="9"/>
            <color indexed="81"/>
            <rFont val="Tahoma"/>
            <family val="2"/>
          </rPr>
          <t xml:space="preserve">
NA if fossil</t>
        </r>
      </text>
    </comment>
    <comment ref="Y513" authorId="0" shapeId="0" xr:uid="{00000000-0006-0000-0400-000060000000}">
      <text>
        <r>
          <rPr>
            <b/>
            <sz val="9"/>
            <color indexed="81"/>
            <rFont val="Tahoma"/>
            <family val="2"/>
          </rPr>
          <t>Christian:</t>
        </r>
        <r>
          <rPr>
            <sz val="9"/>
            <color indexed="81"/>
            <rFont val="Tahoma"/>
            <family val="2"/>
          </rPr>
          <t xml:space="preserve">
NA if fossil</t>
        </r>
      </text>
    </comment>
    <comment ref="AS513" authorId="0" shapeId="0" xr:uid="{00000000-0006-0000-0400-000061000000}">
      <text>
        <r>
          <rPr>
            <b/>
            <sz val="9"/>
            <color indexed="81"/>
            <rFont val="Tahoma"/>
            <family val="2"/>
          </rPr>
          <t>Christian:</t>
        </r>
        <r>
          <rPr>
            <sz val="9"/>
            <color indexed="81"/>
            <rFont val="Tahoma"/>
            <family val="2"/>
          </rPr>
          <t xml:space="preserve">
Type I here related to MS specific</t>
        </r>
      </text>
    </comment>
    <comment ref="Y514" authorId="0" shapeId="0" xr:uid="{00000000-0006-0000-0400-000062000000}">
      <text>
        <r>
          <rPr>
            <b/>
            <sz val="9"/>
            <color indexed="81"/>
            <rFont val="Tahoma"/>
            <family val="2"/>
          </rPr>
          <t>Christian:</t>
        </r>
        <r>
          <rPr>
            <sz val="9"/>
            <color indexed="81"/>
            <rFont val="Tahoma"/>
            <family val="2"/>
          </rPr>
          <t xml:space="preserve">
NA if fossil</t>
        </r>
      </text>
    </comment>
    <comment ref="AS514" authorId="0" shapeId="0" xr:uid="{00000000-0006-0000-0400-000063000000}">
      <text>
        <r>
          <rPr>
            <b/>
            <sz val="9"/>
            <color indexed="81"/>
            <rFont val="Tahoma"/>
            <family val="2"/>
          </rPr>
          <t>Christian:</t>
        </r>
        <r>
          <rPr>
            <sz val="9"/>
            <color indexed="81"/>
            <rFont val="Tahoma"/>
            <family val="2"/>
          </rPr>
          <t xml:space="preserve">
Type I here related to MS specific</t>
        </r>
      </text>
    </comment>
    <comment ref="Y516" authorId="0" shapeId="0" xr:uid="{00000000-0006-0000-0400-000064000000}">
      <text>
        <r>
          <rPr>
            <b/>
            <sz val="9"/>
            <color indexed="81"/>
            <rFont val="Tahoma"/>
            <family val="2"/>
          </rPr>
          <t>Christian:</t>
        </r>
        <r>
          <rPr>
            <sz val="9"/>
            <color indexed="81"/>
            <rFont val="Tahoma"/>
            <family val="2"/>
          </rPr>
          <t xml:space="preserve">
NA if fossil</t>
        </r>
      </text>
    </comment>
    <comment ref="Y537" authorId="0" shapeId="0" xr:uid="{00000000-0006-0000-0400-000065000000}">
      <text>
        <r>
          <rPr>
            <b/>
            <sz val="9"/>
            <color indexed="81"/>
            <rFont val="Tahoma"/>
            <family val="2"/>
          </rPr>
          <t>Christian:</t>
        </r>
        <r>
          <rPr>
            <sz val="9"/>
            <color indexed="81"/>
            <rFont val="Tahoma"/>
            <family val="2"/>
          </rPr>
          <t xml:space="preserve">
NA if fossil</t>
        </r>
      </text>
    </comment>
    <comment ref="AS537" authorId="0" shapeId="0" xr:uid="{00000000-0006-0000-0400-000066000000}">
      <text>
        <r>
          <rPr>
            <b/>
            <sz val="9"/>
            <color indexed="81"/>
            <rFont val="Tahoma"/>
            <family val="2"/>
          </rPr>
          <t>Christian:</t>
        </r>
        <r>
          <rPr>
            <sz val="9"/>
            <color indexed="81"/>
            <rFont val="Tahoma"/>
            <family val="2"/>
          </rPr>
          <t xml:space="preserve">
Type I here related to MS specific</t>
        </r>
      </text>
    </comment>
    <comment ref="Y538" authorId="0" shapeId="0" xr:uid="{00000000-0006-0000-0400-000067000000}">
      <text>
        <r>
          <rPr>
            <b/>
            <sz val="9"/>
            <color indexed="81"/>
            <rFont val="Tahoma"/>
            <family val="2"/>
          </rPr>
          <t>Christian:</t>
        </r>
        <r>
          <rPr>
            <sz val="9"/>
            <color indexed="81"/>
            <rFont val="Tahoma"/>
            <family val="2"/>
          </rPr>
          <t xml:space="preserve">
NA if fossil</t>
        </r>
      </text>
    </comment>
    <comment ref="AS538" authorId="0" shapeId="0" xr:uid="{00000000-0006-0000-0400-000068000000}">
      <text>
        <r>
          <rPr>
            <b/>
            <sz val="9"/>
            <color indexed="81"/>
            <rFont val="Tahoma"/>
            <family val="2"/>
          </rPr>
          <t>Christian:</t>
        </r>
        <r>
          <rPr>
            <sz val="9"/>
            <color indexed="81"/>
            <rFont val="Tahoma"/>
            <family val="2"/>
          </rPr>
          <t xml:space="preserve">
Type I here related to MS specific</t>
        </r>
      </text>
    </comment>
    <comment ref="Y540" authorId="0" shapeId="0" xr:uid="{00000000-0006-0000-0400-000069000000}">
      <text>
        <r>
          <rPr>
            <b/>
            <sz val="9"/>
            <color indexed="81"/>
            <rFont val="Tahoma"/>
            <family val="2"/>
          </rPr>
          <t>Christian:</t>
        </r>
        <r>
          <rPr>
            <sz val="9"/>
            <color indexed="81"/>
            <rFont val="Tahoma"/>
            <family val="2"/>
          </rPr>
          <t xml:space="preserve">
NA if fossil</t>
        </r>
      </text>
    </comment>
    <comment ref="Y561" authorId="0" shapeId="0" xr:uid="{00000000-0006-0000-0400-00006A000000}">
      <text>
        <r>
          <rPr>
            <b/>
            <sz val="9"/>
            <color indexed="81"/>
            <rFont val="Tahoma"/>
            <family val="2"/>
          </rPr>
          <t>Christian:</t>
        </r>
        <r>
          <rPr>
            <sz val="9"/>
            <color indexed="81"/>
            <rFont val="Tahoma"/>
            <family val="2"/>
          </rPr>
          <t xml:space="preserve">
NA if fossil</t>
        </r>
      </text>
    </comment>
    <comment ref="AS561" authorId="0" shapeId="0" xr:uid="{00000000-0006-0000-0400-00006B000000}">
      <text>
        <r>
          <rPr>
            <b/>
            <sz val="9"/>
            <color indexed="81"/>
            <rFont val="Tahoma"/>
            <family val="2"/>
          </rPr>
          <t>Christian:</t>
        </r>
        <r>
          <rPr>
            <sz val="9"/>
            <color indexed="81"/>
            <rFont val="Tahoma"/>
            <family val="2"/>
          </rPr>
          <t xml:space="preserve">
Type I here related to MS specific</t>
        </r>
      </text>
    </comment>
    <comment ref="Y562" authorId="0" shapeId="0" xr:uid="{00000000-0006-0000-0400-00006C000000}">
      <text>
        <r>
          <rPr>
            <b/>
            <sz val="9"/>
            <color indexed="81"/>
            <rFont val="Tahoma"/>
            <family val="2"/>
          </rPr>
          <t>Christian:</t>
        </r>
        <r>
          <rPr>
            <sz val="9"/>
            <color indexed="81"/>
            <rFont val="Tahoma"/>
            <family val="2"/>
          </rPr>
          <t xml:space="preserve">
NA if fossil</t>
        </r>
      </text>
    </comment>
    <comment ref="AS562" authorId="0" shapeId="0" xr:uid="{00000000-0006-0000-0400-00006D000000}">
      <text>
        <r>
          <rPr>
            <b/>
            <sz val="9"/>
            <color indexed="81"/>
            <rFont val="Tahoma"/>
            <family val="2"/>
          </rPr>
          <t>Christian:</t>
        </r>
        <r>
          <rPr>
            <sz val="9"/>
            <color indexed="81"/>
            <rFont val="Tahoma"/>
            <family val="2"/>
          </rPr>
          <t xml:space="preserve">
Type I here related to MS specific</t>
        </r>
      </text>
    </comment>
    <comment ref="Y564" authorId="0" shapeId="0" xr:uid="{00000000-0006-0000-0400-00006E000000}">
      <text>
        <r>
          <rPr>
            <b/>
            <sz val="9"/>
            <color indexed="81"/>
            <rFont val="Tahoma"/>
            <family val="2"/>
          </rPr>
          <t>Christian:</t>
        </r>
        <r>
          <rPr>
            <sz val="9"/>
            <color indexed="81"/>
            <rFont val="Tahoma"/>
            <family val="2"/>
          </rPr>
          <t xml:space="preserve">
NA if fossil</t>
        </r>
      </text>
    </comment>
    <comment ref="Y585" authorId="0" shapeId="0" xr:uid="{00000000-0006-0000-0400-00006F000000}">
      <text>
        <r>
          <rPr>
            <b/>
            <sz val="9"/>
            <color indexed="81"/>
            <rFont val="Tahoma"/>
            <family val="2"/>
          </rPr>
          <t>Christian:</t>
        </r>
        <r>
          <rPr>
            <sz val="9"/>
            <color indexed="81"/>
            <rFont val="Tahoma"/>
            <family val="2"/>
          </rPr>
          <t xml:space="preserve">
NA if fossil</t>
        </r>
      </text>
    </comment>
    <comment ref="AS585" authorId="0" shapeId="0" xr:uid="{00000000-0006-0000-0400-000070000000}">
      <text>
        <r>
          <rPr>
            <b/>
            <sz val="9"/>
            <color indexed="81"/>
            <rFont val="Tahoma"/>
            <family val="2"/>
          </rPr>
          <t>Christian:</t>
        </r>
        <r>
          <rPr>
            <sz val="9"/>
            <color indexed="81"/>
            <rFont val="Tahoma"/>
            <family val="2"/>
          </rPr>
          <t xml:space="preserve">
Type I here related to MS specific</t>
        </r>
      </text>
    </comment>
    <comment ref="Y586" authorId="0" shapeId="0" xr:uid="{00000000-0006-0000-0400-000071000000}">
      <text>
        <r>
          <rPr>
            <b/>
            <sz val="9"/>
            <color indexed="81"/>
            <rFont val="Tahoma"/>
            <family val="2"/>
          </rPr>
          <t>Christian:</t>
        </r>
        <r>
          <rPr>
            <sz val="9"/>
            <color indexed="81"/>
            <rFont val="Tahoma"/>
            <family val="2"/>
          </rPr>
          <t xml:space="preserve">
NA if fossil</t>
        </r>
      </text>
    </comment>
    <comment ref="AS586" authorId="0" shapeId="0" xr:uid="{00000000-0006-0000-0400-000072000000}">
      <text>
        <r>
          <rPr>
            <b/>
            <sz val="9"/>
            <color indexed="81"/>
            <rFont val="Tahoma"/>
            <family val="2"/>
          </rPr>
          <t>Christian:</t>
        </r>
        <r>
          <rPr>
            <sz val="9"/>
            <color indexed="81"/>
            <rFont val="Tahoma"/>
            <family val="2"/>
          </rPr>
          <t xml:space="preserve">
Type I here related to MS specific</t>
        </r>
      </text>
    </comment>
    <comment ref="Y588" authorId="0" shapeId="0" xr:uid="{00000000-0006-0000-0400-000073000000}">
      <text>
        <r>
          <rPr>
            <b/>
            <sz val="9"/>
            <color indexed="81"/>
            <rFont val="Tahoma"/>
            <family val="2"/>
          </rPr>
          <t>Christian:</t>
        </r>
        <r>
          <rPr>
            <sz val="9"/>
            <color indexed="81"/>
            <rFont val="Tahoma"/>
            <family val="2"/>
          </rPr>
          <t xml:space="preserve">
NA if fossil</t>
        </r>
      </text>
    </comment>
    <comment ref="Y609" authorId="0" shapeId="0" xr:uid="{00000000-0006-0000-0400-000074000000}">
      <text>
        <r>
          <rPr>
            <b/>
            <sz val="9"/>
            <color indexed="81"/>
            <rFont val="Tahoma"/>
            <family val="2"/>
          </rPr>
          <t>Christian:</t>
        </r>
        <r>
          <rPr>
            <sz val="9"/>
            <color indexed="81"/>
            <rFont val="Tahoma"/>
            <family val="2"/>
          </rPr>
          <t xml:space="preserve">
NA if fossil</t>
        </r>
      </text>
    </comment>
    <comment ref="AS609" authorId="0" shapeId="0" xr:uid="{00000000-0006-0000-0400-000075000000}">
      <text>
        <r>
          <rPr>
            <b/>
            <sz val="9"/>
            <color indexed="81"/>
            <rFont val="Tahoma"/>
            <family val="2"/>
          </rPr>
          <t>Christian:</t>
        </r>
        <r>
          <rPr>
            <sz val="9"/>
            <color indexed="81"/>
            <rFont val="Tahoma"/>
            <family val="2"/>
          </rPr>
          <t xml:space="preserve">
Type I here related to MS specific</t>
        </r>
      </text>
    </comment>
    <comment ref="Y610" authorId="0" shapeId="0" xr:uid="{00000000-0006-0000-0400-000076000000}">
      <text>
        <r>
          <rPr>
            <b/>
            <sz val="9"/>
            <color indexed="81"/>
            <rFont val="Tahoma"/>
            <family val="2"/>
          </rPr>
          <t>Christian:</t>
        </r>
        <r>
          <rPr>
            <sz val="9"/>
            <color indexed="81"/>
            <rFont val="Tahoma"/>
            <family val="2"/>
          </rPr>
          <t xml:space="preserve">
NA if fossil</t>
        </r>
      </text>
    </comment>
    <comment ref="AS610" authorId="0" shapeId="0" xr:uid="{00000000-0006-0000-0400-000077000000}">
      <text>
        <r>
          <rPr>
            <b/>
            <sz val="9"/>
            <color indexed="81"/>
            <rFont val="Tahoma"/>
            <family val="2"/>
          </rPr>
          <t>Christian:</t>
        </r>
        <r>
          <rPr>
            <sz val="9"/>
            <color indexed="81"/>
            <rFont val="Tahoma"/>
            <family val="2"/>
          </rPr>
          <t xml:space="preserve">
Type I here related to MS specific</t>
        </r>
      </text>
    </comment>
    <comment ref="Y612" authorId="0" shapeId="0" xr:uid="{00000000-0006-0000-0400-000078000000}">
      <text>
        <r>
          <rPr>
            <b/>
            <sz val="9"/>
            <color indexed="81"/>
            <rFont val="Tahoma"/>
            <family val="2"/>
          </rPr>
          <t>Christian:</t>
        </r>
        <r>
          <rPr>
            <sz val="9"/>
            <color indexed="81"/>
            <rFont val="Tahoma"/>
            <family val="2"/>
          </rPr>
          <t xml:space="preserve">
NA if fossil</t>
        </r>
      </text>
    </comment>
    <comment ref="Y633" authorId="0" shapeId="0" xr:uid="{00000000-0006-0000-0400-000079000000}">
      <text>
        <r>
          <rPr>
            <b/>
            <sz val="9"/>
            <color indexed="81"/>
            <rFont val="Tahoma"/>
            <family val="2"/>
          </rPr>
          <t>Christian:</t>
        </r>
        <r>
          <rPr>
            <sz val="9"/>
            <color indexed="81"/>
            <rFont val="Tahoma"/>
            <family val="2"/>
          </rPr>
          <t xml:space="preserve">
NA if fossil</t>
        </r>
      </text>
    </comment>
    <comment ref="AS633" authorId="0" shapeId="0" xr:uid="{00000000-0006-0000-0400-00007A000000}">
      <text>
        <r>
          <rPr>
            <b/>
            <sz val="9"/>
            <color indexed="81"/>
            <rFont val="Tahoma"/>
            <family val="2"/>
          </rPr>
          <t>Christian:</t>
        </r>
        <r>
          <rPr>
            <sz val="9"/>
            <color indexed="81"/>
            <rFont val="Tahoma"/>
            <family val="2"/>
          </rPr>
          <t xml:space="preserve">
Type I here related to MS specific</t>
        </r>
      </text>
    </comment>
    <comment ref="Y634" authorId="0" shapeId="0" xr:uid="{00000000-0006-0000-0400-00007B000000}">
      <text>
        <r>
          <rPr>
            <b/>
            <sz val="9"/>
            <color indexed="81"/>
            <rFont val="Tahoma"/>
            <family val="2"/>
          </rPr>
          <t>Christian:</t>
        </r>
        <r>
          <rPr>
            <sz val="9"/>
            <color indexed="81"/>
            <rFont val="Tahoma"/>
            <family val="2"/>
          </rPr>
          <t xml:space="preserve">
NA if fossil</t>
        </r>
      </text>
    </comment>
    <comment ref="AS634" authorId="0" shapeId="0" xr:uid="{00000000-0006-0000-0400-00007C000000}">
      <text>
        <r>
          <rPr>
            <b/>
            <sz val="9"/>
            <color indexed="81"/>
            <rFont val="Tahoma"/>
            <family val="2"/>
          </rPr>
          <t>Christian:</t>
        </r>
        <r>
          <rPr>
            <sz val="9"/>
            <color indexed="81"/>
            <rFont val="Tahoma"/>
            <family val="2"/>
          </rPr>
          <t xml:space="preserve">
Type I here related to MS specific</t>
        </r>
      </text>
    </comment>
    <comment ref="Y636" authorId="0" shapeId="0" xr:uid="{00000000-0006-0000-0400-00007D000000}">
      <text>
        <r>
          <rPr>
            <b/>
            <sz val="9"/>
            <color indexed="81"/>
            <rFont val="Tahoma"/>
            <family val="2"/>
          </rPr>
          <t>Christian:</t>
        </r>
        <r>
          <rPr>
            <sz val="9"/>
            <color indexed="81"/>
            <rFont val="Tahoma"/>
            <family val="2"/>
          </rPr>
          <t xml:space="preserve">
NA if fossil</t>
        </r>
      </text>
    </comment>
  </commentList>
</comments>
</file>

<file path=xl/sharedStrings.xml><?xml version="1.0" encoding="utf-8"?>
<sst xmlns="http://schemas.openxmlformats.org/spreadsheetml/2006/main" count="3710" uniqueCount="1835">
  <si>
    <t>ausblenden</t>
  </si>
  <si>
    <t>Print area:</t>
  </si>
  <si>
    <t>Name of this sheet</t>
  </si>
  <si>
    <t>https://eur-lex.europa.eu/eli/dir/2003/87/2024-03-01</t>
  </si>
  <si>
    <t>https://eur-lex.europa.eu/eli/reg_impl/2018/2066</t>
  </si>
  <si>
    <t>(a)</t>
  </si>
  <si>
    <t>(b)</t>
  </si>
  <si>
    <t>(c)</t>
  </si>
  <si>
    <t>(d)</t>
  </si>
  <si>
    <t>https://energiavirasto.fi/polttoaineen-paastokauppa#ohjeet_ja_lomakkeet</t>
  </si>
  <si>
    <t>Linkit olennaiseen lainsäädäntöön Energiaviraston verkkosivuilla:</t>
  </si>
  <si>
    <t>https://energiavirasto.fi/polttoaineen-paastokauppa#saadokset</t>
  </si>
  <si>
    <t>PRINT</t>
  </si>
  <si>
    <t>CNTR_ReportingYear</t>
  </si>
  <si>
    <t xml:space="preserve">(c) </t>
  </si>
  <si>
    <t>i.</t>
  </si>
  <si>
    <t>ii.</t>
  </si>
  <si>
    <t>iii.</t>
  </si>
  <si>
    <t>iv.</t>
  </si>
  <si>
    <t>v.</t>
  </si>
  <si>
    <t>vi.</t>
  </si>
  <si>
    <t>End</t>
  </si>
  <si>
    <t>Sorting</t>
  </si>
  <si>
    <t>LT01</t>
  </si>
  <si>
    <t>LT02</t>
  </si>
  <si>
    <t>CNTR_ListMeans</t>
  </si>
  <si>
    <t>LT1</t>
  </si>
  <si>
    <t>Putket</t>
  </si>
  <si>
    <t>LT2</t>
  </si>
  <si>
    <t>Maantieajoneuvot (esim. säiliöautot)</t>
  </si>
  <si>
    <t>LT3</t>
  </si>
  <si>
    <t>LT4</t>
  </si>
  <si>
    <t>LT5</t>
  </si>
  <si>
    <t>LT6</t>
  </si>
  <si>
    <t>LT7</t>
  </si>
  <si>
    <t>LT8</t>
  </si>
  <si>
    <t>LT9</t>
  </si>
  <si>
    <t>LT10</t>
  </si>
  <si>
    <t>VO01</t>
  </si>
  <si>
    <t>VO02</t>
  </si>
  <si>
    <t>CNTR_ListIntermediaries</t>
  </si>
  <si>
    <t>VO1</t>
  </si>
  <si>
    <t>Suora yhteys loppukuluttajiin</t>
  </si>
  <si>
    <t>VO2</t>
  </si>
  <si>
    <t>VO3</t>
  </si>
  <si>
    <t>VO4</t>
  </si>
  <si>
    <t>VO5</t>
  </si>
  <si>
    <t>VO6</t>
  </si>
  <si>
    <t>VO7</t>
  </si>
  <si>
    <t>VO8</t>
  </si>
  <si>
    <t>VO9</t>
  </si>
  <si>
    <t>VO10</t>
  </si>
  <si>
    <t>-</t>
  </si>
  <si>
    <t>ID</t>
  </si>
  <si>
    <t>P01</t>
  </si>
  <si>
    <t>P02</t>
  </si>
  <si>
    <t>Name optional?</t>
  </si>
  <si>
    <t>Source for category</t>
  </si>
  <si>
    <t>Name</t>
  </si>
  <si>
    <t>duplicate?</t>
  </si>
  <si>
    <t>P1</t>
  </si>
  <si>
    <t>Muut kaasumaiset ja nestemäiset polttoaineet</t>
  </si>
  <si>
    <t>Kaasumainen - Maakaasu</t>
  </si>
  <si>
    <t>P2</t>
  </si>
  <si>
    <t>Kaupalliset peruspolttoaineet</t>
  </si>
  <si>
    <t>Nestemäinen - Pienmoottoribensiini</t>
  </si>
  <si>
    <t>P3</t>
  </si>
  <si>
    <t>Nestemäinen - Muut keskiraskaat öljyt</t>
  </si>
  <si>
    <t>P4</t>
  </si>
  <si>
    <t>P5</t>
  </si>
  <si>
    <t>Nestemäinen - Muut raskaat öljyt</t>
  </si>
  <si>
    <t>P6</t>
  </si>
  <si>
    <t>P7</t>
  </si>
  <si>
    <t>P8</t>
  </si>
  <si>
    <t>P9</t>
  </si>
  <si>
    <t>P10</t>
  </si>
  <si>
    <t>P11</t>
  </si>
  <si>
    <t>P12</t>
  </si>
  <si>
    <t>P13</t>
  </si>
  <si>
    <t>P14</t>
  </si>
  <si>
    <t>P15</t>
  </si>
  <si>
    <t>P16</t>
  </si>
  <si>
    <t>P17</t>
  </si>
  <si>
    <t>P18</t>
  </si>
  <si>
    <t>P19</t>
  </si>
  <si>
    <t>P20</t>
  </si>
  <si>
    <t>P21</t>
  </si>
  <si>
    <t>P22</t>
  </si>
  <si>
    <t>P23</t>
  </si>
  <si>
    <t>P24</t>
  </si>
  <si>
    <t>P25</t>
  </si>
  <si>
    <t>has entry?</t>
  </si>
  <si>
    <t>LT1: Putket</t>
  </si>
  <si>
    <t>cond. Form.</t>
  </si>
  <si>
    <t>cond. form.</t>
  </si>
  <si>
    <t>Units</t>
  </si>
  <si>
    <t>Values</t>
  </si>
  <si>
    <t>Errors</t>
  </si>
  <si>
    <t>Calculation</t>
  </si>
  <si>
    <t>Accounting</t>
  </si>
  <si>
    <t>Bio</t>
  </si>
  <si>
    <t>NonSustBio</t>
  </si>
  <si>
    <t>ENIN fossil</t>
  </si>
  <si>
    <t>ENIN bio</t>
  </si>
  <si>
    <t>CRF</t>
  </si>
  <si>
    <t>Category from Sheet A</t>
  </si>
  <si>
    <t>tier required</t>
  </si>
  <si>
    <t>text tier</t>
  </si>
  <si>
    <t>entries sheet A complete?</t>
  </si>
  <si>
    <t>typeII</t>
  </si>
  <si>
    <t>typeI</t>
  </si>
  <si>
    <t>default type</t>
  </si>
  <si>
    <t>default unit</t>
  </si>
  <si>
    <t>Unit used</t>
  </si>
  <si>
    <t>cond. Form?</t>
  </si>
  <si>
    <t>Unit consistent?</t>
  </si>
  <si>
    <t>default Value</t>
  </si>
  <si>
    <t>Value used</t>
  </si>
  <si>
    <t>EF Units?</t>
  </si>
  <si>
    <t>ei sovellettavissa</t>
  </si>
  <si>
    <t>1000Nm³</t>
  </si>
  <si>
    <t>is fossil?</t>
  </si>
  <si>
    <t>Unit after RFA:</t>
  </si>
  <si>
    <t>def val available?</t>
  </si>
  <si>
    <t>def val used?</t>
  </si>
  <si>
    <t>inconsistent entries?</t>
  </si>
  <si>
    <t>GJ/1000Nm³</t>
  </si>
  <si>
    <t>Unit after UCF:</t>
  </si>
  <si>
    <t>CO2 biogenic</t>
  </si>
  <si>
    <t>tCO2/TJ</t>
  </si>
  <si>
    <t>EF consistent with RFA:</t>
  </si>
  <si>
    <t>CO2 biogenic (non-sust)</t>
  </si>
  <si>
    <t>EF consistent with UCF:</t>
  </si>
  <si>
    <t>Energy fossil</t>
  </si>
  <si>
    <t>Energy bio</t>
  </si>
  <si>
    <t>Kansallinen merkintä</t>
  </si>
  <si>
    <t>litraa</t>
  </si>
  <si>
    <t>2a</t>
  </si>
  <si>
    <t>Oletusarvo = 1</t>
  </si>
  <si>
    <t>t</t>
  </si>
  <si>
    <t>Fyysinen erottelu</t>
  </si>
  <si>
    <t>Energiayhtiö ABC</t>
  </si>
  <si>
    <t>Metsäkonserni X</t>
  </si>
  <si>
    <t>ETS1-toiminnanharjoittaja</t>
  </si>
  <si>
    <t>Yksikkö</t>
  </si>
  <si>
    <t>Total RFA</t>
  </si>
  <si>
    <t>CO2 fossil (after SF)</t>
  </si>
  <si>
    <t>end</t>
  </si>
  <si>
    <t>Numbering</t>
  </si>
  <si>
    <t>Grey out?</t>
  </si>
  <si>
    <t>Mandatory?</t>
  </si>
  <si>
    <t>Number</t>
  </si>
  <si>
    <t>TEXT (Language Version)</t>
  </si>
  <si>
    <t>English Version (Original)</t>
  </si>
  <si>
    <t xml:space="preserve">Yhteystiedot </t>
  </si>
  <si>
    <t xml:space="preserve">Contact details </t>
  </si>
  <si>
    <t>Huomautuksia</t>
  </si>
  <si>
    <t>Comments</t>
  </si>
  <si>
    <t>Tätä lomaketta koskevat tiedot:</t>
  </si>
  <si>
    <t>Information about this file:</t>
  </si>
  <si>
    <t>Päivämäärä</t>
  </si>
  <si>
    <t>Date</t>
  </si>
  <si>
    <t>Oikeudellisessa vastuussa olevan henkilön nimi ja allekirjoitus</t>
  </si>
  <si>
    <t>Name and Signature of 
legally responsible person</t>
  </si>
  <si>
    <t>Lomakkeen versiotiedot:</t>
  </si>
  <si>
    <t>Template version information:</t>
  </si>
  <si>
    <t>Lomakkeen toimittaa:</t>
  </si>
  <si>
    <t>Template provided by:</t>
  </si>
  <si>
    <t>Julkaisupäivä:</t>
  </si>
  <si>
    <t>Publication date:</t>
  </si>
  <si>
    <t>Kieliversio:</t>
  </si>
  <si>
    <t>Language version:</t>
  </si>
  <si>
    <t>Viitetiedoston nimi:</t>
  </si>
  <si>
    <t>Reference filename:</t>
  </si>
  <si>
    <t>b.
Ohjeet ja ehdot</t>
  </si>
  <si>
    <t>b.
Guide-lines</t>
  </si>
  <si>
    <t>Navigointialue:</t>
  </si>
  <si>
    <t>Navigation area:</t>
  </si>
  <si>
    <t>; 'E_DataGaps'!$E$2; 'H_Summary'!$E$2</t>
  </si>
  <si>
    <t>Sisällysluettelo</t>
  </si>
  <si>
    <t>Table of contents</t>
  </si>
  <si>
    <t>Edellinen välilehti</t>
  </si>
  <si>
    <t>Previous sheet</t>
  </si>
  <si>
    <t>Seuraava välilehti</t>
  </si>
  <si>
    <t>Next sheet</t>
  </si>
  <si>
    <t xml:space="preserve">Lomakepohjaa koskevat komission ohjeet ja ehdot </t>
  </si>
  <si>
    <t>GUIDELINES AND CONDITIONS</t>
  </si>
  <si>
    <t>Päästökauppadirektiivi on ladattavissa osoitteesta:</t>
  </si>
  <si>
    <t>The Directive can be downloaded from:</t>
  </si>
  <si>
    <t>Kaikki tarkkailu- ja raportointiasetusta koskevat komission ohjeasiakirjat ovat saatavilla osoitteessa</t>
  </si>
  <si>
    <t>All Commission guidance documents on the Monitoring and Reporting Regulation can be found at:</t>
  </si>
  <si>
    <t>Ennen kuin käytät tätä tiedostoa, toimi seuraavasti:</t>
  </si>
  <si>
    <t>Before you use this file, please carry out the following steps:</t>
  </si>
  <si>
    <t>Lue huolellisesti alla olevat ohjeet tämän lomakkeen täyttämisestä.</t>
  </si>
  <si>
    <t>Read carefully the instructions below for filling this template.</t>
  </si>
  <si>
    <t>Tarkista toimivaltaisen viranomaisen verkkosivulta lomakkeen oikea versio tai ota suoraan yhteyttä viranomaiseen selvittääksesi, onko versio oikea. Versio (erityisesti viitetiedoston nimi) on merkitty selvästi tämän tiedoston kansilehteen.</t>
  </si>
  <si>
    <t>Check the CA's webpage or directly contact the CA in order to find out if you have the correct version of the template. The template version (in particular the reference file name) is clearly indicated on the cover page of this file.</t>
  </si>
  <si>
    <t>Jotkin jäsenvaltiot saattavat edellyttää, että käyttäjä käyttää laskentataulukon sijasta vaihtoehtoista järjestelmää. Tarkista oman jäsenvaltiosi vaatimukset. Jos niitä on, saat lisätietoja toimivaltaiselta viranomaiselta.</t>
  </si>
  <si>
    <t>Some Member States may require you to use an alternative system, such as internet-based form instead of a spreadsheet. Check your Member State requirements. In this case the CA will provide further information to you.</t>
  </si>
  <si>
    <t xml:space="preserve">https://ets2.energiavirasto.fi/ </t>
  </si>
  <si>
    <t>Detail address to be provided by the Member State</t>
  </si>
  <si>
    <t>Tietolähteet:</t>
  </si>
  <si>
    <t>Information sources:</t>
  </si>
  <si>
    <t>EU:n verkkosivustot:</t>
  </si>
  <si>
    <t>EU Websites:</t>
  </si>
  <si>
    <t>EU-lainsäädäntö:</t>
  </si>
  <si>
    <t>EU-Legislation:</t>
  </si>
  <si>
    <t xml:space="preserve">http://eur-lex.europa.eu/fi/index.htm </t>
  </si>
  <si>
    <t xml:space="preserve">http://eur-lex.europa.eu/en/index.htm </t>
  </si>
  <si>
    <t>EU:n päästökauppajärjestelmän yleiset vaatimukset:</t>
  </si>
  <si>
    <t>EU ETS general:</t>
  </si>
  <si>
    <t xml:space="preserve">Tarkkailu ja raportointi EU:n päästökauppajärjestelmässä: </t>
  </si>
  <si>
    <t xml:space="preserve">Monitoring and Reporting in the EU ETS: </t>
  </si>
  <si>
    <t>Muut sivustot:</t>
  </si>
  <si>
    <t>Other Websites:</t>
  </si>
  <si>
    <t>https://energiavirasto.fi/polttoaineen-paastokauppa</t>
  </si>
  <si>
    <t>&lt;to be provided by Member State&gt;</t>
  </si>
  <si>
    <t>Yhteydenotto Energiavirastoon:</t>
  </si>
  <si>
    <t>Helpdesk:</t>
  </si>
  <si>
    <t>ETS2@energiavirasto.fi</t>
  </si>
  <si>
    <t>&lt;to be provided by Member State, if relevant&gt;</t>
  </si>
  <si>
    <t>Tiedoston käyttö:</t>
  </si>
  <si>
    <t>How to use this file:</t>
  </si>
  <si>
    <t>Useissa kentissä on valittavana valmiiksi määriteltyjä tietoja. Pudotusvalikosta valitaan napsauttamalla hiiren osoittimella kentän oikeassa reunassa olevaa pientä nuolta tai valitsemalla kenttä ja painamalla ”Alt-nuoli alas”. Joihinkin kenttiin on mahdollista kirjoittaa itse, vaikka käytössä olisi myös pudotusvalikko. Tällöin pudotusvalikossa on tyhjä kenttiä.</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</si>
  <si>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</si>
  <si>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Colour codes and fonts:</t>
  </si>
  <si>
    <t>Musta lihavointi:</t>
  </si>
  <si>
    <t>Black bold text:</t>
  </si>
  <si>
    <t>Lomakepohjan alkuperäinen teksti, tulee säilyttää sellaisenaan.</t>
  </si>
  <si>
    <t>This is text provided by the Commission template. It should be kept as it is.</t>
  </si>
  <si>
    <t>Pienempi kursivoitu teksti:</t>
  </si>
  <si>
    <t>Smaller italic text:</t>
  </si>
  <si>
    <t>Lisätietoja ja ohjeita pyydetystä tiedosta. Jäsenvaltiot voivat liittää lisätietoja lomakepohjan jäsenvaltiokohtaisiin versioihin.</t>
  </si>
  <si>
    <t>This text gives further explanations. Member States may add further explanations in MS specific versions of the template.</t>
  </si>
  <si>
    <t>Vaaleankeltaiset kentät ovat vapaaehtoisia.</t>
  </si>
  <si>
    <t>Light yellow fields indicate that an input is optional.</t>
  </si>
  <si>
    <t>Vihreät kentät osoittavat automaattisesti lasketut tulokset. Virheilmoitukset näkyvät punaisella (puuttuvat tiedot jne.).</t>
  </si>
  <si>
    <t>Green fields show automatically calculated results. Red text indicates error messages (missing data etc).</t>
  </si>
  <si>
    <t>Varjostettuja kenttiä ei tarvitse täyttää toiseen kenttään syötettyjen tietojen vuoksi.</t>
  </si>
  <si>
    <t>Shaded fields indicate that an input in another field makes the input here irrelevant.</t>
  </si>
  <si>
    <t>Vaaleanharmaat alueet ovat navigointia varten ja ne sisältävät linkkejä.</t>
  </si>
  <si>
    <t>Light grey areas are dedicated for navigation and hyperlinks.</t>
  </si>
  <si>
    <t>Lomake on suojattu keltaisia kenttiä lukuun ottamatta. Avoimuuden varmistamiseksi lomaketta ei kuitenkaan ole suojattu salasanalla. Näin kaikki kaavat ovat nähtävissä. Suojaus on suositeltavaa pitää päällä tietoja täydennettäessä. Välilehtien suojauksen voi poistaa ainoastaan kaavojen oikeellisuuden tarkistamista varten. Tämä kannattaa tehdä erillisessä tiedostossa.</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</si>
  <si>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</si>
  <si>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HUOM! LEIKKAA &amp; LIITÄ -toimintoa EI TULE KÄYTTÄÄ lomakkessa, jottei lomakkeen kaavoihin tule muutoksia ja edelleen päästöselvitykseen virheitä.
Jos haluat siirtää tietoja toisesta solusta, KOPIOI ja LIITÄ ne ensin ja poista sen jälkeen ei-toivotut tiedot vanhasta (väärästä) paikasta.</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</si>
  <si>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</si>
  <si>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Jäsenvaltiokohtaiset ohjeet:</t>
  </si>
  <si>
    <t>Member State-specific guidance is listed here:</t>
  </si>
  <si>
    <t>toimitettu toimivaltaiselle viranomaiselle</t>
  </si>
  <si>
    <t>submitted to competent authority</t>
  </si>
  <si>
    <t>palautettu huomautusten kanssa</t>
  </si>
  <si>
    <t>returned with remarks</t>
  </si>
  <si>
    <t>toimivaltaisen viranomaisen hyväksymä</t>
  </si>
  <si>
    <t>approved by competent authority</t>
  </si>
  <si>
    <t>Toimivaltainen viranomainen</t>
  </si>
  <si>
    <t>Competent Authority</t>
  </si>
  <si>
    <t>ETS1-toiminnaharjoittaja</t>
  </si>
  <si>
    <t>Member State</t>
  </si>
  <si>
    <t>; 'D_ETS1Amounts'!$E$16; 'D_ETS1Amounts'!$E$27</t>
  </si>
  <si>
    <t>Päästöluvan numero</t>
  </si>
  <si>
    <t>Emissions trading permit number</t>
  </si>
  <si>
    <t xml:space="preserve">Säännelty yhteisö saa päästöluvan numeron päästölupaa koskevan hakemuskäsittelyn yhteydessä. Vuoden 2024 päästöselvitystä laadittaessa jätä tämä kohta tyhjäksi. </t>
  </si>
  <si>
    <t>member state/CA prefix</t>
  </si>
  <si>
    <t>Osoiterivi 1:</t>
  </si>
  <si>
    <t>Address Line 1:</t>
  </si>
  <si>
    <t>Osoiterivi 2:</t>
  </si>
  <si>
    <t>Address Line 2:</t>
  </si>
  <si>
    <t>Kaupunki:</t>
  </si>
  <si>
    <t>City:</t>
  </si>
  <si>
    <t>; 'A_EntityID'!$E$97</t>
  </si>
  <si>
    <t>Maakunta/alue:</t>
  </si>
  <si>
    <t>State/Province/Region:</t>
  </si>
  <si>
    <t>Postinumero:</t>
  </si>
  <si>
    <t>Postcode/ZIP:</t>
  </si>
  <si>
    <t>Maa:</t>
  </si>
  <si>
    <t>Country:</t>
  </si>
  <si>
    <t>; 'A_EntityID'!$E$99</t>
  </si>
  <si>
    <t>Yhteyshenkilö:</t>
  </si>
  <si>
    <t>Who can we contact about your monitoring plan?</t>
  </si>
  <si>
    <t>Ensisijainen yhteyshenkilö:</t>
  </si>
  <si>
    <t>Primary contact:</t>
  </si>
  <si>
    <t>Nimike:</t>
  </si>
  <si>
    <t>Title:</t>
  </si>
  <si>
    <t>Etunimi:</t>
  </si>
  <si>
    <t>First Name:</t>
  </si>
  <si>
    <t>Sukunimi:</t>
  </si>
  <si>
    <t>Surname:</t>
  </si>
  <si>
    <t>Tehtävänimike:</t>
  </si>
  <si>
    <t>Job title:</t>
  </si>
  <si>
    <t>Puhelinnumero:</t>
  </si>
  <si>
    <t>Telephone number:</t>
  </si>
  <si>
    <t>; 'A_EntityID'!$E$105</t>
  </si>
  <si>
    <t>Sähköpostiosoite:</t>
  </si>
  <si>
    <t>Email address:</t>
  </si>
  <si>
    <t>; 'A_EntityID'!$E$104</t>
  </si>
  <si>
    <t>Vaihtoehtoinen yhteyshenkilö:</t>
  </si>
  <si>
    <t>Alternative contact:</t>
  </si>
  <si>
    <t>Parametri</t>
  </si>
  <si>
    <t>Parameter</t>
  </si>
  <si>
    <t>Tyypin I oletusarvot</t>
  </si>
  <si>
    <t>Type I default values</t>
  </si>
  <si>
    <t>; 'EUwideConstants'!$B$18</t>
  </si>
  <si>
    <t>Tyypin I biomassaosuus</t>
  </si>
  <si>
    <t>Type I biomass fraction</t>
  </si>
  <si>
    <t>; 'EUwideConstants'!$B$19</t>
  </si>
  <si>
    <t>Tyypin II biomassaosuus</t>
  </si>
  <si>
    <t>Type II biomass fraction</t>
  </si>
  <si>
    <t>; 'EUwideConstants'!$C$19</t>
  </si>
  <si>
    <t>Laboratorioanalyysit</t>
  </si>
  <si>
    <t>Laboratory analyses</t>
  </si>
  <si>
    <t>Tyypin II oletusarvot</t>
  </si>
  <si>
    <t>Type II default values</t>
  </si>
  <si>
    <t>; 'EUwideConstants'!$C$18</t>
  </si>
  <si>
    <t>n.a.</t>
  </si>
  <si>
    <t>Tilaa lisähuomautuksille:</t>
  </si>
  <si>
    <t>Space for further Comments:</t>
  </si>
  <si>
    <t xml:space="preserve">&lt;&lt;&lt; Siirry seuraavalle välilehdelle napsauttamalla tästä &gt;&gt;&gt; </t>
  </si>
  <si>
    <t xml:space="preserve">&lt;&lt;&lt; Click here to proceed to next sheet &gt;&gt;&gt; </t>
  </si>
  <si>
    <t>Kauppakumppani</t>
  </si>
  <si>
    <t>Trade partner</t>
  </si>
  <si>
    <t xml:space="preserve">Yksityiskohtaiset ohjeet tietojen syöttämisestä tähän työkaluun ovat tämän välilehden yläosassa. </t>
  </si>
  <si>
    <t xml:space="preserve">Detailed instructions for data entries in this tool can be found at the top of this sheet. </t>
  </si>
  <si>
    <t>merkityksellinen</t>
  </si>
  <si>
    <t>relevant</t>
  </si>
  <si>
    <t>ei merkityksellinen</t>
  </si>
  <si>
    <t>not relevant</t>
  </si>
  <si>
    <t>ei sovelleta!</t>
  </si>
  <si>
    <t>not applicable!</t>
  </si>
  <si>
    <t>Epävarmuus saa olla enintään</t>
  </si>
  <si>
    <t>Uncertainty shall not be more than</t>
  </si>
  <si>
    <t>Kirjoita tiedot tähän osaan</t>
  </si>
  <si>
    <t>Please enter data in this section</t>
  </si>
  <si>
    <t>Siirry jäljempänä oleviin kohtiin</t>
  </si>
  <si>
    <t>Please go to the next points below</t>
  </si>
  <si>
    <t>Perustele, miksi historiatietoja ei ole saatavilla tai ne eivät ole asianmukaisia</t>
  </si>
  <si>
    <t>Please justify why historic data is not available or inappropriate</t>
  </si>
  <si>
    <t>Ei määrittämistasoa</t>
  </si>
  <si>
    <t>No tier</t>
  </si>
  <si>
    <t>De-minimis-kynnys ylitetty!</t>
  </si>
  <si>
    <t>De-minimis threshold exceeded!</t>
  </si>
  <si>
    <t>Vain toimivaltaisen viranomaisen käyttöön</t>
  </si>
  <si>
    <t>Use by Competent Authority only</t>
  </si>
  <si>
    <t>Toiminnanharjoittaja täyttää</t>
  </si>
  <si>
    <t>To be filled in by operator</t>
  </si>
  <si>
    <t>Itävalta</t>
  </si>
  <si>
    <t>Austria</t>
  </si>
  <si>
    <t>Belgia</t>
  </si>
  <si>
    <t>Belgium</t>
  </si>
  <si>
    <t>Bulgaria</t>
  </si>
  <si>
    <t>Kroatia</t>
  </si>
  <si>
    <t>Croatia</t>
  </si>
  <si>
    <t>Kypros</t>
  </si>
  <si>
    <t>Cyprus</t>
  </si>
  <si>
    <t>Tanska</t>
  </si>
  <si>
    <t>Denmark</t>
  </si>
  <si>
    <t>Viro</t>
  </si>
  <si>
    <t>Estonia</t>
  </si>
  <si>
    <t>Suomi</t>
  </si>
  <si>
    <t>Finland</t>
  </si>
  <si>
    <t>Ranska</t>
  </si>
  <si>
    <t>France</t>
  </si>
  <si>
    <t>Saksa</t>
  </si>
  <si>
    <t>Germany</t>
  </si>
  <si>
    <t>Kreikka</t>
  </si>
  <si>
    <t>Greece</t>
  </si>
  <si>
    <t>Unkari</t>
  </si>
  <si>
    <t>Hungary</t>
  </si>
  <si>
    <t>Islanti</t>
  </si>
  <si>
    <t>Iceland</t>
  </si>
  <si>
    <t>Irlanti</t>
  </si>
  <si>
    <t>Ireland</t>
  </si>
  <si>
    <t>Italia</t>
  </si>
  <si>
    <t>Italy</t>
  </si>
  <si>
    <t>Latvia</t>
  </si>
  <si>
    <t>Liechtenstein</t>
  </si>
  <si>
    <t>Liettua</t>
  </si>
  <si>
    <t>Lithuania</t>
  </si>
  <si>
    <t>Luxemburg</t>
  </si>
  <si>
    <t>Luxembourg</t>
  </si>
  <si>
    <t>Malta</t>
  </si>
  <si>
    <t>Alankomaat</t>
  </si>
  <si>
    <t>Netherlands</t>
  </si>
  <si>
    <t>Norja</t>
  </si>
  <si>
    <t>Norway</t>
  </si>
  <si>
    <t>Puola</t>
  </si>
  <si>
    <t>Poland</t>
  </si>
  <si>
    <t>Portugali</t>
  </si>
  <si>
    <t>Portugal</t>
  </si>
  <si>
    <t>Romania</t>
  </si>
  <si>
    <t>Slovakia</t>
  </si>
  <si>
    <t>Slovenia</t>
  </si>
  <si>
    <t>Espanja</t>
  </si>
  <si>
    <t>Spain</t>
  </si>
  <si>
    <t>Ruotsi</t>
  </si>
  <si>
    <t>Sweden</t>
  </si>
  <si>
    <t>toimivaltaisen viranomaisen hylkäämä</t>
  </si>
  <si>
    <t>rejected by competent authority</t>
  </si>
  <si>
    <t>työluonnos</t>
  </si>
  <si>
    <t>working draft</t>
  </si>
  <si>
    <t>Biomassan määrittämistasot</t>
  </si>
  <si>
    <t>BiomassTiers</t>
  </si>
  <si>
    <t>2b</t>
  </si>
  <si>
    <t>Toimintotiedot</t>
  </si>
  <si>
    <t>Activity data</t>
  </si>
  <si>
    <t>Määrittämistaso</t>
  </si>
  <si>
    <t>Tier</t>
  </si>
  <si>
    <t>; 'C_FuelStreams'!$F$52; 'C_FuelStreams'!$F$76; 'C_FuelStreams'!$F$100; 'C_FuelStreams'!$F$124; 'C_FuelStreams'!$F$148; 'C_FuelStreams'!$F$172; 'C_FuelStreams'!$F$196; 'C_FuelStreams'!$F$220; 'C_FuelStreams'!$F$244; 'C_FuelStreams'!$F$268; 'C_FuelStreams'!$F$292; 'C_FuelStreams'!$F$316; 'C_FuelStreams'!$F$340; 'C_FuelStreams'!$F$364; 'C_FuelStreams'!$F$388; 'C_FuelStreams'!$F$412; 'C_FuelStreams'!$F$436; 'C_FuelStreams'!$F$460; 'C_FuelStreams'!$F$484; 'C_FuelStreams'!$F$508; 'C_FuelStreams'!$F$532; 'C_FuelStreams'!$F$556; 'C_FuelStreams'!$F$580; 'C_FuelStreams'!$F$604; 'C_FuelStreams'!$F$628</t>
  </si>
  <si>
    <t>Lyhyt nimi</t>
  </si>
  <si>
    <t>Short name</t>
  </si>
  <si>
    <t>Alatoiminto</t>
  </si>
  <si>
    <t>Sub-activity</t>
  </si>
  <si>
    <t>Vähintään</t>
  </si>
  <si>
    <t>Minimum</t>
  </si>
  <si>
    <t>Enintään</t>
  </si>
  <si>
    <t>Highest</t>
  </si>
  <si>
    <t>harmaaksi?</t>
  </si>
  <si>
    <t>make grey?</t>
  </si>
  <si>
    <t>Poltto</t>
  </si>
  <si>
    <t>Combustion</t>
  </si>
  <si>
    <t>Commercial standard fuels</t>
  </si>
  <si>
    <t>± 7,5%</t>
  </si>
  <si>
    <t>± 5,0%</t>
  </si>
  <si>
    <t>± 2,5%</t>
  </si>
  <si>
    <t>± 1,5%</t>
  </si>
  <si>
    <t>Other gaseous &amp; liquid fuels</t>
  </si>
  <si>
    <t>Kiinteät polttoaineet</t>
  </si>
  <si>
    <t>Solid fuels</t>
  </si>
  <si>
    <t>Päästökerroin</t>
  </si>
  <si>
    <t>Emission factor</t>
  </si>
  <si>
    <t>Vakiintuneet mallit (jos sovellettavissa)</t>
  </si>
  <si>
    <t>Established proxies (if applicable)</t>
  </si>
  <si>
    <t>Määrittämistasot</t>
  </si>
  <si>
    <t>Tiers</t>
  </si>
  <si>
    <t>; 'C_FuelStreams'!$Y$48; 'C_FuelStreams'!$Y$72; 'C_FuelStreams'!$Y$96; 'C_FuelStreams'!$Y$120; 'C_FuelStreams'!$Y$144; 'C_FuelStreams'!$Y$168; 'C_FuelStreams'!$Y$192; 'C_FuelStreams'!$Y$216; 'C_FuelStreams'!$Y$240; 'C_FuelStreams'!$Y$264; 'C_FuelStreams'!$Y$288; 'C_FuelStreams'!$Y$312; 'C_FuelStreams'!$Y$336; 'C_FuelStreams'!$Y$360; 'C_FuelStreams'!$Y$384; 'C_FuelStreams'!$Y$408; 'C_FuelStreams'!$Y$432; 'C_FuelStreams'!$Y$456; 'C_FuelStreams'!$Y$480; 'C_FuelStreams'!$Y$504; 'C_FuelStreams'!$Y$528; 'C_FuelStreams'!$Y$552; 'C_FuelStreams'!$Y$576; 'C_FuelStreams'!$Y$600; 'C_FuelStreams'!$Y$624</t>
  </si>
  <si>
    <t>Tarkkailu- ja raportointiasetuksessa [komission asetus (EU) N:o 2018/2066, sellaisena kuin se on muutettuna, jäljempänä 'tarkkailuasetus'] määritellään tarkkailua ja raportointia koskevat lisävaatimukset. Tarkkailuasetus voidaan ladata osoitteesta:</t>
  </si>
  <si>
    <t>The Monitoring and Reporting Regulation (Commission Regulation (EU) No 2018/2066, as amended, hereinafter the "MRR"), defines further requirements for monitoring and reporting. The MRR can be downloaded from:</t>
  </si>
  <si>
    <t>Type I default values (tier 1):</t>
  </si>
  <si>
    <t>Type I default values include either of the following methods:</t>
  </si>
  <si>
    <t xml:space="preserve">Use standard factors listed in Annex VI (i.e. in principle IPCC values), or </t>
  </si>
  <si>
    <t>Use other constant values in accordance with point (e) of Article 31(1) where such standard factors are not available, i.e. analyses carried out in the past but still valid.</t>
  </si>
  <si>
    <t>Type II default values include either of the following methods, which are considered equivalent:</t>
  </si>
  <si>
    <t xml:space="preserve">Use country specific emission factors in accordance with point (b) of Article 31(1), i.e. values used for the national GHG inventory, or </t>
  </si>
  <si>
    <t xml:space="preserve">Established proxies (tier 2b): </t>
  </si>
  <si>
    <t xml:space="preserve">Purchasing records (tier 2b): </t>
  </si>
  <si>
    <t xml:space="preserve">Laboratory analyses (highest tier): </t>
  </si>
  <si>
    <t>Type I biomass fraction (tier 1):</t>
  </si>
  <si>
    <t>One of the following methods has to be applied, which are considered equivalent:</t>
  </si>
  <si>
    <t>Use values in accordance with Article 31(1), i.e. a "Type I default value".</t>
  </si>
  <si>
    <t>Application of Articles 39(3) and 39(4) in case of natural gas grids, into which biogas is injected, i.e. where the competent authority allows the biomass fraction to be determined using purchase records of biogas of equivalent energy content.</t>
  </si>
  <si>
    <t>Type II biomass fraction (tier 2):</t>
  </si>
  <si>
    <t>Analyse biomass fraction (tier 3a):</t>
  </si>
  <si>
    <t>General information</t>
  </si>
  <si>
    <t>Kesäkuu</t>
  </si>
  <si>
    <t>June</t>
  </si>
  <si>
    <t>Heinäkuu</t>
  </si>
  <si>
    <t>July</t>
  </si>
  <si>
    <t>Elokuu</t>
  </si>
  <si>
    <t>August</t>
  </si>
  <si>
    <t>Syyskuu</t>
  </si>
  <si>
    <t>September</t>
  </si>
  <si>
    <t>Biomassaosuus</t>
  </si>
  <si>
    <t>Biomass fraction</t>
  </si>
  <si>
    <t>Määrittämistason muuntaminen</t>
  </si>
  <si>
    <t>Tier conversion</t>
  </si>
  <si>
    <t>a. Sisällysluettelo</t>
  </si>
  <si>
    <t>a. Table of contents</t>
  </si>
  <si>
    <t>SISÄLLYSLUETTELO</t>
  </si>
  <si>
    <t>TABLE OF CONTENTS</t>
  </si>
  <si>
    <t>Säännellyn yhteisön nimi</t>
  </si>
  <si>
    <t>Regulated entity name</t>
  </si>
  <si>
    <t>Säännellyn yhteisön tunniste:</t>
  </si>
  <si>
    <t>Unique ETS2 entity identifier:</t>
  </si>
  <si>
    <t>https://eur-lex.europa.eu/eli/reg_impl/2018/2066/2022-08-28</t>
  </si>
  <si>
    <t>Jäsenvaltiot voivat vaatia [säänneltyä yhteisöä] toimittamaan tarkkailusuunnitelmat ja niihin tehdyt muutokset sekä vuotuiset päästöselvitykset, [– –] todentamisraportit ja parannusraportit käyttäen sähköisiä asiakirjamalleja tai erityisiä tiedostomuotoja. 
Jäsenvaltioiden laatimien asiakirjamallien ja tiedostomuotojen on sisällettävä vähintään ne tiedot, jotka sisältyvät komission julkaisemiin sähköisiin asiakirjamalleihin ja tiedostomuotoeritelmiin.</t>
  </si>
  <si>
    <t>Member States may require the [regulated entity] to use electronic templates or specific file formats for submission of monitoring plans and changes to the monitoring plan, as well as for submission of annual emissions reports,...verification reports and improvement reports. 
Those templates or file format specifications established by the Member States shall, at least, contain the information contained in electronic templates or file format specifications published by the Commission.</t>
  </si>
  <si>
    <t>https://climate.ec.europa.eu/eu-action/eu-emissions-trading-system-eu-ets/monitoring-reporting-and-verification-eu-ets-emissions_en</t>
  </si>
  <si>
    <t>; 'C_FuelStreams'!$F$21; 'C_FuelStreams'!$F$25</t>
  </si>
  <si>
    <t>Määritä kyseisen jäsenvaltion toimivaltainen viranomainen. Huomaa, että "jäsenvaltiolla" tarkoitetaan tässä kaikkia EU:n päästökauppajärjestelmään osallistuvia valtioita, ei ainoastaan EU:n jäsenvaltioita.</t>
  </si>
  <si>
    <t>Identify the Competent Authority (CA) of the Member States responsible for you. Note that "Member State" here means all States which are participating in the EU ETS, not only EU Member States.</t>
  </si>
  <si>
    <t>https://climate.ec.europa.eu/eu-action/eu-emissions-trading-system-eu-ets_en</t>
  </si>
  <si>
    <t>Keltaisten kenttien tiedot ovat pakollisia. Jos tieto ei kuitenkaan ole merkityksellinen säännellyn yhteisön kannalta, tietoja ei vaadita.</t>
  </si>
  <si>
    <t>Yellow fields indicate mandatory inputs. However, if a topic is not relevant for the entity no input is required.</t>
  </si>
  <si>
    <t>VASTUUVAPAUSLAUSEKE: 
Kaikki lomakepohjan kaavat on laadittu huolellisesti ja perusteellisesti. Virheitä ei kuitenkaan voida sulkea kokonaan pois.
Kuten edellä on todettu, on käyttäjän mahdollista tarkastella laskelmien taustalla olevia kaavoja täysin avoimesti. Energiavirasto tai Euroopan komissio eivät ole vastuussa mahdollisista vahingoista, jotka johtuvat toimitettujen laskelmien vääristä tai harhaanjohtavista tuloksista. 
On tämän tiedoston käyttäjän (eli säännellyn yhteisön) yksinomaisella vastuulla varmistaa, että toimivaltaiselle viranomaiselle raportoidaan oikeat tiedot.</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</si>
  <si>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ETS2 regulated entity) to ensure that correct data is reported to the competent authority.</t>
  </si>
  <si>
    <t>Tietoja säännellystä yhteisöstä</t>
  </si>
  <si>
    <t>About the regulated entity</t>
  </si>
  <si>
    <t>Säännellyn yhteisön tiedot</t>
  </si>
  <si>
    <t>Regulated entity details</t>
  </si>
  <si>
    <t>Säännellyn yhteisön nimi, y-tunnus ja osoite</t>
  </si>
  <si>
    <t>Name of the regulated entity and the site on which it is physically located (head quarters, storage facilities, etc.):</t>
  </si>
  <si>
    <t>Säännellyn yhteisön nimi:</t>
  </si>
  <si>
    <t>Regulated entity name:</t>
  </si>
  <si>
    <t>; 'H_Summary'!$E$10</t>
  </si>
  <si>
    <t>Säännellyn yhteisön y-tunnus:</t>
  </si>
  <si>
    <t>Unique ID of the regulated entity:</t>
  </si>
  <si>
    <t>; 'H_Summary'!$E$11; 'I_Accounting'!$E$12</t>
  </si>
  <si>
    <t>Säännellyn yhteisön yhteystiedot ja yhteyshenkilön tiedot tulee ilmoittaa myös suoraan ETS2-asiointijärjestelmässä. Energiavirasto on ensisijaisesti yhteydessä asiointijärjestelmään ilmoitettuihin yhteyshenkilöihin.</t>
  </si>
  <si>
    <t>Please contact the compentent authority for any guidance.</t>
  </si>
  <si>
    <t>Include any Member State specific guidance on naming of regulated entities.</t>
  </si>
  <si>
    <t>Valmisteverovelvollisuuden peruste:</t>
  </si>
  <si>
    <t>Excise number, if applicable:</t>
  </si>
  <si>
    <t xml:space="preserve">Ilmoita valmisteverotusta koskevan lain 182/2010 mukainen peruste tai perusteet verovelvollisuudelle. Esim. valtuutettu varastonpitäjä tai kaasun rekisteröity käyttäjä. </t>
  </si>
  <si>
    <t>This is the excise number pursuant to Regulation (EU) No 389/2012 or the national excise registration and identification number issued by the relevant authority pursuant to national legislation transposing Directive 2003/96/EC, used for reporting for tax purposes pursuant to national legislation transposing Directives 2003/96/EC and (EU) 2020/262.</t>
  </si>
  <si>
    <t>Säännellyn yhteisön osoite:</t>
  </si>
  <si>
    <t>Address / location of the regulated entity:</t>
  </si>
  <si>
    <t xml:space="preserve">It will help us to have someone who we can contact directly with any questions about your monitoring plan. The person you name should have the authority to act on behalf of the regulated entity- </t>
  </si>
  <si>
    <t>Organisaation nimi (jos eri kuin säännelty yhteisö):</t>
  </si>
  <si>
    <t>Organisation name (if different from the regulated entity):</t>
  </si>
  <si>
    <t>Polttoaineiden kulutukseen luovutuksen tavat</t>
  </si>
  <si>
    <t>Means through which fuels are released for consumption</t>
  </si>
  <si>
    <t>Means for release</t>
  </si>
  <si>
    <t>Polttoaineiden kulutukseen luovutus (fyysiset kuljetusvälineet):</t>
  </si>
  <si>
    <t>Means through which fuels are released for consumption (physical means of transport):</t>
  </si>
  <si>
    <t>Means for release MR1, MR2,...</t>
  </si>
  <si>
    <t>Nimi (tai lyhyt kuvaus/tunniste)</t>
  </si>
  <si>
    <t>Short name or ID</t>
  </si>
  <si>
    <t>Tarkka kuvaus</t>
  </si>
  <si>
    <t>Detailed description</t>
  </si>
  <si>
    <t>Pipelines</t>
  </si>
  <si>
    <t>Paikalliseen kaasuverkkoon liitetyt putket</t>
  </si>
  <si>
    <t>Pipelines connected to the local gas grid</t>
  </si>
  <si>
    <t>Säiliöautot</t>
  </si>
  <si>
    <t>Trucks</t>
  </si>
  <si>
    <t>Kauppakumppaneiden omistamat säiliöautot</t>
  </si>
  <si>
    <t>Trucks owned by trading partners</t>
  </si>
  <si>
    <t>Polttoaineiden kulutukseen luovutus (välittäjäosapuolet, esim. polttoainekauppiaat):</t>
  </si>
  <si>
    <t>Means through which fuels are released for consumption (intermediary parties, e.g. fuel traders):</t>
  </si>
  <si>
    <t>Välittäjäosapuolet VO1, VO2...</t>
  </si>
  <si>
    <t>Intermediary parties, IP1, IP2,…</t>
  </si>
  <si>
    <t>Polttoaineasemat</t>
  </si>
  <si>
    <t>Fuel stations for road transport vehicles</t>
  </si>
  <si>
    <t>Directly connected to end consumers</t>
  </si>
  <si>
    <t>Suorat sopimusjärjestelyt loppukuluttajien kanssa</t>
  </si>
  <si>
    <t>Direct contractual arrangements with end consumers</t>
  </si>
  <si>
    <t>Polttoainevirrat</t>
  </si>
  <si>
    <t>Relevant fuel streams</t>
  </si>
  <si>
    <t>Polttoainevirtojen tyypit:</t>
  </si>
  <si>
    <t>Relevant fuel streams:</t>
  </si>
  <si>
    <t>Polttoainevirran tyyppi</t>
  </si>
  <si>
    <t>Fuel stream type</t>
  </si>
  <si>
    <t>Kulutukseen luovutuksen tapa</t>
  </si>
  <si>
    <t>Means through which released for consumption</t>
  </si>
  <si>
    <t>Kulutukseen luovutuksen välittäjäosapuoli</t>
  </si>
  <si>
    <t>Intermediary party through which released for consumption</t>
  </si>
  <si>
    <t>MR1: Pipelines</t>
  </si>
  <si>
    <t>LT2: Säiliöautot</t>
  </si>
  <si>
    <t>MR2: Trucks</t>
  </si>
  <si>
    <t>Polttoainevirran koko nimi (nimi + tyyppi)</t>
  </si>
  <si>
    <t>Fuel stream full name (name + type)</t>
  </si>
  <si>
    <t>polttoainevirta</t>
  </si>
  <si>
    <t>fuel stream</t>
  </si>
  <si>
    <t>polttoainevirran nimi</t>
  </si>
  <si>
    <t>fuel stream name</t>
  </si>
  <si>
    <t>(a): ETD/ED-järjestelmän mukaiset menetelmät</t>
  </si>
  <si>
    <t>(a): Methods consistent with ETD/ED regime</t>
  </si>
  <si>
    <t>Säännelty yhteisö</t>
  </si>
  <si>
    <t>Regulated entity</t>
  </si>
  <si>
    <t>; 'I_Accounting'!$E$6</t>
  </si>
  <si>
    <t>Soveltamisalakerroin</t>
  </si>
  <si>
    <t>Scope factor</t>
  </si>
  <si>
    <t>Määrittämistason 2 menetelmät</t>
  </si>
  <si>
    <t>Tier 2 methods</t>
  </si>
  <si>
    <t>Alkuperäketju</t>
  </si>
  <si>
    <t>Chain-of-custody</t>
  </si>
  <si>
    <t xml:space="preserve">Jäljitettävissä oleva sopimusjärjestelyjen ja laskujen ketju </t>
  </si>
  <si>
    <t xml:space="preserve">Chain of traceable contractual arrangements and invoices </t>
  </si>
  <si>
    <t>Type II default values (tier 2a):</t>
  </si>
  <si>
    <t>Use other values published by the CA for more disaggregated fuel types in accordance with point (c) of Article 31(1), or other literature values which are agreed with the CA.</t>
  </si>
  <si>
    <t>This is the most common method to be applied for all commercial standard fuels, fuels meeting equivalent criteria at the national or regional level (Article 75k(2)) and category A entities.</t>
  </si>
  <si>
    <t>These are methods based on empirical correlations to derive emission factors for the fuel based on net calorific value for specific coal types. The empirical correlation is determined at least once per year in accordance with Articles 32 to 35 and 75m.</t>
  </si>
  <si>
    <t>The net calorific value may be derived from the purchasing records provided by the fuel trading partner, provided it has been derived based on accepted national or international standards.</t>
  </si>
  <si>
    <t xml:space="preserve">In this case the requirements of Article 32 to 35 on analyses are fully applicable, including the use of the 'established proxies', if applicable and where the uncertainty of the empirical correlation does not exceed 1/3 of the uncertainty value associated with the applicable tier for released fuel amounts. </t>
  </si>
  <si>
    <t xml:space="preserve">Alternatively, the regulated entity can always assume a fossil fraction of 100%. This is considered a "No tier" methodology and a default value of 0% biomass fraction is applied. </t>
  </si>
  <si>
    <t>The biomass fraction is determined based on an estimation method in accordance with the second subparagraph of Article 75m(3), second subparagraph, submitted to the competent authority for approval.</t>
  </si>
  <si>
    <t>In this case laboratory analyses are to be carried out, in accordance with the first sub-paragraph of Article 75m(3) and Articles 32 to 35.</t>
  </si>
  <si>
    <t>Biomass mass balance (tier 3b):</t>
  </si>
  <si>
    <t>For fuels originating from a production process with defined and traceable input streams, the regulated entity may base the estimation on a mass balance of fossil and biomass carbon entering and leaving the process, such as the mass balance system in accordance with Article 30(1) of Directive (EU) 2018/2001.</t>
  </si>
  <si>
    <t>Yksikön muuntokerroin</t>
  </si>
  <si>
    <t>Unit conversion factor</t>
  </si>
  <si>
    <t>This sheet summarises the main information at entity and fuel stream level and aims to support the regulated entity, the verifier and the competent authority with understanding the entity's ETS2 activities as well as with exporting data into databases.</t>
  </si>
  <si>
    <t>Fuel streams</t>
  </si>
  <si>
    <t>Polttoainevirta</t>
  </si>
  <si>
    <t>Fuel Stream</t>
  </si>
  <si>
    <t>; 'C_FuelStreams'!$I$651; 'F_Timing'!$I$107</t>
  </si>
  <si>
    <t>(b): Erämittaus</t>
  </si>
  <si>
    <t>(b): Batch metering</t>
  </si>
  <si>
    <t>(c): Jatkuva mittaus</t>
  </si>
  <si>
    <t>(c): Continual metering</t>
  </si>
  <si>
    <t>Ostokirjanpito tai laskut</t>
  </si>
  <si>
    <t>Purchase records or invoices</t>
  </si>
  <si>
    <t>Summa ei ole 5 %:n sisällä vuotuisista päästöistä [kohta C 1 (c)]!</t>
  </si>
  <si>
    <t>Sum not within 5% of annual emissions (section C.1.c)!</t>
  </si>
  <si>
    <t>Road vehicles (e.g. trucks)</t>
  </si>
  <si>
    <t>Junat</t>
  </si>
  <si>
    <t>Trains</t>
  </si>
  <si>
    <t>Alukset</t>
  </si>
  <si>
    <t>Ships</t>
  </si>
  <si>
    <t>Fuel stations</t>
  </si>
  <si>
    <t>Polttoainekauppiaat</t>
  </si>
  <si>
    <t>Fuel traders</t>
  </si>
  <si>
    <t>Default value = 1</t>
  </si>
  <si>
    <t>Oletusarvo &lt; 1</t>
  </si>
  <si>
    <t>Default value &lt; 1</t>
  </si>
  <si>
    <t>National marking</t>
  </si>
  <si>
    <t>Epäsuorat menetelmät</t>
  </si>
  <si>
    <t>Indirect methods</t>
  </si>
  <si>
    <t>Physical distinction</t>
  </si>
  <si>
    <t>Kemiallinen erottelu</t>
  </si>
  <si>
    <t>Chemical distinction</t>
  </si>
  <si>
    <t>Euromarker</t>
  </si>
  <si>
    <t>ETS1 AER</t>
  </si>
  <si>
    <t>Polttoainevirtojen fyysinen erottelu</t>
  </si>
  <si>
    <t>Physical distinction of fuel flows</t>
  </si>
  <si>
    <t>Polttoaineiden kemiallisiin ominaisuuksiin perustuvat menetelmät</t>
  </si>
  <si>
    <t>Methods based on the chemical properties of fuels</t>
  </si>
  <si>
    <t>Veromerkin käyttö Euromarker-direktiivin mukaisesti</t>
  </si>
  <si>
    <t>Use of fiscal marker in accordance with the Euromarker Directive</t>
  </si>
  <si>
    <t>Information from ETS1 verified annual emissions report</t>
  </si>
  <si>
    <t>Kansallisten merkkiaineiden tai -värien (väriaineiden) käyttö</t>
  </si>
  <si>
    <t>Use of national markers or colours (dyes)</t>
  </si>
  <si>
    <t>Epäsuorat menetelmät ja korrelaatiot</t>
  </si>
  <si>
    <t>Indirect methods and correlations</t>
  </si>
  <si>
    <t>Oletusarvoinen soveltamisalakerroin 1</t>
  </si>
  <si>
    <t>Default scope factor of 1</t>
  </si>
  <si>
    <t>Oletusarvoinen soveltamisalakerroin alle 1</t>
  </si>
  <si>
    <t>Default scope factor lower than 1</t>
  </si>
  <si>
    <t>3a</t>
  </si>
  <si>
    <t>3b</t>
  </si>
  <si>
    <t>Polttoaineen määrä [t], [Nm3] tai [TJ]</t>
  </si>
  <si>
    <t>Amount of fuel [t], [Nm3], or [TJ]</t>
  </si>
  <si>
    <t>Kaupallisia peruspolttoaineita vastaavat polttoaineet (75 k artiklan 2 kohta)</t>
  </si>
  <si>
    <t>Fuels equivalent to commercial standard fuels (Art. 75k(2))</t>
  </si>
  <si>
    <t>Määrittämistason 3 menetelmät</t>
  </si>
  <si>
    <t>Tier 3 methods</t>
  </si>
  <si>
    <t>Estimation on a mass balance of fossil and biomass carbon</t>
  </si>
  <si>
    <t>3a/3b</t>
  </si>
  <si>
    <t>SÄÄNNELLYN YHTEISÖN PÄÄSTÖSELVITYS 2024</t>
  </si>
  <si>
    <t>ETS2 ANNUAL EMISSIONS REPORT</t>
  </si>
  <si>
    <t>a_Contents'!$C$6</t>
  </si>
  <si>
    <t>Tämän selvityksen versionumero:</t>
  </si>
  <si>
    <t>Version Number of this report:</t>
  </si>
  <si>
    <t>a_Contents'!$C$47</t>
  </si>
  <si>
    <t xml:space="preserve">Allekirjoitus, mikäli toimivaltainen viranomainen edellyttää allekirjoitettua paperiversiota vuotuisesta päästöselvityksestä.
Huom! Lomake toimitetaan Energiavirastolle sähköisesti ETS2-asiointijärjestelmän kautta eli lomaketta ei ole tarpeen tulostaa ja allekirjoittaa. </t>
  </si>
  <si>
    <t>If your competent authority requires you to hand in a signed paper copy of the annual emissions report, please use the space below for signature:</t>
  </si>
  <si>
    <t>a_Contents'!$C$49</t>
  </si>
  <si>
    <t>Direktiivillä 2003/87/EY ("päästökauppadirektiivi"), otetaan käyttöön erillinen päästökauppajärjestelmä rakennuksia, tieliikennettä ja muita aloja varten ("ETS2-järjestelmä") ja edellytetään, että säännellyillä yhteisöillä on asianomaisen toimivaltaisen viranomaisen myöntämä voimassa oleva kasvihuonekaasujen päästölupa ja että ne seuraavat päästöjään ja raportoivat niistä sekä antavat riippumattoman ja akkreditoidun todentajan todentaa raportit.</t>
  </si>
  <si>
    <t>Directive 2003/87/EC (the "ETS Directive") introduces a separate ETS for buildings, road transport and additional sectors (the "ETS2") and requires regulated entities to hold a valid GHG emissions permit issued by the relevant Competent Authority, to monitor and report their emissions, and have the reports verified by an independent and accredited verifier.</t>
  </si>
  <si>
    <t>b_Guidelines and conditions'!$D$8</t>
  </si>
  <si>
    <t>Tarkkailuasetuksen 75 p artiklassa esitetään vuotuisen päästöselvityksen sisältöä ja toimittamista koskevat erityisvaatimukset.</t>
  </si>
  <si>
    <t>Article 75p of the MRR sets out specific requirements for the content and submission of the verified annual emissions report.</t>
  </si>
  <si>
    <t>b_Guidelines and conditions'!$D$14</t>
  </si>
  <si>
    <t>Tarkkailuasetuksen 75 p artiklan 2 kohdan mukaan: ”Edellä 1 kohdassa tarkoitettujen vuotuisten päästöselvitysten on sisällettävä vähintään liitteessä X luetellut tiedot.”</t>
  </si>
  <si>
    <t>Article 75p(2): "The annual emissions reports referred to in paragraph 1 shall contain at least the information listed in Annex X."</t>
  </si>
  <si>
    <t>b_Guidelines and conditions'!$D$15</t>
  </si>
  <si>
    <t>Tarkkailuasetuksen 74 artiklan 1 kohdassa ja 75 artiklan u alakohdassa todetaan seuraavaa:</t>
  </si>
  <si>
    <t>Furthermore, Articles 74(1) and 75u state:</t>
  </si>
  <si>
    <t>b_Guidelines and conditions'!$D$16</t>
  </si>
  <si>
    <t xml:space="preserve">Tämä lomakepohja on komission laatima ja se sisältää tarkkailuasetuksen liitteessä X määritellyt vaatimukset sekä lisävaatimukset, joiden avulla säännelty yhteisö voi osoittaa, että tarkkailuasetusta noudatetaan. Jäsenvaltion toimivaltainen viranomainen on voinut muuttaa sitä tietyin jäljempänä kuvatuin edellytyksin. </t>
  </si>
  <si>
    <t xml:space="preserve">This file constitutes the reporting template developed by the Commission services and includes the requirements defined in Annex X as well as further requirements to assist the operator in demonstrating compliance with the MRR. Under certain conditions as described below, it may have been amended to a limited extent by a Member State's competent authority. </t>
  </si>
  <si>
    <t>b_Guidelines and conditions'!$D$18</t>
  </si>
  <si>
    <t xml:space="preserve">Tämä lomakepohja edustaa komission näkemystä lomakkeen julkaisuhetkellä. </t>
  </si>
  <si>
    <t xml:space="preserve">This reporting template represents the views of the Commission services at the time of publication. </t>
  </si>
  <si>
    <t>b_Guidelines and conditions'!$D$19</t>
  </si>
  <si>
    <t>This is the final version of the annual emissions report template for ETS2 regulated entities of the EU ETS. Updated version of 12 December 2024.</t>
  </si>
  <si>
    <t>b_Guidelines and conditions'!$D$20</t>
  </si>
  <si>
    <t>Tämän vuotuisten päästöjen selvitysmallin täyttämisen jälkeen on suoritettava seuraavat vaiheet:</t>
  </si>
  <si>
    <t>After completing this annual emissions report template, the following steps have to be carried out:</t>
  </si>
  <si>
    <t>b_Guidelines and conditions'!$D$22</t>
  </si>
  <si>
    <t>Selvitys lähetetään todentajalle todentamista varten tarkkailuasetuksen 75 p artiklan 1 kohdan mukaisesti.</t>
  </si>
  <si>
    <t>send the report to a verifier for the purpose of verification in accordance with Article 75p(1) of the MRR,</t>
  </si>
  <si>
    <t>b_Guidelines and conditions'!$E$23</t>
  </si>
  <si>
    <t>Todentajan asetuksen (EU) 2018/2067 mukaisesti todentama versio toimitetaan toimivaltaiselle viranomaiselle kunkin vuoden huhtikuun 30 päivään mennessä, jollei toimivaltainen viranomainen edellytä todennetun vuotuisen päästöselvityksen toimittamista aikaisemmin.</t>
  </si>
  <si>
    <t>the version verified by a verifier in accordance with Regulation (EU) 2018/2067 shall be submitted to the competent authority by 30 April of each year unless the competent authority requires submitting the verified annual emission report earlier.</t>
  </si>
  <si>
    <t>b_Guidelines and conditions'!$E$24</t>
  </si>
  <si>
    <t>It is recommended to read the "General MRR Guidance for ETS2 entities".</t>
  </si>
  <si>
    <t>b_Guidelines and conditions'!$D$28</t>
  </si>
  <si>
    <t xml:space="preserve">Tämä päästöselvitys on toimitettava toimivaltaiselle viranomaiselle, Energiavirastolle, ETS2-asiointijärjestelmän kautta. </t>
  </si>
  <si>
    <t>This reporting template must be submitted to your competent authority at the following address:</t>
  </si>
  <si>
    <t>b_Guidelines and conditions'!$D$36</t>
  </si>
  <si>
    <t>Ota yhteyttä toimivaltaiseen viranomaiseen, jos tarvitset apua päästöselvityksen laatimisessa. Energiaviraston yhteystiedot: ETS2@energiavirasto.fi</t>
  </si>
  <si>
    <t>Contact your CA if you need assistance to complete your Annual Report. Some Member States have produced guidance documents which you may find useful in addition to the Commission's guidance mentioned above.</t>
  </si>
  <si>
    <t>b_Guidelines and conditions'!$D$47</t>
  </si>
  <si>
    <t>Luottamuksellisuusvakuutus – Tällä päästöselvityksellä toimitettuihin tietoihin voidaan soveltaa asiakirjajulkisuutta koskevia vaatimuksia, mukaan lukien ympäristötiedon julkisesta saatavuudesta annettu direktiivi 2003/4/EY. Jos katsot, että hakemuksesi yhteydessä antamiasi tietoja tulisi käsitellä salassa pidettävinä, ilmoita asiasta toimivaltaiselle viranomaiselle. Direktiivin 2003/4/EY säännösten mukaan mukaan toimivaltainen viranomainen voi olla velvollinen luovuttamaan tietoja, vaikka hakija pyytäisi niiden pitämistä luottamuksellisina.</t>
  </si>
  <si>
    <t>Confidentiality statement- The information submitted in respect of this report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CA know. You should be aware that under the provisions Directive 2003/4/EC, the CA may be obliged to disclose information even where the applicant requests that it is kept confidential.</t>
  </si>
  <si>
    <t>b_Guidelines and conditions'!$D$48</t>
  </si>
  <si>
    <t>Tämä lomakepohja on kehitetty tarkkailuasetuksen edellyttämän vuotuisen päästöselvityksen vähimmäissisällön huomioon ottamiseksi. Säänneltyjen yhteisöjen tulee  tutustua tarkkailuasetukseen ja kansallisen viranomaisen (mahdollisiin) lisävaatimuksiin lomakepohjaa täyttäessään.</t>
  </si>
  <si>
    <t>This template has been developed to accommodate the minimum content of an annual emissions report required by the MRR. Operators should therefore refer to the MRR and additional Member State requirements (if any) when completing.</t>
  </si>
  <si>
    <t>b_Guidelines and conditions'!$D$64</t>
  </si>
  <si>
    <t>Suosittelemme, että käytte tiedoston läpi alusta loppuun. Tietyt lomakkeen täyttämistä ohjaavat toiminnot ovat riippuvaisia aiemmista vastauksista, esimerkiksi solujen väri muuttuu, jos niitä ei tarvitse täyttää (ks. jäljempänä värikoodit).</t>
  </si>
  <si>
    <t>It is recommended that you go through the file from start to end. There are a few functions which will guide you through the form and which depend on previous input, such as cells changing colour if an input is not needed (see colour codes below).</t>
  </si>
  <si>
    <t>b_Guidelines and conditions'!$D$65</t>
  </si>
  <si>
    <t>Jäsenvaltioiden on täytettävä harmaalla varjostetut kentät ennen lomakkeen mukautetun version julkaisemista.</t>
  </si>
  <si>
    <t>Grey shaded areas should be filled by Member States before publishing customised version of the template.</t>
  </si>
  <si>
    <t>b_Guidelines and conditions'!$G$74</t>
  </si>
  <si>
    <t>Välilehtien yläosassa olevat navigointipaneelit sisältävät linkkejä lomakkeen muille välilehdille. Ensimmäinen rivi ("Sisällysluettelo", "Edellinen välilehti", "Seuraava välilehti", "Laskentataulukko"). Yksittäisille välilehdille on lisätty myös lisävalikkoja.</t>
  </si>
  <si>
    <t>Navigation panels at the top of each sheet provide hyperlinks for quick jumps to individual input sections. The first line ("Table of contents", "Previous sheet", "Next sheet", "Accounting sheet"). Depending on the sheet, further menu items are added.</t>
  </si>
  <si>
    <t>b_Guidelines and conditions'!$D$77</t>
  </si>
  <si>
    <t>Tietokenttiä ei ole optimoitu tiettyjä numeerisia ja muita muotoja varten. Välilehtien suojaus sallii kuitenkin omien muotojen käytön. Voit päättää näytettävien desimaalien määrän. Desimaalien määrä ei periaatteessa ole yhteydessä laskentatarkkuuteen. MS Excelin vaihtoehto ”Tarkkuus kuten näytössä” (”Precision as displayed”) on otettava pois käytöstä. Lisätietoja tästä aiheesta saa MS Excelin ”Ohje”-toiminnosta (”Help”).</t>
  </si>
  <si>
    <t>Data fields have not been optimised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In principle the option "Precision as displayed" of MS Excel should be deactivated. For more details, consult MS Excel's "Help" function on this topic.</t>
  </si>
  <si>
    <t>b_Guidelines and conditions'!$D$80</t>
  </si>
  <si>
    <t>A. Säännellyn yhteisön tiedot</t>
  </si>
  <si>
    <t>A. Entity ID</t>
  </si>
  <si>
    <t>A_EntityID'!$B$2</t>
  </si>
  <si>
    <t>A. Regulated entity identification</t>
  </si>
  <si>
    <t>A_EntityID'!$C$6</t>
  </si>
  <si>
    <t>Raportointivuosi</t>
  </si>
  <si>
    <t>Reporting year</t>
  </si>
  <si>
    <t>A_EntityID'!$D$9</t>
  </si>
  <si>
    <t>Please note that - subject to the administrative practice in the Member State - changes regarding the name or identity of the regulated entity, or other information relevant for the permit will require a formal notification to the competent authority pursuant to Article 7 of the EU ETS Directive.</t>
  </si>
  <si>
    <t>A_EntityID'!$D$12</t>
  </si>
  <si>
    <t>Säännellyn yhteisön tietojen ja yhteystietojen tulee olla ajantasalla ETS2-asiointijärjestelmässä. Energiavirasto ottaa yhteyttä ETS2-asiointijärjestelmässä ilmoitettuun henkilöön säännellyn yhteisön hakemuksiin ja raportteihin liittyvissä asioissa.</t>
  </si>
  <si>
    <t>Reporting of such changes in this sheet will usually not be sufficient. However, the most recent data has to be filled in here.</t>
  </si>
  <si>
    <t>A_EntityID'!$D$13</t>
  </si>
  <si>
    <t>Include any Member State specific guidance</t>
  </si>
  <si>
    <t>A_EntityID'!$D$14</t>
  </si>
  <si>
    <t>Tarkkailu- ja raportointitiedot</t>
  </si>
  <si>
    <t>Monitoring &amp; Reporting details</t>
  </si>
  <si>
    <t>A_EntityID'!$D$68</t>
  </si>
  <si>
    <t>Tarkkailusuunnitelma</t>
  </si>
  <si>
    <t>Monitoring plan</t>
  </si>
  <si>
    <t>A_EntityID'!$E$70</t>
  </si>
  <si>
    <t>Lupien myöntämisestä vastaava toimivaltainen viranomainen</t>
  </si>
  <si>
    <t>Competent Authority for permitting</t>
  </si>
  <si>
    <t>A_EntityID'!$E$72</t>
  </si>
  <si>
    <t>Tarkkailusuunnitelman viimeisin hyväksytty versionumero</t>
  </si>
  <si>
    <t>Latest approved version number of the monitoring plan</t>
  </si>
  <si>
    <t>A_EntityID'!$E$74</t>
  </si>
  <si>
    <t>Onko tarkkailusuunnitelmassa tapahtunut muutoksia edelliseen vuoteen verrattuna?</t>
  </si>
  <si>
    <t>Have there been changes in monitoring plan compared to previous year?</t>
  </si>
  <si>
    <t>A_EntityID'!$E$76</t>
  </si>
  <si>
    <t>Vuotuisen päästöselvityksen versionumerointi</t>
  </si>
  <si>
    <t>Annual emissions report version numbering</t>
  </si>
  <si>
    <t>A_EntityID'!$E$78</t>
  </si>
  <si>
    <t>Tämän raportointivuoden versionumero:</t>
  </si>
  <si>
    <t>Version number in this reporting year:</t>
  </si>
  <si>
    <t>A_EntityID'!$E$80</t>
  </si>
  <si>
    <t>Yksilöllinen version tunniste:</t>
  </si>
  <si>
    <t>Unique version identifier:</t>
  </si>
  <si>
    <t>A_EntityID'!$E$81</t>
  </si>
  <si>
    <r>
      <rPr>
        <b/>
        <sz val="10"/>
        <rFont val="Arial"/>
        <family val="2"/>
      </rPr>
      <t xml:space="preserve">Lisätiedot: </t>
    </r>
    <r>
      <rPr>
        <sz val="10"/>
        <rFont val="Arial"/>
        <family val="2"/>
      </rPr>
      <t xml:space="preserve">
tapa, jolla biomassan kestävyys on osoitettu; 
muut polttoainevirtaa koskevat lisätiedot. </t>
    </r>
  </si>
  <si>
    <t>Comments:</t>
  </si>
  <si>
    <t>A_EntityID'!$E$83; 'C_FuelStreams'!$F$68; 'C_FuelStreams'!$F$92; 'C_FuelStreams'!$F$116; 'C_FuelStreams'!$F$140; 'C_FuelStreams'!$F$164; 'C_FuelStreams'!$F$188; 'C_FuelStreams'!$F$212; 'C_FuelStreams'!$F$236; 'C_FuelStreams'!$F$260; 'C_FuelStreams'!$F$284; 'C_FuelStreams'!$F$308; 'C_FuelStreams'!$F$332; 'C_FuelStreams'!$F$356; 'C_FuelStreams'!$F$380; 'C_FuelStreams'!$F$404; 'C_FuelStreams'!$F$428; 'C_FuelStreams'!$F$452; 'C_FuelStreams'!$F$476; 'C_FuelStreams'!$F$500; 'C_FuelStreams'!$F$524; 'C_FuelStreams'!$F$548; 'C_FuelStreams'!$F$572; 'C_FuelStreams'!$F$596; 'C_FuelStreams'!$F$620; 'C_FuelStreams'!$F$644</t>
  </si>
  <si>
    <t>Jos yhteisön toiminnassa on tapahtunut merkityksellisiä muutoksia tai raportointikauden aikana on tapahtunut muutoksia tai väliaikaisia poikkeamia toimivaltaisen viranomaisen hyväksymään tarkkailusuunnitelmaan, mukaan lukien määrittämistasojen väliaikaiset tai pysyvät muutokset, kuvaile niitä ja perustele muutokset sekä ilmoita muutosten alkamispäivä sekä väliaikaisten muutosten alkamis- ja päättymispäivät.</t>
  </si>
  <si>
    <t>If there have been any relevant changes in the operations of an entity or changes or temporary deviations that occurred during the reporting period to the monitoring plan approved by the competent authority, including temporary or permanent changes of tiers, please describe those and provide reasons, the starting date for the changes, and starting and ending dates of temporary changes.</t>
  </si>
  <si>
    <t>A_EntityID'!$E$84</t>
  </si>
  <si>
    <t>Huomioithan, että tässä esitettyihin muutoksiin liittyviä kommentteja ei voida pitää virallisena hakemuksena tarkkailusuunnitelman muuttamisesta. Kaikista tässä luetelluista muutoksista ja poikkeamista on ilmoitettava toimivaltaiselle viranomaiselle vakiomenettelyillä.</t>
  </si>
  <si>
    <t>Please note that comments related to any changes here cannot be regarded as an official application for changing the monitoring plan. All changes and deviations listed here need to be notified to the CA via the regular procedures.</t>
  </si>
  <si>
    <t>A_EntityID'!$E$85</t>
  </si>
  <si>
    <t>Todentajan yhteystiedot</t>
  </si>
  <si>
    <t>Verifier contact</t>
  </si>
  <si>
    <t>A_EntityID'!$D$92</t>
  </si>
  <si>
    <t>Todentajan nimi ja osoite:</t>
  </si>
  <si>
    <t>Name and address of the verifier:</t>
  </si>
  <si>
    <t>A_EntityID'!$E$94</t>
  </si>
  <si>
    <t>Yrityksen nimi:</t>
  </si>
  <si>
    <t>Company Name:</t>
  </si>
  <si>
    <t>A_EntityID'!$E$95</t>
  </si>
  <si>
    <t>Katuosoite:</t>
  </si>
  <si>
    <t>Street, Number:</t>
  </si>
  <si>
    <t>A_EntityID'!$E$96</t>
  </si>
  <si>
    <t>Post code:</t>
  </si>
  <si>
    <t>A_EntityID'!$E$98</t>
  </si>
  <si>
    <t>Todentajan yhteyshenkilö:</t>
  </si>
  <si>
    <t>Contact person for the verifier:</t>
  </si>
  <si>
    <t>A_EntityID'!$E$101</t>
  </si>
  <si>
    <t>Nimetyn henkilön on oltava perehtynyt raportin tietoihin. Henkilön on oltava EU:n päästökauppajärjestelmän johtava auditoija.</t>
  </si>
  <si>
    <t>The nominated person should be familiar with this report. This person must be the lead EU ETS auditor.</t>
  </si>
  <si>
    <t>A_EntityID'!$E$102</t>
  </si>
  <si>
    <t>Nimi:</t>
  </si>
  <si>
    <t>Name:</t>
  </si>
  <si>
    <t>A_EntityID'!$E$103</t>
  </si>
  <si>
    <t>Tiedot todentajan akkreditoinnista tai sertifioinnista:</t>
  </si>
  <si>
    <t>Information about the verifier's accreditation or certification:</t>
  </si>
  <si>
    <t>A_EntityID'!$E$107</t>
  </si>
  <si>
    <t>On huomattava, että ”akkreditointi- ja todentamisasetuksen (asetus (EU) 2018/2067) 55 artiklan 2 kohdan mukaan jäsenvaltio voi sallia luonnollisten henkilöiden sertifioinnin todentajiksi kansallisen akkreditointielimen sijasta jollekin muulle kansalliselle viranomaiselle.</t>
  </si>
  <si>
    <t>Note that pursuant to Article 55(2) of the "AVR" (Accreditation and Verification Regulation; Regulation (EU) 2018/2067), a Member State may choose to entrust certification of natural persons as verifiers to a national authority other than the national accreditation body.</t>
  </si>
  <si>
    <t>A_EntityID'!$E$108</t>
  </si>
  <si>
    <t>Tällöin ”akkreditointi” olisi ymmärrettävä ”sertifioinniksi” ja ”akkreditointielin” ”kansalliseksi viranomaiseksi”.</t>
  </si>
  <si>
    <t>In such cases, "accreditation" should be read as "certification", and "accreditation body" as "national authority".</t>
  </si>
  <si>
    <t>A_EntityID'!$E$109</t>
  </si>
  <si>
    <t>Tällaisten rekisteröintitietojen saatavuus voi riippua hallinnoivan jäsenvaltion käytännöistä todentajien akkreditoinnissa.</t>
  </si>
  <si>
    <t>The availability of such registration information may depend on the administering Member State's practice of accreditation of verifiers.</t>
  </si>
  <si>
    <t>A_EntityID'!$E$110</t>
  </si>
  <si>
    <t>Akkreditoiva jäsenvaltio:</t>
  </si>
  <si>
    <t>Accreditation Member State:</t>
  </si>
  <si>
    <t>A_EntityID'!$E$111</t>
  </si>
  <si>
    <t>Akkreditointielimen antama rekisteröintinumero:</t>
  </si>
  <si>
    <t>Registration number issued by the Accreditation body:</t>
  </si>
  <si>
    <t>A_EntityID'!$E$112</t>
  </si>
  <si>
    <t>B. Polttoainevirtojen tiedot</t>
  </si>
  <si>
    <t>B. Identify fuel streams</t>
  </si>
  <si>
    <t>B_IdentifyFuelStreams'!$B$2</t>
  </si>
  <si>
    <t>B. Identification of relevant fuel streams and related details</t>
  </si>
  <si>
    <t>B_IdentifyFuelStreams'!$C$6</t>
  </si>
  <si>
    <t>Annex X requires the annual emissions report to include a description of the means through which the fuels are released for consumption.</t>
  </si>
  <si>
    <t>B_IdentifyFuelStreams'!$E$11</t>
  </si>
  <si>
    <t>Valitse sarakkeessa "Nimi" pudotusvalikosta soveltuva vaihtoehto tai kirjoita kohtaan vapaamuotoinen lyhyt kuvaus tai tunniste. Tarvittaessa lisää tarkempi kuvaus viereiseen sarakkeeseen. Tässä annetut tiedot löytyvät pudotusvalikosta taulukossa 2 b sarakkeessa, jossa kulutukseen luovutuksen tapa valitaan.</t>
  </si>
  <si>
    <t>The list entered here will be available as a drop-down list for fuel streams (section 2.b) where a reference to the relevant means is needed. Please therefore provide a short name or ID (either from drop-down list or enter free text) for easier reference, accompanied by a more detailed description.</t>
  </si>
  <si>
    <t>B_IdentifyFuelStreams'!$E$12; 'B_IdentifyFuelStreams'!$E$31</t>
  </si>
  <si>
    <t>The first two lines show examples for how this section should be completed. Please ensure consistency with the relevant sections in the monitoring plan.</t>
  </si>
  <si>
    <t>B_IdentifyFuelStreams'!$E$13; 'B_IdentifyFuelStreams'!$E$32; 'B_IdentifyFuelStreams'!$E$95</t>
  </si>
  <si>
    <t>Further to the means under a) above, please list here the relevant (intermediary) consumers downstream to which you directly supply fuels next in the supply chain, to the extent known. This could be that you are 'directly connected to end consumers' or intermediary fuel traders are involved or 'fuel stations'. Where not feasible to list all parties without unreasonable effort and subject to the applied methods for the scope factor, please list at least the first type of intermediary party directly downstream to you.</t>
  </si>
  <si>
    <t>B_IdentifyFuelStreams'!$E$30</t>
  </si>
  <si>
    <t>Please list here all relevant fuel streams in your regulated entity. For definition of the term "fuel stream" please see the "General guidance for ETS2 regulated entities".</t>
  </si>
  <si>
    <t>B_IdentifyFuelStreams'!$E$51</t>
  </si>
  <si>
    <t>Each fuel stream should be identified by the following steps:</t>
  </si>
  <si>
    <t>B_IdentifyFuelStreams'!$E$52</t>
  </si>
  <si>
    <t>Valitse polttoainevirran tyyppi pudotusvalikosta.</t>
  </si>
  <si>
    <t>Choose the fuel stream type from the drop-down list</t>
  </si>
  <si>
    <t>B_IdentifyFuelStreams'!$F$53</t>
  </si>
  <si>
    <t>Polttoainevirran tyyppi (esim. kiinteät polttoaineet) määrittää kyseiseen polttoainevirtaan sovellettavan vähimmäismäärittämistason tarkkailusuunnitelmassa.</t>
  </si>
  <si>
    <t>The fuel stream type is to be understood as a set of rules to be used according to the MRR. This classification is the basis for further obligations, e.g. tiers to be applied.</t>
  </si>
  <si>
    <t>B_IdentifyFuelStreams'!$F$54</t>
  </si>
  <si>
    <t>Valitse polttoainevirran luokka pudotusvalikosta.</t>
  </si>
  <si>
    <t>Choose a fuel stream category from the drop-down list</t>
  </si>
  <si>
    <t>B_IdentifyFuelStreams'!$F$55</t>
  </si>
  <si>
    <t>The fuel stream category depends on the fuel stream type chosen and may be e.g. "Gaseous - Natural Gas", "Liquid - Heavy Fuel Oil",..</t>
  </si>
  <si>
    <t>B_IdentifyFuelStreams'!$F$56</t>
  </si>
  <si>
    <t>Important! Please note that there will always be "other" fuels available in the drop-down list. For consistency reasons please make sure that those "others" are only selected if there really is no suitable fuel available from the drop-down list. Furthermore, the list in your Member State specific template may contain different names than the EU template. Please therefore always use the version as required by your competent authority.</t>
  </si>
  <si>
    <t>B_IdentifyFuelStreams'!$F$57</t>
  </si>
  <si>
    <t>Enter a further name or detail, if appropriate</t>
  </si>
  <si>
    <t>B_IdentifyFuelStreams'!$F$58</t>
  </si>
  <si>
    <t>If the fuel stream category still represents a class of more aggregate fuels, you may further specify the fuel stream by entering a name (e.g. there might be specific names to identify a certain grade of the same fuel stream category). Depending on the fuel stream category this input field will be mandatory or optional.</t>
  </si>
  <si>
    <t>B_IdentifyFuelStreams'!$F$59</t>
  </si>
  <si>
    <t>Where different scope factor methods are used for the same fuel stream category, you should split the total fuel amount into separate fuel streams. For example, if scope factor Tier 3 (ETS1 Annual Emissions Reports) is applied to identify amounts released to ETS1 and scope factor Tier 2 (chain-of-custody) is applied to identify for all other consumers whether they fall under the scope of ETS2, two distinct fuel streams should be established.</t>
  </si>
  <si>
    <t>B_IdentifyFuelStreams'!$F$60</t>
  </si>
  <si>
    <t>Kolmella ensimmäisellä rivillä on esimerkkejä siitä, miten tämä osa täytetään.</t>
  </si>
  <si>
    <t>The first three lines show examples for how this section should be completed.</t>
  </si>
  <si>
    <t>B_IdentifyFuelStreams'!$E$61</t>
  </si>
  <si>
    <t>Polttoainevirran luokka</t>
  </si>
  <si>
    <t>Fuel stream category</t>
  </si>
  <si>
    <t>B_IdentifyFuelStreams'!$I$63</t>
  </si>
  <si>
    <t>Lisätiedot</t>
  </si>
  <si>
    <t>Further name or detail</t>
  </si>
  <si>
    <t>B_IdentifyFuelStreams'!$L$63</t>
  </si>
  <si>
    <t>Error</t>
  </si>
  <si>
    <t>B_IdentifyFuelStreams'!$N$63</t>
  </si>
  <si>
    <t>Nestemäinen – Moottoribensiini</t>
  </si>
  <si>
    <t>Liquid - Motor Gasoline</t>
  </si>
  <si>
    <t>B_IdentifyFuelStreams'!$I$64</t>
  </si>
  <si>
    <t>Kaasumainen – Maakaasu</t>
  </si>
  <si>
    <t>Gaseous - Natural Gas</t>
  </si>
  <si>
    <t>B_IdentifyFuelStreams'!$I$65; 'B_IdentifyFuelStreams'!$I$66</t>
  </si>
  <si>
    <t xml:space="preserve">Maakaasu – loppukäyttö ETS1-päästökaupan soveltamisalassa </t>
  </si>
  <si>
    <t>NG - ETS1 consumers</t>
  </si>
  <si>
    <t>B_IdentifyFuelStreams'!$L$65</t>
  </si>
  <si>
    <t>P03</t>
  </si>
  <si>
    <t>F03</t>
  </si>
  <si>
    <t>B_IdentifyFuelStreams'!$D$66</t>
  </si>
  <si>
    <t xml:space="preserve">Maakaasu – loppukäyttö ETS2-päästökaupan soveltamisalassa </t>
  </si>
  <si>
    <t>NG - Other consumers</t>
  </si>
  <si>
    <t>B_IdentifyFuelStreams'!$L$66</t>
  </si>
  <si>
    <t>Polttoainevirtojen kulutukseen luovutuksen tavat:</t>
  </si>
  <si>
    <t>Attributing means through which fuels are released for consumption to fuel streams</t>
  </si>
  <si>
    <t>B_IdentifyFuelStreams'!$E$93</t>
  </si>
  <si>
    <t>Please select from the respective drop-down lists the relevant means through which fuels are released for consumption: the physical means (pipelines, trucks, etc.) as well as the types of intermediary consumers (fuel traders, etc.), as provided under sections 1.a and 1.b. If more than one means is relevant, please enter e.g. "MR1, MR2", "IP3, IP5", respectively.</t>
  </si>
  <si>
    <t>B_IdentifyFuelStreams'!$E$94</t>
  </si>
  <si>
    <t>P1. Kaasumainen – Maakaasu</t>
  </si>
  <si>
    <t>F1. Gaseous - Natural Gas</t>
  </si>
  <si>
    <t>B_IdentifyFuelStreams'!$E$98; 'D_ETS1Amounts'!$H$55</t>
  </si>
  <si>
    <t>VO6: Suora yhteys loppukuluttajiin</t>
  </si>
  <si>
    <t>IP6: Directly connected to end consumers</t>
  </si>
  <si>
    <t>B_IdentifyFuelStreams'!$M$98</t>
  </si>
  <si>
    <t>P3. Nestemäinen – Moottoribensiini</t>
  </si>
  <si>
    <t>F3. Liquid - Motor Gasoline</t>
  </si>
  <si>
    <t>B_IdentifyFuelStreams'!$E$99</t>
  </si>
  <si>
    <t>VO1, VO2</t>
  </si>
  <si>
    <t>IP1, IP2</t>
  </si>
  <si>
    <t>B_IdentifyFuelStreams'!$M$99</t>
  </si>
  <si>
    <t>C. Päästölaskenta</t>
  </si>
  <si>
    <t>C. Fuel streams</t>
  </si>
  <si>
    <t>C_FuelStreams'!$B$2</t>
  </si>
  <si>
    <t>C. Fuel Streams</t>
  </si>
  <si>
    <t>C_FuelStreams'!$C$8</t>
  </si>
  <si>
    <t>Polttoainevirtojen päästöt</t>
  </si>
  <si>
    <t>Emissions from fuel streams</t>
  </si>
  <si>
    <t>C_FuelStreams'!$D$10</t>
  </si>
  <si>
    <t>Abbreviations:</t>
  </si>
  <si>
    <t>C_FuelStreams'!$E$12; 'D_ETS1Amounts'!$E$15; 'E_DataGaps'!$E$10; 'F_Timing'!$E$15</t>
  </si>
  <si>
    <t>Polttoaineen määrä:</t>
  </si>
  <si>
    <t>RFA:</t>
  </si>
  <si>
    <t>C_FuelStreams'!$E$13; 'C_FuelStreams'!$D$53; 'C_FuelStreams'!$D$77; 'C_FuelStreams'!$D$101; 'C_FuelStreams'!$D$125; 'C_FuelStreams'!$D$149; 'C_FuelStreams'!$D$173; 'C_FuelStreams'!$D$197; 'C_FuelStreams'!$D$221; 'C_FuelStreams'!$D$245; 'C_FuelStreams'!$D$269; 'C_FuelStreams'!$D$293; 'C_FuelStreams'!$D$317; 'C_FuelStreams'!$D$341; 'C_FuelStreams'!$D$365; 'C_FuelStreams'!$D$389; 'C_FuelStreams'!$D$413; 'C_FuelStreams'!$D$437; 'C_FuelStreams'!$D$461; 'C_FuelStreams'!$D$485; 'C_FuelStreams'!$D$509; 'C_FuelStreams'!$D$533; 'C_FuelStreams'!$D$557; 'C_FuelStreams'!$D$581; 'C_FuelStreams'!$D$605; 'C_FuelStreams'!$D$629</t>
  </si>
  <si>
    <t>Kulutukseen luovutettu polttoainemäärä.</t>
  </si>
  <si>
    <t>The released fuel amount is the amount of fuels released for consumption.</t>
  </si>
  <si>
    <t>C_FuelStreams'!$F$13</t>
  </si>
  <si>
    <t>Päästökerroin (alustava):</t>
  </si>
  <si>
    <t>(prelim) EF:</t>
  </si>
  <si>
    <t>C_FuelStreams'!$E$14; 'C_FuelStreams'!$D$56; 'C_FuelStreams'!$D$80; 'C_FuelStreams'!$D$104; 'C_FuelStreams'!$D$128; 'C_FuelStreams'!$D$152; 'C_FuelStreams'!$D$176; 'C_FuelStreams'!$D$200; 'C_FuelStreams'!$D$224; 'C_FuelStreams'!$D$248; 'C_FuelStreams'!$D$272; 'C_FuelStreams'!$D$296; 'C_FuelStreams'!$D$320; 'C_FuelStreams'!$D$344; 'C_FuelStreams'!$D$368; 'C_FuelStreams'!$D$392; 'C_FuelStreams'!$D$416; 'C_FuelStreams'!$D$440; 'C_FuelStreams'!$D$464; 'C_FuelStreams'!$D$488; 'C_FuelStreams'!$D$512; 'C_FuelStreams'!$D$536; 'C_FuelStreams'!$D$560; 'C_FuelStreams'!$D$584; 'C_FuelStreams'!$D$608; 'C_FuelStreams'!$D$632</t>
  </si>
  <si>
    <t>The "preliminary" emission factor is the assumed total emission factor of fuel based on the total carbon content composed of biomass fraction and fossil fraction before multiplying it with the fossil fraction to result in the emission factor.</t>
  </si>
  <si>
    <t>C_FuelStreams'!$F$14</t>
  </si>
  <si>
    <t>Yksikön muuntokerroin:</t>
  </si>
  <si>
    <t>UCF:</t>
  </si>
  <si>
    <t>C_FuelStreams'!$E$15; 'C_FuelStreams'!$D$55; 'C_FuelStreams'!$D$79; 'C_FuelStreams'!$D$103; 'C_FuelStreams'!$D$127; 'C_FuelStreams'!$D$151; 'C_FuelStreams'!$D$175; 'C_FuelStreams'!$D$199; 'C_FuelStreams'!$D$223; 'C_FuelStreams'!$D$247; 'C_FuelStreams'!$D$271; 'C_FuelStreams'!$D$295; 'C_FuelStreams'!$D$319; 'C_FuelStreams'!$D$343; 'C_FuelStreams'!$D$367; 'C_FuelStreams'!$D$391; 'C_FuelStreams'!$D$415; 'C_FuelStreams'!$D$439; 'C_FuelStreams'!$D$463; 'C_FuelStreams'!$D$487; 'C_FuelStreams'!$D$511; 'C_FuelStreams'!$D$535; 'C_FuelStreams'!$D$559; 'C_FuelStreams'!$D$583; 'C_FuelStreams'!$D$607; 'C_FuelStreams'!$D$631</t>
  </si>
  <si>
    <t>The unit conversion factor converting the unit in which released fuel amounts are expressed, into amounts expressed as energy in TJ, mass in tonnes or volume in Nm³, where appropriate. It all relevant factors such as the density, the net calorific value or (for gases) the conversion from gross calorific value to net calorific value, as applicable.</t>
  </si>
  <si>
    <t>C_FuelStreams'!$F$15</t>
  </si>
  <si>
    <t>Biomassaosuus:</t>
  </si>
  <si>
    <t>BioF:</t>
  </si>
  <si>
    <t>C_FuelStreams'!$E$16; 'C_FuelStreams'!$D$57; 'C_FuelStreams'!$D$81; 'C_FuelStreams'!$D$105; 'C_FuelStreams'!$D$129; 'C_FuelStreams'!$D$153; 'C_FuelStreams'!$D$177; 'C_FuelStreams'!$D$201; 'C_FuelStreams'!$D$225; 'C_FuelStreams'!$D$249; 'C_FuelStreams'!$D$273; 'C_FuelStreams'!$D$297; 'C_FuelStreams'!$D$321; 'C_FuelStreams'!$D$345; 'C_FuelStreams'!$D$369; 'C_FuelStreams'!$D$393; 'C_FuelStreams'!$D$417; 'C_FuelStreams'!$D$441; 'C_FuelStreams'!$D$465; 'C_FuelStreams'!$D$489; 'C_FuelStreams'!$D$513; 'C_FuelStreams'!$D$537; 'C_FuelStreams'!$D$561; 'C_FuelStreams'!$D$585; 'C_FuelStreams'!$D$609; 'C_FuelStreams'!$D$633</t>
  </si>
  <si>
    <t>The biomass fraction is the ratio of carbon stemming from biomass to the total carbon content of a fuel, expressed as a fraction.</t>
  </si>
  <si>
    <t>C_FuelStreams'!$F$16</t>
  </si>
  <si>
    <t>This value should relate to all biomass for which the following conditions are satisfied:</t>
  </si>
  <si>
    <t>C_FuelStreams'!$F$17</t>
  </si>
  <si>
    <t>sustainability criteria (Article 38(5)) are not applicable, OR</t>
  </si>
  <si>
    <t>C_FuelStreams'!$G$18</t>
  </si>
  <si>
    <t>sustainability criteria (Article 38(5)) are to be applied and those criteria are satisfied.</t>
  </si>
  <si>
    <t>C_FuelStreams'!$G$19</t>
  </si>
  <si>
    <t>Further guidance can be found in Guidance Document 3 on "Biomass issues" (see link below)</t>
  </si>
  <si>
    <t>C_FuelStreams'!$F$20; 'C_FuelStreams'!$F$24</t>
  </si>
  <si>
    <t>Ei kestävä biomassaosuus:</t>
  </si>
  <si>
    <t>non-sust. BioF:</t>
  </si>
  <si>
    <t>C_FuelStreams'!$E$22; 'C_FuelStreams'!$D$58; 'C_FuelStreams'!$D$82; 'C_FuelStreams'!$D$106; 'C_FuelStreams'!$D$130; 'C_FuelStreams'!$D$154; 'C_FuelStreams'!$D$178; 'C_FuelStreams'!$D$202; 'C_FuelStreams'!$D$226; 'C_FuelStreams'!$D$250; 'C_FuelStreams'!$D$274; 'C_FuelStreams'!$D$298; 'C_FuelStreams'!$D$322; 'C_FuelStreams'!$D$346; 'C_FuelStreams'!$D$370; 'C_FuelStreams'!$D$394; 'C_FuelStreams'!$D$418; 'C_FuelStreams'!$D$442; 'C_FuelStreams'!$D$466; 'C_FuelStreams'!$D$490; 'C_FuelStreams'!$D$514; 'C_FuelStreams'!$D$538; 'C_FuelStreams'!$D$562; 'C_FuelStreams'!$D$586; 'C_FuelStreams'!$D$610; 'C_FuelStreams'!$D$634</t>
  </si>
  <si>
    <t>The "non-sustainable" biomass fraction is the ratio of carbon stemming from "non-sustainable" biomass to the total carbon content of a fuel, expressed as a fraction.</t>
  </si>
  <si>
    <t>C_FuelStreams'!$F$22</t>
  </si>
  <si>
    <t>This value should relate only to biomass for which sustainability criteria are to be applied, but where those criteria are not satisfied.</t>
  </si>
  <si>
    <t>C_FuelStreams'!$F$23</t>
  </si>
  <si>
    <t>Use values from those published by the competent authority or the Commission for this type of fuel.</t>
  </si>
  <si>
    <t>C_FuelStreams'!$G$37</t>
  </si>
  <si>
    <t>Consumers' CRF category:</t>
  </si>
  <si>
    <t>C_FuelStreams'!$E$44; 'C_FuelStreams'!$D$64; 'C_FuelStreams'!$D$88; 'C_FuelStreams'!$D$112; 'C_FuelStreams'!$D$136; 'C_FuelStreams'!$D$160; 'C_FuelStreams'!$D$184; 'C_FuelStreams'!$D$208; 'C_FuelStreams'!$D$232; 'C_FuelStreams'!$D$256; 'C_FuelStreams'!$D$280; 'C_FuelStreams'!$D$304; 'C_FuelStreams'!$D$328; 'C_FuelStreams'!$D$352; 'C_FuelStreams'!$D$376; 'C_FuelStreams'!$D$400; 'C_FuelStreams'!$D$424; 'C_FuelStreams'!$D$448; 'C_FuelStreams'!$D$472; 'C_FuelStreams'!$D$496; 'C_FuelStreams'!$D$520; 'C_FuelStreams'!$D$544; 'C_FuelStreams'!$D$568; 'C_FuelStreams'!$D$592; 'C_FuelStreams'!$D$616; 'C_FuelStreams'!$D$640</t>
  </si>
  <si>
    <t>CRF category of the consumers. CRF categories only need to be specified for consumers outside of the ETS2 (when the scope factor is lower than 1).</t>
  </si>
  <si>
    <t>C_FuelStreams'!$F$44</t>
  </si>
  <si>
    <t>CO2 fossiilinen:</t>
  </si>
  <si>
    <t>CO2 fossil:</t>
  </si>
  <si>
    <t>C_FuelStreams'!$M$47; 'C_FuelStreams'!$M$71; 'C_FuelStreams'!$M$95; 'C_FuelStreams'!$M$119; 'C_FuelStreams'!$M$143; 'C_FuelStreams'!$M$167; 'C_FuelStreams'!$M$191; 'C_FuelStreams'!$M$215; 'C_FuelStreams'!$M$239; 'C_FuelStreams'!$M$263; 'C_FuelStreams'!$M$287; 'C_FuelStreams'!$M$311; 'C_FuelStreams'!$M$335; 'C_FuelStreams'!$M$359; 'C_FuelStreams'!$M$383; 'C_FuelStreams'!$M$407; 'C_FuelStreams'!$M$431; 'C_FuelStreams'!$M$455; 'C_FuelStreams'!$M$479; 'C_FuelStreams'!$M$503; 'C_FuelStreams'!$M$527; 'C_FuelStreams'!$M$551; 'C_FuelStreams'!$M$575; 'C_FuelStreams'!$M$599; 'C_FuelStreams'!$M$623</t>
  </si>
  <si>
    <t>CO2 bio:</t>
  </si>
  <si>
    <t>C_FuelStreams'!$M$48; 'C_FuelStreams'!$M$72; 'C_FuelStreams'!$M$96; 'C_FuelStreams'!$M$120; 'C_FuelStreams'!$M$144; 'C_FuelStreams'!$M$168; 'C_FuelStreams'!$M$192; 'C_FuelStreams'!$M$216; 'C_FuelStreams'!$M$240; 'C_FuelStreams'!$M$264; 'C_FuelStreams'!$M$288; 'C_FuelStreams'!$M$312; 'C_FuelStreams'!$M$336; 'C_FuelStreams'!$M$360; 'C_FuelStreams'!$M$384; 'C_FuelStreams'!$M$408; 'C_FuelStreams'!$M$432; 'C_FuelStreams'!$M$456; 'C_FuelStreams'!$M$480; 'C_FuelStreams'!$M$504; 'C_FuelStreams'!$M$528; 'C_FuelStreams'!$M$552; 'C_FuelStreams'!$M$576; 'C_FuelStreams'!$M$600; 'C_FuelStreams'!$M$624</t>
  </si>
  <si>
    <t>RFA-määrittämistaso</t>
  </si>
  <si>
    <t>RFA Tier</t>
  </si>
  <si>
    <t>C_FuelStreams'!$BJ$48; 'C_FuelStreams'!$BJ$72; 'C_FuelStreams'!$BJ$96; 'C_FuelStreams'!$BJ$120; 'C_FuelStreams'!$BJ$144; 'C_FuelStreams'!$BJ$168; 'C_FuelStreams'!$BJ$192; 'C_FuelStreams'!$BJ$216; 'C_FuelStreams'!$BJ$240; 'C_FuelStreams'!$BJ$264; 'C_FuelStreams'!$BJ$288; 'C_FuelStreams'!$BJ$312; 'C_FuelStreams'!$BJ$336; 'C_FuelStreams'!$BJ$360; 'C_FuelStreams'!$BJ$384; 'C_FuelStreams'!$BJ$408; 'C_FuelStreams'!$BJ$432; 'C_FuelStreams'!$BJ$456; 'C_FuelStreams'!$BJ$480; 'C_FuelStreams'!$BJ$504; 'C_FuelStreams'!$BJ$528; 'C_FuelStreams'!$BJ$552; 'C_FuelStreams'!$BJ$576; 'C_FuelStreams'!$BJ$600; 'C_FuelStreams'!$BJ$624; 'I_Accounting'!$I$12</t>
  </si>
  <si>
    <t>RFA</t>
  </si>
  <si>
    <t>C_FuelStreams'!$BK$48; 'C_FuelStreams'!$BK$72; 'C_FuelStreams'!$BK$96; 'C_FuelStreams'!$BK$120; 'C_FuelStreams'!$BK$144; 'C_FuelStreams'!$BK$168; 'C_FuelStreams'!$BK$192; 'C_FuelStreams'!$BK$216; 'C_FuelStreams'!$BK$240; 'C_FuelStreams'!$BK$264; 'C_FuelStreams'!$BK$288; 'C_FuelStreams'!$BK$312; 'C_FuelStreams'!$BK$336; 'C_FuelStreams'!$BK$360; 'C_FuelStreams'!$BK$384; 'C_FuelStreams'!$BK$408; 'C_FuelStreams'!$BK$432; 'C_FuelStreams'!$BK$456; 'C_FuelStreams'!$BK$480; 'C_FuelStreams'!$BK$504; 'C_FuelStreams'!$BK$528; 'C_FuelStreams'!$BK$552; 'C_FuelStreams'!$BK$576; 'C_FuelStreams'!$BK$600; 'C_FuelStreams'!$BK$624; 'I_Accounting'!$J$12; 'MSParameters'!$M$16</t>
  </si>
  <si>
    <t>RFA (SF:n jälkeen)</t>
  </si>
  <si>
    <t>RFA (in scope)</t>
  </si>
  <si>
    <t>C_FuelStreams'!$BL$48; 'C_FuelStreams'!$BL$72; 'C_FuelStreams'!$BL$96; 'C_FuelStreams'!$BL$120; 'C_FuelStreams'!$BL$144; 'C_FuelStreams'!$BL$168; 'C_FuelStreams'!$BL$192; 'C_FuelStreams'!$BL$216; 'C_FuelStreams'!$BL$240; 'C_FuelStreams'!$BL$264; 'C_FuelStreams'!$BL$288; 'C_FuelStreams'!$BL$312; 'C_FuelStreams'!$BL$336; 'C_FuelStreams'!$BL$360; 'C_FuelStreams'!$BL$384; 'C_FuelStreams'!$BL$408; 'C_FuelStreams'!$BL$432; 'C_FuelStreams'!$BL$456; 'C_FuelStreams'!$BL$480; 'C_FuelStreams'!$BL$504; 'C_FuelStreams'!$BL$528; 'C_FuelStreams'!$BL$552; 'C_FuelStreams'!$BL$576; 'C_FuelStreams'!$BL$600; 'C_FuelStreams'!$BL$624; 'I_Accounting'!$K$12</t>
  </si>
  <si>
    <t>RFA-yksikkö</t>
  </si>
  <si>
    <t>RFA Unit</t>
  </si>
  <si>
    <t>C_FuelStreams'!$BM$48; 'C_FuelStreams'!$BM$72; 'C_FuelStreams'!$BM$96; 'C_FuelStreams'!$BM$120; 'C_FuelStreams'!$BM$144; 'C_FuelStreams'!$BM$168; 'C_FuelStreams'!$BM$192; 'C_FuelStreams'!$BM$216; 'C_FuelStreams'!$BM$240; 'C_FuelStreams'!$BM$264; 'C_FuelStreams'!$BM$288; 'C_FuelStreams'!$BM$312; 'C_FuelStreams'!$BM$336; 'C_FuelStreams'!$BM$360; 'C_FuelStreams'!$BM$384; 'C_FuelStreams'!$BM$408; 'C_FuelStreams'!$BM$432; 'C_FuelStreams'!$BM$456; 'C_FuelStreams'!$BM$480; 'C_FuelStreams'!$BM$504; 'C_FuelStreams'!$BM$528; 'C_FuelStreams'!$BM$552; 'C_FuelStreams'!$BM$576; 'C_FuelStreams'!$BM$600; 'C_FuelStreams'!$BM$624; 'I_Accounting'!$L$12</t>
  </si>
  <si>
    <t>SF-määrittämistaso</t>
  </si>
  <si>
    <t>SF Tier</t>
  </si>
  <si>
    <t>C_FuelStreams'!$BN$48; 'C_FuelStreams'!$BO$48; 'C_FuelStreams'!$BN$72; 'C_FuelStreams'!$BO$72; 'C_FuelStreams'!$BN$96; 'C_FuelStreams'!$BO$96; 'C_FuelStreams'!$BN$120; 'C_FuelStreams'!$BO$120; 'C_FuelStreams'!$BN$144; 'C_FuelStreams'!$BO$144; 'C_FuelStreams'!$BN$168; 'C_FuelStreams'!$BO$168; 'C_FuelStreams'!$BN$192; 'C_FuelStreams'!$BO$192; 'C_FuelStreams'!$BN$216; 'C_FuelStreams'!$BO$216; 'C_FuelStreams'!$BN$240; 'C_FuelStreams'!$BO$240; 'C_FuelStreams'!$BN$264; 'C_FuelStreams'!$BO$264; 'C_FuelStreams'!$BN$288; 'C_FuelStreams'!$BO$288; 'C_FuelStreams'!$BN$312; 'C_FuelStreams'!$BO$312; 'C_FuelStreams'!$BN$336; 'C_FuelStreams'!$BO$336; 'C_FuelStreams'!$BN$360; 'C_FuelStreams'!$BO$360; 'C_FuelStreams'!$BN$384; 'C_FuelStreams'!$BO$384; 'C_FuelStreams'!$BN$408; 'C_FuelStreams'!$BO$408; 'C_FuelStreams'!$BN$432; 'C_FuelStreams'!$BO$432; 'C_FuelStreams'!$BN$456; 'C_FuelStreams'!$BO$456; 'C_FuelStreams'!$BN$480; 'C_FuelStreams'!$BO$480; 'C_FuelStreams'!$BN$504; 'C_FuelStreams'!$BO$504; 'C_FuelStreams'!$BN$528; 'C_FuelStreams'!$BO$528; 'C_FuelStreams'!$BN$552; 'C_FuelStreams'!$BO$552; 'C_FuelStreams'!$BN$576; 'C_FuelStreams'!$BO$576; 'C_FuelStreams'!$BN$600; 'C_FuelStreams'!$BO$600; 'C_FuelStreams'!$BN$624; 'C_FuelStreams'!$BO$624; 'I_Accounting'!$M$12; 'I_Accounting'!$N$12</t>
  </si>
  <si>
    <t>SF</t>
  </si>
  <si>
    <t>C_FuelStreams'!$BP$48; 'C_FuelStreams'!$BP$72; 'C_FuelStreams'!$BP$96; 'C_FuelStreams'!$BP$120; 'C_FuelStreams'!$BP$144; 'C_FuelStreams'!$BP$168; 'C_FuelStreams'!$BP$192; 'C_FuelStreams'!$BP$216; 'C_FuelStreams'!$BP$240; 'C_FuelStreams'!$BP$264; 'C_FuelStreams'!$BP$288; 'C_FuelStreams'!$BP$312; 'C_FuelStreams'!$BP$336; 'C_FuelStreams'!$BP$360; 'C_FuelStreams'!$BP$384; 'C_FuelStreams'!$BP$408; 'C_FuelStreams'!$BP$432; 'C_FuelStreams'!$BP$456; 'C_FuelStreams'!$BP$480; 'C_FuelStreams'!$BP$504; 'C_FuelStreams'!$BP$528; 'C_FuelStreams'!$BP$552; 'C_FuelStreams'!$BP$576; 'C_FuelStreams'!$BP$600; 'C_FuelStreams'!$BP$624; 'I_Accounting'!$O$12</t>
  </si>
  <si>
    <t>EF-määrittämistaso</t>
  </si>
  <si>
    <t>EF Tier</t>
  </si>
  <si>
    <t>C_FuelStreams'!$BQ$48; 'C_FuelStreams'!$BQ$72; 'C_FuelStreams'!$BQ$96; 'C_FuelStreams'!$BQ$120; 'C_FuelStreams'!$BQ$144; 'C_FuelStreams'!$BQ$168; 'C_FuelStreams'!$BQ$192; 'C_FuelStreams'!$BQ$216; 'C_FuelStreams'!$BQ$240; 'C_FuelStreams'!$BQ$264; 'C_FuelStreams'!$BQ$288; 'C_FuelStreams'!$BQ$312; 'C_FuelStreams'!$BQ$336; 'C_FuelStreams'!$BQ$360; 'C_FuelStreams'!$BQ$384; 'C_FuelStreams'!$BQ$408; 'C_FuelStreams'!$BQ$432; 'C_FuelStreams'!$BQ$456; 'C_FuelStreams'!$BQ$480; 'C_FuelStreams'!$BQ$504; 'C_FuelStreams'!$BQ$528; 'C_FuelStreams'!$BQ$552; 'C_FuelStreams'!$BQ$576; 'C_FuelStreams'!$BQ$600; 'C_FuelStreams'!$BQ$624; 'I_Accounting'!$P$12</t>
  </si>
  <si>
    <t>EF</t>
  </si>
  <si>
    <t>C_FuelStreams'!$BR$48; 'C_FuelStreams'!$BR$72; 'C_FuelStreams'!$BR$96; 'C_FuelStreams'!$BR$120; 'C_FuelStreams'!$BR$144; 'C_FuelStreams'!$BR$168; 'C_FuelStreams'!$BR$192; 'C_FuelStreams'!$BR$216; 'C_FuelStreams'!$BR$240; 'C_FuelStreams'!$BR$264; 'C_FuelStreams'!$BR$288; 'C_FuelStreams'!$BR$312; 'C_FuelStreams'!$BR$336; 'C_FuelStreams'!$BR$360; 'C_FuelStreams'!$BR$384; 'C_FuelStreams'!$BR$408; 'C_FuelStreams'!$BR$432; 'C_FuelStreams'!$BR$456; 'C_FuelStreams'!$BR$480; 'C_FuelStreams'!$BR$504; 'C_FuelStreams'!$BR$528; 'C_FuelStreams'!$BR$552; 'C_FuelStreams'!$BR$576; 'C_FuelStreams'!$BR$600; 'C_FuelStreams'!$BR$624; 'I_Accounting'!$Q$12; 'MSParameters'!$F$16; 'MSParameters'!$P$16</t>
  </si>
  <si>
    <t>EF-yksikkö</t>
  </si>
  <si>
    <t>EF Unit</t>
  </si>
  <si>
    <t>C_FuelStreams'!$BS$48; 'C_FuelStreams'!$BS$72; 'C_FuelStreams'!$BS$96; 'C_FuelStreams'!$BS$120; 'C_FuelStreams'!$BS$144; 'C_FuelStreams'!$BS$168; 'C_FuelStreams'!$BS$192; 'C_FuelStreams'!$BS$216; 'C_FuelStreams'!$BS$240; 'C_FuelStreams'!$BS$264; 'C_FuelStreams'!$BS$288; 'C_FuelStreams'!$BS$312; 'C_FuelStreams'!$BS$336; 'C_FuelStreams'!$BS$360; 'C_FuelStreams'!$BS$384; 'C_FuelStreams'!$BS$408; 'C_FuelStreams'!$BS$432; 'C_FuelStreams'!$BS$456; 'C_FuelStreams'!$BS$480; 'C_FuelStreams'!$BS$504; 'C_FuelStreams'!$BS$528; 'C_FuelStreams'!$BS$552; 'C_FuelStreams'!$BS$576; 'C_FuelStreams'!$BS$600; 'C_FuelStreams'!$BS$624; 'I_Accounting'!$R$12</t>
  </si>
  <si>
    <t>UCF-määrittämistaso</t>
  </si>
  <si>
    <t>UCF Tier</t>
  </si>
  <si>
    <t>C_FuelStreams'!$BT$48; 'C_FuelStreams'!$BT$72; 'C_FuelStreams'!$BT$96; 'C_FuelStreams'!$BT$120; 'C_FuelStreams'!$BT$144; 'C_FuelStreams'!$BT$168; 'C_FuelStreams'!$BT$192; 'C_FuelStreams'!$BT$216; 'C_FuelStreams'!$BT$240; 'C_FuelStreams'!$BT$264; 'C_FuelStreams'!$BT$288; 'C_FuelStreams'!$BT$312; 'C_FuelStreams'!$BT$336; 'C_FuelStreams'!$BT$360; 'C_FuelStreams'!$BT$384; 'C_FuelStreams'!$BT$408; 'C_FuelStreams'!$BT$432; 'C_FuelStreams'!$BT$456; 'C_FuelStreams'!$BT$480; 'C_FuelStreams'!$BT$504; 'C_FuelStreams'!$BT$528; 'C_FuelStreams'!$BT$552; 'C_FuelStreams'!$BT$576; 'C_FuelStreams'!$BT$600; 'C_FuelStreams'!$BT$624; 'I_Accounting'!$S$12</t>
  </si>
  <si>
    <t>UCF</t>
  </si>
  <si>
    <t>C_FuelStreams'!$BU$48; 'C_FuelStreams'!$BU$72; 'C_FuelStreams'!$BU$96; 'C_FuelStreams'!$BU$120; 'C_FuelStreams'!$BU$144; 'C_FuelStreams'!$BU$168; 'C_FuelStreams'!$BU$192; 'C_FuelStreams'!$BU$216; 'C_FuelStreams'!$BU$240; 'C_FuelStreams'!$BU$264; 'C_FuelStreams'!$BU$288; 'C_FuelStreams'!$BU$312; 'C_FuelStreams'!$BU$336; 'C_FuelStreams'!$BU$360; 'C_FuelStreams'!$BU$384; 'C_FuelStreams'!$BU$408; 'C_FuelStreams'!$BU$432; 'C_FuelStreams'!$BU$456; 'C_FuelStreams'!$BU$480; 'C_FuelStreams'!$BU$504; 'C_FuelStreams'!$BU$528; 'C_FuelStreams'!$BU$552; 'C_FuelStreams'!$BU$576; 'C_FuelStreams'!$BU$600; 'C_FuelStreams'!$BU$624; 'I_Accounting'!$T$12; 'MSParameters'!$H$16; 'MSParameters'!$N$16</t>
  </si>
  <si>
    <t>UCF-yksikkö</t>
  </si>
  <si>
    <t>UCF Unit</t>
  </si>
  <si>
    <t>C_FuelStreams'!$BV$48; 'C_FuelStreams'!$BV$72; 'C_FuelStreams'!$BV$96; 'C_FuelStreams'!$BV$120; 'C_FuelStreams'!$BV$144; 'C_FuelStreams'!$BV$168; 'C_FuelStreams'!$BV$192; 'C_FuelStreams'!$BV$216; 'C_FuelStreams'!$BV$240; 'C_FuelStreams'!$BV$264; 'C_FuelStreams'!$BV$288; 'C_FuelStreams'!$BV$312; 'C_FuelStreams'!$BV$336; 'C_FuelStreams'!$BV$360; 'C_FuelStreams'!$BV$384; 'C_FuelStreams'!$BV$408; 'C_FuelStreams'!$BV$432; 'C_FuelStreams'!$BV$456; 'C_FuelStreams'!$BV$480; 'C_FuelStreams'!$BV$504; 'C_FuelStreams'!$BV$528; 'C_FuelStreams'!$BV$552; 'C_FuelStreams'!$BV$576; 'C_FuelStreams'!$BV$600; 'C_FuelStreams'!$BV$624; 'I_Accounting'!$U$12</t>
  </si>
  <si>
    <t>Bio-määrittämistaso</t>
  </si>
  <si>
    <t>Bio Tier</t>
  </si>
  <si>
    <t>C_FuelStreams'!$BW$48; 'C_FuelStreams'!$BW$72; 'C_FuelStreams'!$BW$96; 'C_FuelStreams'!$BW$120; 'C_FuelStreams'!$BW$144; 'C_FuelStreams'!$BW$168; 'C_FuelStreams'!$BW$192; 'C_FuelStreams'!$BW$216; 'C_FuelStreams'!$BW$240; 'C_FuelStreams'!$BW$264; 'C_FuelStreams'!$BW$288; 'C_FuelStreams'!$BW$312; 'C_FuelStreams'!$BW$336; 'C_FuelStreams'!$BW$360; 'C_FuelStreams'!$BW$384; 'C_FuelStreams'!$BW$408; 'C_FuelStreams'!$BW$432; 'C_FuelStreams'!$BW$456; 'C_FuelStreams'!$BW$480; 'C_FuelStreams'!$BW$504; 'C_FuelStreams'!$BW$528; 'C_FuelStreams'!$BW$552; 'C_FuelStreams'!$BW$576; 'C_FuelStreams'!$BW$600; 'C_FuelStreams'!$BW$624</t>
  </si>
  <si>
    <t>NonSustBio-määrittämistaso</t>
  </si>
  <si>
    <t>NonSustBio Tier</t>
  </si>
  <si>
    <t>C_FuelStreams'!$BY$48; 'C_FuelStreams'!$BY$72; 'C_FuelStreams'!$BY$96; 'C_FuelStreams'!$BY$120; 'C_FuelStreams'!$BY$144; 'C_FuelStreams'!$BY$168; 'C_FuelStreams'!$BY$192; 'C_FuelStreams'!$BY$216; 'C_FuelStreams'!$BY$240; 'C_FuelStreams'!$BY$264; 'C_FuelStreams'!$BY$288; 'C_FuelStreams'!$BY$312; 'C_FuelStreams'!$BY$336; 'C_FuelStreams'!$BY$360; 'C_FuelStreams'!$BY$384; 'C_FuelStreams'!$BY$408; 'C_FuelStreams'!$BY$432; 'C_FuelStreams'!$BY$456; 'C_FuelStreams'!$BY$480; 'C_FuelStreams'!$BY$504; 'C_FuelStreams'!$BY$528; 'C_FuelStreams'!$BY$552; 'C_FuelStreams'!$BY$576; 'C_FuelStreams'!$BY$600; 'C_FuelStreams'!$BY$624</t>
  </si>
  <si>
    <t>CO2 fossil</t>
  </si>
  <si>
    <t>C_FuelStreams'!$CA$48; 'C_FuelStreams'!$BF$53; 'C_FuelStreams'!$CA$72; 'C_FuelStreams'!$BF$77; 'C_FuelStreams'!$CA$96; 'C_FuelStreams'!$BF$101; 'C_FuelStreams'!$CA$120; 'C_FuelStreams'!$BF$125; 'C_FuelStreams'!$CA$144; 'C_FuelStreams'!$BF$149; 'C_FuelStreams'!$CA$168; 'C_FuelStreams'!$BF$173; 'C_FuelStreams'!$CA$192; 'C_FuelStreams'!$BF$197; 'C_FuelStreams'!$CA$216; 'C_FuelStreams'!$BF$221; 'C_FuelStreams'!$CA$240; 'C_FuelStreams'!$BF$245; 'C_FuelStreams'!$CA$264; 'C_FuelStreams'!$BF$269; 'C_FuelStreams'!$CA$288; 'C_FuelStreams'!$BF$293; 'C_FuelStreams'!$CA$312; 'C_FuelStreams'!$BF$317; 'C_FuelStreams'!$CA$336; 'C_FuelStreams'!$BF$341; 'C_FuelStreams'!$CA$360; 'C_FuelStreams'!$BF$365; 'C_FuelStreams'!$CA$384; 'C_FuelStreams'!$BF$389; 'C_FuelStreams'!$CA$408; 'C_FuelStreams'!$BF$413; 'C_FuelStreams'!$CA$432; 'C_FuelStreams'!$BF$437; 'C_FuelStreams'!$CA$456; 'C_FuelStreams'!$BF$461; 'C_FuelStreams'!$CA$480; 'C_FuelStreams'!$BF$485; 'C_FuelStreams'!$CA$504; 'C_FuelStreams'!$BF$509; 'C_FuelStreams'!$CA$528; 'C_FuelStreams'!$BF$533; 'C_FuelStreams'!$CA$552; 'C_FuelStreams'!$BF$557; 'C_FuelStreams'!$CA$576; 'C_FuelStreams'!$BF$581; 'C_FuelStreams'!$CA$600; 'C_FuelStreams'!$BF$605; 'C_FuelStreams'!$CA$624; 'C_FuelStreams'!$BF$629; 'D_ETS1Amounts'!$S$54</t>
  </si>
  <si>
    <t>CO2 bio</t>
  </si>
  <si>
    <t>C_FuelStreams'!$CB$48; 'C_FuelStreams'!$CB$72; 'C_FuelStreams'!$CB$96; 'C_FuelStreams'!$CB$120; 'C_FuelStreams'!$CB$144; 'C_FuelStreams'!$CB$168; 'C_FuelStreams'!$CB$192; 'C_FuelStreams'!$CB$216; 'C_FuelStreams'!$CB$240; 'C_FuelStreams'!$CB$264; 'C_FuelStreams'!$CB$288; 'C_FuelStreams'!$CB$312; 'C_FuelStreams'!$CB$336; 'C_FuelStreams'!$CB$360; 'C_FuelStreams'!$CB$384; 'C_FuelStreams'!$CB$408; 'C_FuelStreams'!$CB$432; 'C_FuelStreams'!$CB$456; 'C_FuelStreams'!$CB$480; 'C_FuelStreams'!$CB$504; 'C_FuelStreams'!$CB$528; 'C_FuelStreams'!$CB$552; 'C_FuelStreams'!$CB$576; 'C_FuelStreams'!$CB$600; 'C_FuelStreams'!$CB$624</t>
  </si>
  <si>
    <t>CO2 non-sust</t>
  </si>
  <si>
    <t>C_FuelStreams'!$CC$48; 'C_FuelStreams'!$CC$72; 'C_FuelStreams'!$CC$96; 'C_FuelStreams'!$CC$120; 'C_FuelStreams'!$CC$144; 'C_FuelStreams'!$CC$168; 'C_FuelStreams'!$CC$192; 'C_FuelStreams'!$CC$216; 'C_FuelStreams'!$CC$240; 'C_FuelStreams'!$CC$264; 'C_FuelStreams'!$CC$288; 'C_FuelStreams'!$CC$312; 'C_FuelStreams'!$CC$336; 'C_FuelStreams'!$CC$360; 'C_FuelStreams'!$CC$384; 'C_FuelStreams'!$CC$408; 'C_FuelStreams'!$CC$432; 'C_FuelStreams'!$CC$456; 'C_FuelStreams'!$CC$480; 'C_FuelStreams'!$CC$504; 'C_FuelStreams'!$CC$528; 'C_FuelStreams'!$CC$552; 'C_FuelStreams'!$CC$576; 'C_FuelStreams'!$CC$600; 'C_FuelStreams'!$CC$624</t>
  </si>
  <si>
    <t>määrittämistason kuvaus</t>
  </si>
  <si>
    <t>tier description</t>
  </si>
  <si>
    <t>C_FuelStreams'!$G$52; 'C_FuelStreams'!$G$76; 'C_FuelStreams'!$G$100; 'C_FuelStreams'!$G$124; 'C_FuelStreams'!$G$148; 'C_FuelStreams'!$G$172; 'C_FuelStreams'!$G$196; 'C_FuelStreams'!$G$220; 'C_FuelStreams'!$G$244; 'C_FuelStreams'!$G$268; 'C_FuelStreams'!$G$292; 'C_FuelStreams'!$G$316; 'C_FuelStreams'!$G$340; 'C_FuelStreams'!$G$364; 'C_FuelStreams'!$G$388; 'C_FuelStreams'!$G$412; 'C_FuelStreams'!$G$436; 'C_FuelStreams'!$G$460; 'C_FuelStreams'!$G$484; 'C_FuelStreams'!$G$508; 'C_FuelStreams'!$G$532; 'C_FuelStreams'!$G$556; 'C_FuelStreams'!$G$580; 'C_FuelStreams'!$G$604; 'C_FuelStreams'!$G$628</t>
  </si>
  <si>
    <t>Unit</t>
  </si>
  <si>
    <t>C_FuelStreams'!$I$52; 'C_FuelStreams'!$I$76; 'C_FuelStreams'!$I$100; 'C_FuelStreams'!$I$124; 'C_FuelStreams'!$I$148; 'C_FuelStreams'!$I$172; 'C_FuelStreams'!$I$196; 'C_FuelStreams'!$I$220; 'C_FuelStreams'!$I$244; 'C_FuelStreams'!$I$268; 'C_FuelStreams'!$I$292; 'C_FuelStreams'!$I$316; 'C_FuelStreams'!$I$340; 'C_FuelStreams'!$I$364; 'C_FuelStreams'!$I$388; 'C_FuelStreams'!$I$412; 'C_FuelStreams'!$I$436; 'C_FuelStreams'!$I$460; 'C_FuelStreams'!$I$484; 'C_FuelStreams'!$I$508; 'C_FuelStreams'!$I$532; 'C_FuelStreams'!$I$556; 'C_FuelStreams'!$I$580; 'C_FuelStreams'!$I$604; 'C_FuelStreams'!$I$628; 'H_Summary'!$I$28; 'EUwideConstants'!$B$10; 'MSParameters'!$E$17; 'MSParameters'!$G$17; 'MSParameters'!$I$17; 'MSParameters'!$M$17; 'MSParameters'!$O$17; 'MSParameters'!$Q$17</t>
  </si>
  <si>
    <t>Arvo</t>
  </si>
  <si>
    <t>Value</t>
  </si>
  <si>
    <t>C_FuelStreams'!$K$52; 'C_FuelStreams'!$K$76; 'C_FuelStreams'!$K$100; 'C_FuelStreams'!$K$124; 'C_FuelStreams'!$K$148; 'C_FuelStreams'!$K$172; 'C_FuelStreams'!$K$196; 'C_FuelStreams'!$K$220; 'C_FuelStreams'!$K$244; 'C_FuelStreams'!$K$268; 'C_FuelStreams'!$K$292; 'C_FuelStreams'!$K$316; 'C_FuelStreams'!$K$340; 'C_FuelStreams'!$K$364; 'C_FuelStreams'!$K$388; 'C_FuelStreams'!$K$412; 'C_FuelStreams'!$K$436; 'C_FuelStreams'!$K$460; 'C_FuelStreams'!$K$484; 'C_FuelStreams'!$K$508; 'C_FuelStreams'!$K$532; 'C_FuelStreams'!$K$556; 'C_FuelStreams'!$K$580; 'C_FuelStreams'!$K$604; 'C_FuelStreams'!$K$628; 'EUwideConstants'!$B$9; 'MSParameters'!$F$17; 'MSParameters'!$H$17; 'MSParameters'!$N$17; 'MSParameters'!$P$17</t>
  </si>
  <si>
    <t>virhe</t>
  </si>
  <si>
    <t>error</t>
  </si>
  <si>
    <t>C_FuelStreams'!$M$52; 'C_FuelStreams'!$M$76; 'C_FuelStreams'!$M$100; 'C_FuelStreams'!$M$124; 'C_FuelStreams'!$M$148; 'C_FuelStreams'!$M$172; 'C_FuelStreams'!$M$196; 'C_FuelStreams'!$M$220; 'C_FuelStreams'!$M$244; 'C_FuelStreams'!$M$268; 'C_FuelStreams'!$M$292; 'C_FuelStreams'!$M$316; 'C_FuelStreams'!$M$340; 'C_FuelStreams'!$M$364; 'C_FuelStreams'!$M$388; 'C_FuelStreams'!$M$412; 'C_FuelStreams'!$M$436; 'C_FuelStreams'!$M$460; 'C_FuelStreams'!$M$484; 'C_FuelStreams'!$M$508; 'C_FuelStreams'!$M$532; 'C_FuelStreams'!$M$556; 'C_FuelStreams'!$M$580; 'C_FuelStreams'!$M$604; 'C_FuelStreams'!$M$628</t>
  </si>
  <si>
    <t xml:space="preserve"> </t>
  </si>
  <si>
    <t>C_FuelStreams'!$H$54; 'C_FuelStreams'!$H$78; 'C_FuelStreams'!$H$102; 'C_FuelStreams'!$H$126; 'C_FuelStreams'!$H$150; 'C_FuelStreams'!$H$174; 'C_FuelStreams'!$H$198; 'C_FuelStreams'!$H$222; 'C_FuelStreams'!$H$246; 'C_FuelStreams'!$H$270; 'C_FuelStreams'!$H$294; 'C_FuelStreams'!$H$318; 'C_FuelStreams'!$H$342; 'C_FuelStreams'!$H$366; 'C_FuelStreams'!$H$390; 'C_FuelStreams'!$H$414; 'C_FuelStreams'!$H$438; 'C_FuelStreams'!$H$462; 'C_FuelStreams'!$H$486; 'C_FuelStreams'!$H$510; 'C_FuelStreams'!$H$534; 'C_FuelStreams'!$H$558; 'C_FuelStreams'!$H$582; 'C_FuelStreams'!$H$606; 'C_FuelStreams'!$H$630</t>
  </si>
  <si>
    <t>Soveltamisalakerroin:</t>
  </si>
  <si>
    <t>Scope factor:</t>
  </si>
  <si>
    <t>C_FuelStreams'!$D$60; 'C_FuelStreams'!$D$84; 'C_FuelStreams'!$D$108; 'C_FuelStreams'!$D$132; 'C_FuelStreams'!$D$156; 'C_FuelStreams'!$D$180; 'C_FuelStreams'!$D$204; 'C_FuelStreams'!$D$228; 'C_FuelStreams'!$D$252; 'C_FuelStreams'!$D$276; 'C_FuelStreams'!$D$300; 'C_FuelStreams'!$D$324; 'C_FuelStreams'!$D$348; 'C_FuelStreams'!$D$372; 'C_FuelStreams'!$D$396; 'C_FuelStreams'!$D$420; 'C_FuelStreams'!$D$444; 'C_FuelStreams'!$D$468; 'C_FuelStreams'!$D$492; 'C_FuelStreams'!$D$516; 'C_FuelStreams'!$D$540; 'C_FuelStreams'!$D$564; 'C_FuelStreams'!$D$588; 'C_FuelStreams'!$D$612; 'C_FuelStreams'!$D$636</t>
  </si>
  <si>
    <t>Määrittämistasot voimassa alkaen:</t>
  </si>
  <si>
    <t>Tiers valid from:</t>
  </si>
  <si>
    <t>C_FuelStreams'!$D$66; 'C_FuelStreams'!$D$90; 'C_FuelStreams'!$D$114; 'C_FuelStreams'!$D$138; 'C_FuelStreams'!$D$162; 'C_FuelStreams'!$D$186; 'C_FuelStreams'!$D$210; 'C_FuelStreams'!$D$234; 'C_FuelStreams'!$D$258; 'C_FuelStreams'!$D$282; 'C_FuelStreams'!$D$306; 'C_FuelStreams'!$D$330; 'C_FuelStreams'!$D$354; 'C_FuelStreams'!$D$378; 'C_FuelStreams'!$D$402; 'C_FuelStreams'!$D$426; 'C_FuelStreams'!$D$450; 'C_FuelStreams'!$D$474; 'C_FuelStreams'!$D$498; 'C_FuelStreams'!$D$522; 'C_FuelStreams'!$D$546; 'C_FuelStreams'!$D$570; 'C_FuelStreams'!$D$594; 'C_FuelStreams'!$D$618; 'C_FuelStreams'!$D$642</t>
  </si>
  <si>
    <t>päättyen:</t>
  </si>
  <si>
    <t>until:</t>
  </si>
  <si>
    <t>C_FuelStreams'!$H$66; 'C_FuelStreams'!$H$90; 'C_FuelStreams'!$H$114; 'C_FuelStreams'!$H$138; 'C_FuelStreams'!$H$162; 'C_FuelStreams'!$H$186; 'C_FuelStreams'!$H$210; 'C_FuelStreams'!$H$234; 'C_FuelStreams'!$H$258; 'C_FuelStreams'!$H$282; 'C_FuelStreams'!$H$306; 'C_FuelStreams'!$H$330; 'C_FuelStreams'!$H$354; 'C_FuelStreams'!$H$378; 'C_FuelStreams'!$H$402; 'C_FuelStreams'!$H$426; 'C_FuelStreams'!$H$450; 'C_FuelStreams'!$H$474; 'C_FuelStreams'!$H$498; 'C_FuelStreams'!$H$522; 'C_FuelStreams'!$H$546; 'C_FuelStreams'!$H$570; 'C_FuelStreams'!$H$594; 'C_FuelStreams'!$H$618; 'C_FuelStreams'!$H$642</t>
  </si>
  <si>
    <t>Tarkkailusuunnitelman tunniste tälle polttoainevirralle:</t>
  </si>
  <si>
    <t>ID used in the monitoring plan for this fuel stream:</t>
  </si>
  <si>
    <t>C_FuelStreams'!$M$66; 'C_FuelStreams'!$M$90; 'C_FuelStreams'!$M$114; 'C_FuelStreams'!$M$138; 'C_FuelStreams'!$M$162; 'C_FuelStreams'!$M$186; 'C_FuelStreams'!$M$210; 'C_FuelStreams'!$M$234; 'C_FuelStreams'!$M$258; 'C_FuelStreams'!$M$282; 'C_FuelStreams'!$M$306; 'C_FuelStreams'!$M$330; 'C_FuelStreams'!$M$354; 'C_FuelStreams'!$M$378; 'C_FuelStreams'!$M$402; 'C_FuelStreams'!$M$426; 'C_FuelStreams'!$M$450; 'C_FuelStreams'!$M$474; 'C_FuelStreams'!$M$498; 'C_FuelStreams'!$M$522; 'C_FuelStreams'!$M$546; 'C_FuelStreams'!$M$570; 'C_FuelStreams'!$M$594; 'C_FuelStreams'!$M$618; 'C_FuelStreams'!$M$642</t>
  </si>
  <si>
    <t>Vaihteluväli</t>
  </si>
  <si>
    <t>Range</t>
  </si>
  <si>
    <t>C_FuelStreams'!$M$651; 'D_ETS1Amounts'!$M$120; 'E_DataGaps'!$M$47; 'F_Timing'!$M$107</t>
  </si>
  <si>
    <t xml:space="preserve">D. ETS1-päästökaupan toiminnoissa käytetyt polttoaineet </t>
  </si>
  <si>
    <t>D. ETS1 amounts</t>
  </si>
  <si>
    <t>D_ETS1Amounts'!$B$2</t>
  </si>
  <si>
    <t>Article 75v(3) and Annex Xb require you to report on released fuel amounts to each installation, aircraft operator and shipping company, which are covered by Annex I of the EU ETS Directive (i.e. to an ETS1 entity). This sheet is structured as follows:</t>
  </si>
  <si>
    <t>D_ETS1Amounts'!$C$6</t>
  </si>
  <si>
    <t xml:space="preserve">ETS1-päästökaupan toiminnoissa käytetyt polttoaineet </t>
  </si>
  <si>
    <t>Fuel amounts supplied to ETS1 operators</t>
  </si>
  <si>
    <t>D_ETS1Amounts'!$D$8</t>
  </si>
  <si>
    <t>ETS1-määrät</t>
  </si>
  <si>
    <t>ETS1 amounts</t>
  </si>
  <si>
    <t>D_ETS1Amounts'!$Q$8</t>
  </si>
  <si>
    <t>Tällä välilehdellä kysytään tietoja kulutukseen luovutetun polttoaineen mahdollisesta loppukäytöstä ETS1-päästökaupan soveltamisalaan kuuluvissa toiminnoissa.</t>
  </si>
  <si>
    <t>D_ETS1Amounts'!$E$10</t>
  </si>
  <si>
    <t>a)</t>
  </si>
  <si>
    <t>Section a)</t>
  </si>
  <si>
    <t>D_ETS1Amounts'!$E$11</t>
  </si>
  <si>
    <t>Kohdassa yksilöidään ETS1-päästökaupan laitokset ja niiden toiminnanharjoittajat, joille kulutukseen luovutettua polttoainetta on toimitettu.</t>
  </si>
  <si>
    <t>This section is for the identification of each relevant ETS1 entity to which fuels were supplied.</t>
  </si>
  <si>
    <t>D_ETS1Amounts'!$F$11</t>
  </si>
  <si>
    <t>b)</t>
  </si>
  <si>
    <t>Section b)</t>
  </si>
  <si>
    <t>D_ETS1Amounts'!$E$12</t>
  </si>
  <si>
    <t>This section is for reporting the actual fuel amounts sold to ETS1 entities and used for ETS1 activities.</t>
  </si>
  <si>
    <t>D_ETS1Amounts'!$F$12</t>
  </si>
  <si>
    <t>c)</t>
  </si>
  <si>
    <t>Section c)</t>
  </si>
  <si>
    <t>D_ETS1Amounts'!$E$13</t>
  </si>
  <si>
    <t xml:space="preserve">Mikäli tiedossa, kohdassa ilmoitetaan tiedot mahdollisista polttoaineen jakeluketjussa olevista välittäjistä, jotka toimittavat säännellyn yhteisön kulutukseen luovuttaman polttoaineen ETS1-toiminnanharjoittajan laitokselle käytettäväksi ETS1-päästökaupan soveltamisalaan kuuluvissa toiminnoissa. </t>
  </si>
  <si>
    <t>This section is for identifying any intermediate consumers of the fuel, from direct buyer down to the ETS1 entity, including their name and address, where this would not cause disproportionate administrative burden.</t>
  </si>
  <si>
    <t>D_ETS1Amounts'!$F$13</t>
  </si>
  <si>
    <t>Yleisen ETS1-päästökaupan soveltamisalaan kuuluva yritys</t>
  </si>
  <si>
    <t>This is the Member State in which the ETS1 entity is located to which fuel was supplied.</t>
  </si>
  <si>
    <t>D_ETS1Amounts'!$F$16</t>
  </si>
  <si>
    <t>ETS1-laitoksen päästöluvan numero</t>
  </si>
  <si>
    <t>ETS1 Unique ID</t>
  </si>
  <si>
    <t>D_ETS1Amounts'!$E$17; 'D_ETS1Amounts'!$F$27; 'D_ETS1Amounts'!$E$54; 'D_ETS1Amounts'!$E$80; 'H_Summary'!$E$28</t>
  </si>
  <si>
    <t>Toiminnanharjoittajan laitoksen päästöluvan numero. Tietoja ETS1-päästökaupan toiminnanharjoittajista ja laitoksia voi etsiä osoitteessa: https://ec.europa.eu/clima/ets/oha.do?languageCode=en</t>
  </si>
  <si>
    <t>This is the unique EU ETS ID of the ETS1 entity the fuel was supplied to. It is usually a natural number, i.e. a code different from the Permit identifier used in the Registry (EUTL). Together with the Member State selected, this Registry ID (unique ID) will result in the Unique ID displayed automatically in (b) below. E.g. if the installation with Registry ID 123456 is situated in Belgium, entry of "123456" here will result in "BE000000000123456" under (b).The EUTL can be accessed via the following link:</t>
  </si>
  <si>
    <t>D_ETS1Amounts'!$F$17</t>
  </si>
  <si>
    <t>https://ec.europa.eu/clima/ets/oha.do?languageCode=en</t>
  </si>
  <si>
    <t>D_ETS1Amounts'!$F$18</t>
  </si>
  <si>
    <t>Toiminnanharjoittajan ETS1-laitoksen nimi</t>
  </si>
  <si>
    <t>Name and address</t>
  </si>
  <si>
    <t>D_ETS1Amounts'!$E$19</t>
  </si>
  <si>
    <t>Laitoksen nimi, jolle polttoainetta toimitettu. Tietoja ETS1-päästökaupan toiminnanharjoittajista ja laitoksia voi etsiä osoitteessa: https://ec.europa.eu/clima/ets/oha.do?languageCode=en</t>
  </si>
  <si>
    <t>The name and address can also be found under the link above.</t>
  </si>
  <si>
    <t>D_ETS1Amounts'!$F$19</t>
  </si>
  <si>
    <t>Fuel stream</t>
  </si>
  <si>
    <t>D_ETS1Amounts'!$E$20; 'D_ETS1Amounts'!$H$54; 'D_ETS1Amounts'!$F$80; 'H_Summary'!$H$28; 'H_Summary'!$E$51</t>
  </si>
  <si>
    <t>Välilehdellä C ilmoitetut polttoainemäärät kopioituvat alasvetovalikkoon automaattisesti.</t>
  </si>
  <si>
    <t>Those are the fuel streams reported in sheet C.</t>
  </si>
  <si>
    <t>D_ETS1Amounts'!$F$20</t>
  </si>
  <si>
    <t xml:space="preserve">Toimitetun polttoaineen määrä </t>
  </si>
  <si>
    <t>RFA sold</t>
  </si>
  <si>
    <t>D_ETS1Amounts'!$E$21; 'D_ETS1Amounts'!$L$54</t>
  </si>
  <si>
    <t>ETS1-toiminnanharjoittajan laitokselle raportointikaudella toimitetun polttoaineen määrä.</t>
  </si>
  <si>
    <t>This is the released fuel amount sold to the relevant ETS1 entity during the report period.</t>
  </si>
  <si>
    <t>D_ETS1Amounts'!$F$21</t>
  </si>
  <si>
    <t>Käytetyn polttoaineen määrä</t>
  </si>
  <si>
    <t>RFA used</t>
  </si>
  <si>
    <t>D_ETS1Amounts'!$E$22; 'D_ETS1Amounts'!$M$54</t>
  </si>
  <si>
    <t xml:space="preserve">Polttoainemäärä, jonka ETS1-toiminnanharjoittaja on raportointikaudella käyttänyt laitoksella yleisen päästökaupan soveltamisalaan kuuluvissa toiminnoissa. Mikäli tiedossa. </t>
  </si>
  <si>
    <t>This is the released fuel amount used by the relevant ETS1 entity for activities covered by Annex I of the EU ETS Directive. This amount can be obtained from the ETS1 operator reporting pursuant to Annex Xa of the MRR as part of its annual emissions report. E.g. RFA used will be lower than RFA sold where amounts sold are not used (consumed) in the same year. It will be higher where amounts are used that were put on stock in the previous year.</t>
  </si>
  <si>
    <t>D_ETS1Amounts'!$F$22</t>
  </si>
  <si>
    <t>ETS1-polttoainevirta</t>
  </si>
  <si>
    <t>Available RFA</t>
  </si>
  <si>
    <t>D_ETS1Amounts'!$E$23; 'D_ETS1Amounts'!$K$54</t>
  </si>
  <si>
    <t xml:space="preserve">Polttoainevirta, jonka soveltamisalakerroin on 0 koska polttoaineen loppukäyttö tapahtuu yksinomaa yleisen päästökaupan soveltamisalaan kuuluvissa toiminnoissa. Tiedot kopioituvat tarvittaessa automaattisesti C-välilehdeltä.  
</t>
  </si>
  <si>
    <t>Based on the entries in sheet C, the available released fuel amounts are displayed automatically. Those are the amounts released for consumption of the specific fuel stream for which the scope factor is zero, calculated via RFA = (1 - scope factor) x RFA. If the amounts cumulatively entered as solde or used, respectively, exceed the available amounts, an indicator message will be prompted (for the reasons mentioned under "RFA used" above, this is not necessarily an error).</t>
  </si>
  <si>
    <t>D_ETS1Amounts'!$F$23</t>
  </si>
  <si>
    <t>ETS1-toiminnanharjoittajat ja laitokset, joille polttoainetta toimitettu</t>
  </si>
  <si>
    <t>Identification of ETS1 operators fuel was supplied to</t>
  </si>
  <si>
    <t>D_ETS1Amounts'!$E$25</t>
  </si>
  <si>
    <t>Kahdella ensimmäisellä rivillä on esimerkkejä siitä, miten tämä osa täytetään.</t>
  </si>
  <si>
    <t>The first two lines show examples for how this section should be completed.</t>
  </si>
  <si>
    <t>D_ETS1Amounts'!$E$26; 'D_ETS1Amounts'!$E$53</t>
  </si>
  <si>
    <t>Name of the ETS1 entity</t>
  </si>
  <si>
    <t>D_ETS1Amounts'!$G$27</t>
  </si>
  <si>
    <t xml:space="preserve">Lisätietoja ETS1-toiminnanharjoittajasta ja laitoksesta </t>
  </si>
  <si>
    <t>ETS1 entity address</t>
  </si>
  <si>
    <t>D_ETS1Amounts'!$J$27</t>
  </si>
  <si>
    <t>Esim. 1</t>
  </si>
  <si>
    <t>Ex.1</t>
  </si>
  <si>
    <t>D_ETS1Amounts'!$D$28; 'D_ETS1Amounts'!$D$55</t>
  </si>
  <si>
    <t xml:space="preserve">Voimalaitos A </t>
  </si>
  <si>
    <t>ACME chemical plant</t>
  </si>
  <si>
    <t>D_ETS1Amounts'!$G$28</t>
  </si>
  <si>
    <t xml:space="preserve">Täydennä tähän tarvittaessa muita tietoja toiminnanharjoittajan laitoksen tunnistamiseksi. </t>
  </si>
  <si>
    <t>Chemical road 42, Antwerp, BE</t>
  </si>
  <si>
    <t>D_ETS1Amounts'!$J$28</t>
  </si>
  <si>
    <t>Esim. 2</t>
  </si>
  <si>
    <t>Ex.2</t>
  </si>
  <si>
    <t>D_ETS1Amounts'!$D$29; 'D_ETS1Amounts'!$D$56</t>
  </si>
  <si>
    <t>Paperitehdas Y</t>
  </si>
  <si>
    <t>Superman Steel</t>
  </si>
  <si>
    <t>D_ETS1Amounts'!$G$29</t>
  </si>
  <si>
    <t>Steel avenue 1, The Hague, NL</t>
  </si>
  <si>
    <t>D_ETS1Amounts'!$J$29</t>
  </si>
  <si>
    <t xml:space="preserve">ETS1-toiminnanharjoittajien laitoksille toimitetut polttoainemäärät </t>
  </si>
  <si>
    <t>Amount of fuel sold to ETS1 operators and used for Annex I activities</t>
  </si>
  <si>
    <t>D_ETS1Amounts'!$E$51</t>
  </si>
  <si>
    <t xml:space="preserve">Jos samalle ETS1-laitokselle toimitetaan useampi kuin yksi polttoainevirta, erittele polttoainevirrat ja niitä koskevat tiedot omille riveilleen. </t>
  </si>
  <si>
    <t>Where more than one fuel stream is supplied to the same ETS1 operator, multiple selections of the same ETS1 unique ID are possible in the first column.</t>
  </si>
  <si>
    <t>D_ETS1Amounts'!$E$52</t>
  </si>
  <si>
    <t>BE000000000006563</t>
  </si>
  <si>
    <t>D_ETS1Amounts'!$E$55</t>
  </si>
  <si>
    <t>NL000000000002012</t>
  </si>
  <si>
    <t>D_ETS1Amounts'!$E$56</t>
  </si>
  <si>
    <t>P2. Nestemäinen – Raskas polttoöljy</t>
  </si>
  <si>
    <t>F2. Liquid - Heavy Fuel Oil</t>
  </si>
  <si>
    <t>D_ETS1Amounts'!$H$56</t>
  </si>
  <si>
    <t>Mahdolliset välittäjät polttoaineen jakeluketjussa</t>
  </si>
  <si>
    <t>Name and address of intermediary consumers, if relevant and available</t>
  </si>
  <si>
    <t>D_ETS1Amounts'!$E$78</t>
  </si>
  <si>
    <t xml:space="preserve">Välittäjänä toimivan yrityksen nimi ja y-tunnus </t>
  </si>
  <si>
    <t>Name and address; intermediary consumer 1</t>
  </si>
  <si>
    <t>D_ETS1Amounts'!$H$80; 'H_Summary'!$F$51</t>
  </si>
  <si>
    <t>Name and address; intermediary consumer 2</t>
  </si>
  <si>
    <t>D_ETS1Amounts'!$I$80; 'H_Summary'!$G$51</t>
  </si>
  <si>
    <t>Name and address; intermediary consumer 3</t>
  </si>
  <si>
    <t>D_ETS1Amounts'!$J$80; 'H_Summary'!$H$51</t>
  </si>
  <si>
    <t>Name and address; intermediary consumer 4</t>
  </si>
  <si>
    <t>D_ETS1Amounts'!$K$80; 'H_Summary'!$I$51</t>
  </si>
  <si>
    <t>Name and address; intermediary consumer 5</t>
  </si>
  <si>
    <t>D_ETS1Amounts'!$L$80; 'H_Summary'!$J$51</t>
  </si>
  <si>
    <t>Name and address; intermediary consumer 6</t>
  </si>
  <si>
    <t>D_ETS1Amounts'!$M$80; 'H_Summary'!$K$51</t>
  </si>
  <si>
    <t>Name and address; intermediary consumer 7</t>
  </si>
  <si>
    <t>D_ETS1Amounts'!$N$80; 'H_Summary'!$L$51</t>
  </si>
  <si>
    <t>EUTL-tunniste</t>
  </si>
  <si>
    <t>EUTL ID</t>
  </si>
  <si>
    <t>D_ETS1Amounts'!$I$120</t>
  </si>
  <si>
    <t>E. Tietoaukot</t>
  </si>
  <si>
    <t>E. Data Gaps</t>
  </si>
  <si>
    <t>E_DataGaps'!$B$2; 'E_DataGaps'!$C$6</t>
  </si>
  <si>
    <t>Raportointivuoden aikana havaitut tietoaukot</t>
  </si>
  <si>
    <t>Data Gaps identified during the reporting year</t>
  </si>
  <si>
    <t>E_DataGaps'!$D$8</t>
  </si>
  <si>
    <t>Polttoainevirran nimi ja tunniste</t>
  </si>
  <si>
    <t>Fuel stream name and ID</t>
  </si>
  <si>
    <t>E_DataGaps'!$E$11; 'E_DataGaps'!$D$18</t>
  </si>
  <si>
    <t>Valitse polttoainevirta pudotusvalikosta sen ilmoittamiseksi, mitä polttoainetta tietoaukko koskee.</t>
  </si>
  <si>
    <t>Please select the fuel stream from the drop-down list to identify to which fuel the data gap applies.</t>
  </si>
  <si>
    <t>E_DataGaps'!$F$11</t>
  </si>
  <si>
    <t>alkaen/asti</t>
  </si>
  <si>
    <t>from/until</t>
  </si>
  <si>
    <t>E_DataGaps'!$E$12</t>
  </si>
  <si>
    <t>Kirjoita tähän kunkin tietoaukon alkamis- ja päättymispäivä.</t>
  </si>
  <si>
    <t>Please enter here the start and the end date of each data gap.</t>
  </si>
  <si>
    <t>E_DataGaps'!$F$12</t>
  </si>
  <si>
    <t>Kuvaus, syyt ja menetelmät</t>
  </si>
  <si>
    <t>Description, reasons and methods</t>
  </si>
  <si>
    <t>E_DataGaps'!$E$13; 'E_DataGaps'!$J$18</t>
  </si>
  <si>
    <t>Kuvaile lyhyesti, millaisia tietoaukkoja on esiintynyt, ilmoita niiden syyt ja kuvaile, miten ne on korjattu 66 artiklan 1 kohdan mukaisesti. Jos tarvitset lisää tilaa, voit kirjoittaa lisäperustelut ja -kuvaukset välilehdelle F_AdditionalInformation, mutta lisää selkeä viittaus alla olevasta taulukosta löytyvään tietoaukon numeroon.</t>
  </si>
  <si>
    <t>Please briefly describe here what kind of data gaps have occurred, provide the reasons for their occurrence and describe how those data gaps have been closed in accordance with Article 66(1). If more space is required you may enter further reasons and descriptions in sheet F_AdditionalInformation providing a clear cross reference to the data gap number in the table below.</t>
  </si>
  <si>
    <t>E_DataGaps'!$F$13</t>
  </si>
  <si>
    <t>Ellei korvaavien tietojen arviointimenetelmää ole vielä sisällytetty tarkkailusuunnitelmaan, esitä yksityiskohtainen kuvaus arviointimenetelmästä, mukaan lukien näyttö siitä, ettei käytetty menetelmä johda päästöjen aliarviointiin kyseisenä ajanjaksona.</t>
  </si>
  <si>
    <t>Where the estimation method for surrogate data has not yet been included in the monitoring plan, please provide a detailed description of the estimation method including evidence that the methodology used does not lead to an underestimation of emissions for the respective time period.</t>
  </si>
  <si>
    <t>E_DataGaps'!$F$14</t>
  </si>
  <si>
    <t>Arvioidut päästöt</t>
  </si>
  <si>
    <t>Estimated emissions</t>
  </si>
  <si>
    <t>E_DataGaps'!$E$15</t>
  </si>
  <si>
    <t>Ilmoita tässä korvaavien tietojen pohjalta lasketut päästöt. Huomaa, että tähän syötettyjä arvioituja päästöjä käytetään vain lisätietoerinä, eikä niitä lisätä muiden välilehtien päästöihin. Tämä tarkoittaa, että edellisiin välilehtiin syötettyjen päästöjen on SISÄLLETTÄVÄ myös korvaavat tiedot.</t>
  </si>
  <si>
    <t>Please enter here the emissions calculated based on surrogate data. Please note that the estimated emissions entered here will just be used as memo-items and will not be added to the emissions in other sheets. This means that the emissions entered in the previous sheets must INCLUDE the surrogate data.</t>
  </si>
  <si>
    <t>E_DataGaps'!$F$15</t>
  </si>
  <si>
    <t>Esimerkki: Polttoainevirran yhden erän päästökerrointiedot ovat kadonneet. Tämän erän korvaava päästökerroin on määritetty varovaisten arvioiden perusteella. Välilehdelle C_FuelStreams syötettävä päästökerroin on kaikkien erien päästökertoimien painotettu keskiarvo, mukaan lukien erä, josta tiedot puuttuvat. Lisäksi kohtaan ”tietoaukot” syötetyt arvioidut päästöt liittyvät vain erään, josta tiedot puuttuvat. Toisin sanoen päästöt (tietoaukko) = polttoainemäärät (sen erän koko, josta tiedot puuttuvat) x päästökerroin (joka on laskettu korvaavien tietojen perusteella).</t>
  </si>
  <si>
    <t>Example: For one batch of a fuel stream data for EF has been lost. The surrogate EF for this batch has been determined based on conservative estimates. In sheet C_FuelStreams the EF entered will be the weighted average of EFs from all batches including the one batch for which data is missing. Furthermore the estimated emissions entered here under "data gaps" only relates to the batch with missing data. I.e. emissions (data gap) = Fuel amounts (batch size for which data is missing) x EF (which has been calculated based on surrogate data).</t>
  </si>
  <si>
    <t>E_DataGaps'!$F$16</t>
  </si>
  <si>
    <t>alkaen</t>
  </si>
  <si>
    <t>from</t>
  </si>
  <si>
    <t>E_DataGaps'!$H$18</t>
  </si>
  <si>
    <t>päättyen</t>
  </si>
  <si>
    <t>until</t>
  </si>
  <si>
    <t>E_DataGaps'!$I$18</t>
  </si>
  <si>
    <t>Arvioidut päästöt (t CO2e)</t>
  </si>
  <si>
    <t>Estimated emissions (t CO2e)</t>
  </si>
  <si>
    <t>E_DataGaps'!$N$18</t>
  </si>
  <si>
    <t>F. Ajoituksen työkalu</t>
  </si>
  <si>
    <t>F. Tool for timing</t>
  </si>
  <si>
    <t>F_Timing'!$B$2</t>
  </si>
  <si>
    <t>F. Työkalu luovutettujen polttoainemäärien määrittämiseksi, jos 75 j artiklan 2 kohta on merkityksellinen</t>
  </si>
  <si>
    <t>F. Tool for determining released fuel amounts, where Article 75j(2) is relevant</t>
  </si>
  <si>
    <t>F_Timing'!$C$6</t>
  </si>
  <si>
    <t>Työkalun esittely</t>
  </si>
  <si>
    <t>Introduction to the tool</t>
  </si>
  <si>
    <t>F_Timing'!$D$8</t>
  </si>
  <si>
    <t>Teoriassa varastot olisi määritettävä keskiyöllä joka vuoden joulukuun 31. päivä, mikä ei liene mahdollista käytännössä. Tämän vuoksi tarkkailuasetuksen 75 j artiklan 2 kohdassa sallitaan seuraavan sopivimman päivän valinta erottamaan raportointikaudet toisistaan.</t>
  </si>
  <si>
    <t>Theoretically, the cut-off time for annual amounts would have to be determined at midnight on 31 December every year, which may not be possible in practice. Therefore, Article 75j(2) allows for choosing the next most appropriate day to separate one reporting year from the following one.</t>
  </si>
  <si>
    <t>F_Timing'!$E$10</t>
  </si>
  <si>
    <t>Joissakin tapauksissa vuotuisten määrien katkaisuaika voi olla jopa myöhempi kuin vuotuisten päästöselvitysten todentamispäivä. Yleinen esimerkki tällaisesta tapauksesta ovat maakaasun toimittajat, jotka saavat jakeluverkonhaltijoiden suorittaman mittarinluvun tulokset edellisen vuoden kulutustasoista (vähintään osasta luovutettuja määriä) vasta sen päivän jälkeen, jona vuotuinen päästöselvitys todennetaan.</t>
  </si>
  <si>
    <t>There may even be cases where the cut-off time for annual amounts is even later than the day on which the annual emissions report is being verified. A common example for such a case would be natural gas suppliers who receive the results of the meter reading performed by distribution system operators for the previous year's consumption levels (for at least part of the released amounts) only after the day on which the annual emissions report is being verified.</t>
  </si>
  <si>
    <t>F_Timing'!$E$11</t>
  </si>
  <si>
    <t>Tämän välilehden työkalut tukevat vuotuisten luovutettujen polttoainemäärien täsmäytystä siinä tapauksessa, että ainakin joidenkin määrien katkaisuaika on sen päivän jälkeen, jona vuotuinen päästöselvitys todennetaan. Voit käyttää kutakin alla olevaa työkalua yhden polttoainevirran luovutettujen polttoainemäärien määrittämiseen.</t>
  </si>
  <si>
    <t>The tools in this sheet support you with reconciling annual released fuel amounts where exactly such case arises, i.e. the cut-off time for at least some amounts is after the day on which the annual emissions report is verified. You may use each tool below for one specfic fuel stream's released fuel amounts.</t>
  </si>
  <si>
    <t>F_Timing'!$E$12</t>
  </si>
  <si>
    <t>Huomaathan, että tämän työkalun tulokset on syötettävä manuaalisesti välilehdelle C! Niitä ei siirretä automaattisesti, ja ne on tarkoitettu ainoastaan läpinäkyvyyden varmistamiseen.</t>
  </si>
  <si>
    <t>Please note that the results of this tool will have to be entered manually in sheet C! They are not automatically transferred and are for transparency purposes only.</t>
  </si>
  <si>
    <t>F_Timing'!$E$13</t>
  </si>
  <si>
    <t>Tämä on raportointivuoden paras arvio luovutetuista polttoainemääristä eli paras arvio vuonna Y-1 luovutetuista määristä, jotka on ilmoitettava 30.4.Y mennessä.</t>
  </si>
  <si>
    <t>This is the best estimate released fuel amounts for the reporting year, i.e. the best estimate for the amounts released in year Y-1 that you have to report by 30 April Y.</t>
  </si>
  <si>
    <t>F_Timing'!$F$16</t>
  </si>
  <si>
    <t>Tämä on vuodelle Y-1 luovutetun polttoaineen todellinen määrä eli lopullinen määrä, joka on tiedossa vasta tämän vuoden päästöselvityksen todentamisen jälkeen. Todellinen määrä on siis tiedossa vasta 30.4. mennessä toimitettavassa päästöselvityksessä Y+1, jossa ilmoitetaan päästöt vuonna Y.</t>
  </si>
  <si>
    <t>This is the actual amount of fuel released for year Y-1, i.e. the final number which will only be known after the verification of this year's annual emissions report took place. The actual amount will therefore only be known for the annual emissions report due by 30 April Y+1, which reports on emissions in year Y.</t>
  </si>
  <si>
    <t>F_Timing'!$F$17</t>
  </si>
  <si>
    <t>Nämä ovat luovutetut polttoainemäärät, jotka on ilmoitettava kyseisen polttoainevirran osalta kyseisenä vuoden Y-1 aikana luovutetuista määristä parhaita arvioita koskevien kirjausten perusteella ja korjaamalla (ks. jäljempänä) ilmoitettujen ja vuoden Y-1 toteutuneiden määrien välistä tasetta.</t>
  </si>
  <si>
    <t>These are the released fuel amounts to be reported for the relevant fuel stream in this year Y for amounts released during Y-1, based on the entries for best estimates and correcting for balance (see below) between reported and actual amounts outstanding from Y-1.</t>
  </si>
  <si>
    <t>F_Timing'!$F$18</t>
  </si>
  <si>
    <t>Tämä on ilmoitettujen luovutettujen polttoainemäärien ja toteutuneiden määrien välinen erotus.</t>
  </si>
  <si>
    <t>This is the difference between the released fuel amounts reported and the actual amounts.</t>
  </si>
  <si>
    <t>F_Timing'!$F$19</t>
  </si>
  <si>
    <t>Esimerkki (joka perustuu vastaavaan esimerkkiin ETS2-yhteisöjä koskevien yleisten ohjeiden 5.3.2 jaksossa):</t>
  </si>
  <si>
    <t>Example (based on the corresponding example in section 5.3.2 of the General guidance for ETS2 regulated entities):</t>
  </si>
  <si>
    <t>F_Timing'!$E$21</t>
  </si>
  <si>
    <t>Maakaasun toimittajalla (tässä esimerkissä ETS2-yhteisö) on suorat sopimussuhteet kotitalouksiin. Vuotuinen maakaasun kulutus mitataan kerran vuodessa 15. toukokuuta maakaasun jakeluverkonhaltijan omistamalla ja lukemalla virtausmittarilla.</t>
  </si>
  <si>
    <t>A natural gas supplier (the ETS2 regulated entity in this example) has direct contractual relationships with households. The annual natural gas consumption is measured once per year on 15 May with a flow meter that is owned and read by the natural gas distribution system operator (DSO).</t>
  </si>
  <si>
    <t>F_Timing'!$E$22</t>
  </si>
  <si>
    <t>Aikaisempien kulutustasojen ja ennusteiden perusteella oletat, että luovutetun polttoaineen määrä on 2 500 kWh, joka on paras saatavilla oleva tieto luovutettujen polttoainemäärien arvioimiseksi koko kalenterivuodelta 2024 ja ilmoitat tämän luvun 30.4.2025 mennessä toimitettavassa vuotuisessa päästöselvityksessä. Merkinnät näyttäisivät näin ollen seuraavilta:</t>
  </si>
  <si>
    <t>Based on historical consumption levels and forecasts, you expect released fuel amounts of 2 500 kWh as the best available information to estimate the released fuel amounts for the total calendar year 2024 and report this figure in the annual emissions report due by 30 April 2025. Entries would therefore look as follows:</t>
  </si>
  <si>
    <t>F_Timing'!$F$23</t>
  </si>
  <si>
    <t>30.4.2025 mennessä toimitettavan selvityksen merkinnät työkalussa näyttävät seuraavilta:</t>
  </si>
  <si>
    <t>Entries in the tool for the report due by 30 April 2025 will look as follows:</t>
  </si>
  <si>
    <t>F_Timing'!$F$24</t>
  </si>
  <si>
    <t>Paras arvio</t>
  </si>
  <si>
    <t>Best estimate</t>
  </si>
  <si>
    <t>F_Timing'!$G$25; 'EUwideConstants'!$B$39</t>
  </si>
  <si>
    <t>Toteutuneet päästöt</t>
  </si>
  <si>
    <t>Actual released amounts</t>
  </si>
  <si>
    <t>F_Timing'!$I$25; 'EUwideConstants'!$B$40</t>
  </si>
  <si>
    <t>Ilmoitettavat määrät</t>
  </si>
  <si>
    <t>Reportable amounts</t>
  </si>
  <si>
    <t>F_Timing'!$K$25; 'F_Timing'!$K$33; 'F_Timing'!$K$46; 'F_Timing'!$K$75</t>
  </si>
  <si>
    <t>Tase</t>
  </si>
  <si>
    <t>Balance</t>
  </si>
  <si>
    <t>F_Timing'!$M$25; 'F_Timing'!$M$33; 'F_Timing'!$M$46; 'F_Timing'!$M$75</t>
  </si>
  <si>
    <t xml:space="preserve"> (vuodelle Y-1)</t>
  </si>
  <si>
    <t xml:space="preserve"> (for year Y-1)</t>
  </si>
  <si>
    <t>F_Timing'!$G$26; 'F_Timing'!$G$34; 'F_Timing'!$G$47; 'F_Timing'!$G$76</t>
  </si>
  <si>
    <t>(vuonna Y-1)</t>
  </si>
  <si>
    <t>(in year Y-1)</t>
  </si>
  <si>
    <t>F_Timing'!$I$26; 'F_Timing'!$I$34; 'F_Timing'!$I$47; 'F_Timing'!$I$76</t>
  </si>
  <si>
    <t>(vuonna Y vuodelle Y-1)</t>
  </si>
  <si>
    <t>(in year Y for Y-1)</t>
  </si>
  <si>
    <t>F_Timing'!$K$26; 'F_Timing'!$K$34; 'F_Timing'!$K$47; 'F_Timing'!$K$76</t>
  </si>
  <si>
    <t>(ilmoitettu - todellinen)</t>
  </si>
  <si>
    <t>(reported - actual)</t>
  </si>
  <si>
    <t>F_Timing'!$M$26; 'F_Timing'!$M$34; 'F_Timing'!$M$47; 'F_Timing'!$M$76</t>
  </si>
  <si>
    <t>Paras arvio 2024</t>
  </si>
  <si>
    <t>Best estimate 2024</t>
  </si>
  <si>
    <t>F_Timing'!$E$27</t>
  </si>
  <si>
    <t>Toteutuneet päästöt 2024</t>
  </si>
  <si>
    <t>Actual released amounts 2024</t>
  </si>
  <si>
    <t>F_Timing'!$E$28</t>
  </si>
  <si>
    <t>Vuoden 2024 päästöjä koskevan kertomuksen toimittamisen jälkeen jakeluverkonhaltija ilmoittaa 15.5.2025 säännellylle yhteisölle, että todellinen kulutus 15.5.2024–15.5.2025 on ollut 2 300 kWh. Näin ollen vuoden 2025 päästöjen selvittämiseksi määräaikaan 30.4.2026 mennessä parhaat saatavilla olevat tiedot luovutetuista polttoainemääristä ovat 2 300 kWh. Edellisen vuoden yliraportoinnin oikaisemiseksi säännellyn yhteisön on kuitenkin vähennettävä 2 500–2 300 kWh = 200 kWh, mikä johtaa siihen, että ilmoitettu luovutettu polttoainemäärä vuonna 2025 on 2 100 kWh.</t>
  </si>
  <si>
    <t>After the submission of the report for 2024 emissions, on 15 May 2025 the DSO reports to the regulated entity actual consumption between 15 May 2024 and 15 May 2025 to have been 2 300 kWh. For reporting on emissions during 2025 due by 30 April 2026, the best available data for released fuel amounts is therefore 2 300 kWh. However, in order to correct for the over-reporting in the previous year, the regulated entity has to deduct the 2 500 kWh – 2 300 kWh = 200 kWh which will lead to reporting released fuel amounts of 2 100 kWh for 2025.</t>
  </si>
  <si>
    <t>F_Timing'!$F$30</t>
  </si>
  <si>
    <t>Näin ollen vuoden 2025 päästöjen selvittämiseksi määräaikaan 30.4.2026 mennessä parhaat saatavilla olevat tiedot luovutetuista polttoainemääristä ovat 2 300 kWh. Edellisen vuoden yliraportoinnin oikaisemiseksi sinun on kuitenkin vähennettävä 2 500–2 300 kWh = 200 kWh, mikä johtaa siihen, että ilmoitettu luovutettu polttoainemäärä vuonna 2025 on 2 100 kWh.</t>
  </si>
  <si>
    <t>For reporting on emissions during 2025 due by 30 April 2026, the best available data for released fuel amounts is therefore 2 300 kWh. However, in order to correct for the over-reporting in the previous year, you have to deduct the 2 500 kWh – 2 300 kWh = 200 kWh which will lead to reporting released fuel amounts of 2 100 kWh for 2025.</t>
  </si>
  <si>
    <t>F_Timing'!$F$31</t>
  </si>
  <si>
    <t>30.4.2026 mennessä toimitettavan selvityksen merkinnät työkalussa näyttävät seuraavilta:</t>
  </si>
  <si>
    <t>Entries in the tool for the report due by 30 April 2026 will look as follows:</t>
  </si>
  <si>
    <t>F_Timing'!$F$32</t>
  </si>
  <si>
    <t>Edellä mainitut vaiheet olisi ilmoitettava myös seuraavilta vuosilta.</t>
  </si>
  <si>
    <t>The above steps would be reported for subsequent years as well</t>
  </si>
  <si>
    <t>F_Timing'!$F$40</t>
  </si>
  <si>
    <t>Työkalu 1</t>
  </si>
  <si>
    <t>Tool 1</t>
  </si>
  <si>
    <t>F_Timing'!$D$42</t>
  </si>
  <si>
    <t>Polttoainevirta, johon tämän työkalun merkinnät liittyvät:</t>
  </si>
  <si>
    <t>Fuel stream to which entries in this tool relate:</t>
  </si>
  <si>
    <t>F_Timing'!$H$44; 'F_Timing'!$H$73</t>
  </si>
  <si>
    <t>Yksiköt:</t>
  </si>
  <si>
    <t>Units:</t>
  </si>
  <si>
    <t>F_Timing'!$E$46; 'F_Timing'!$E$75</t>
  </si>
  <si>
    <t>Työkalu 2</t>
  </si>
  <si>
    <t>Tool 2</t>
  </si>
  <si>
    <t>F_Timing'!$D$71</t>
  </si>
  <si>
    <t>G. Additional information</t>
  </si>
  <si>
    <t>G_AdditionalInformation'!$A$1</t>
  </si>
  <si>
    <t>G. Further Information on this report</t>
  </si>
  <si>
    <t>G_AdditionalInformation'!$B$5</t>
  </si>
  <si>
    <t>Määritelmät ja lyhenteet</t>
  </si>
  <si>
    <t>List of definitions and abbreviations used</t>
  </si>
  <si>
    <t>G_AdditionalInformation'!$C$7</t>
  </si>
  <si>
    <t>Luettele kaikki lyhenteet tai määritelmät, joita olet käyttänyt tässä vuotuisessa päästöselvityksessä.</t>
  </si>
  <si>
    <t>Please list any abbreviations, acronyms or definitions that you have used in completing this annual emissions report.</t>
  </si>
  <si>
    <t>G_AdditionalInformation'!$C$9</t>
  </si>
  <si>
    <t>Lyhenne</t>
  </si>
  <si>
    <t>Abbreviation</t>
  </si>
  <si>
    <t>G_AdditionalInformation'!$C$11</t>
  </si>
  <si>
    <t>Määritelmä</t>
  </si>
  <si>
    <t>Definition</t>
  </si>
  <si>
    <t>G_AdditionalInformation'!$E$11</t>
  </si>
  <si>
    <t>Additional information</t>
  </si>
  <si>
    <t>G_AdditionalInformation'!$C$23</t>
  </si>
  <si>
    <t>Jos annat muita tietoja, jotka haluat meidän ottavan huomioon raportissasi, kirjoita ne tähän. Anna kyseiset tiedot sähköisessä muodossa aina, kun se on mahdollista. Voit antaa tietoja Microsoft Word-, Excel- tai Adobe Acrobat -muodossa.</t>
  </si>
  <si>
    <t>If you are providing any other information that you wish us to take into account in considering your report, tell us here. Please provide this information in an electronic format wherever possible. You can provide information as Microsoft Word, Excel, or Adobe Acrobat formats.</t>
  </si>
  <si>
    <t>G_AdditionalInformation'!$C$25</t>
  </si>
  <si>
    <t>On suositeltavaa välttää tarpeettomien tietojen antamista, koska ne voivat hidastaa prosessia. Toimitettuihin lisäasiakirjoihin olisi viitattava selkeästi jäljempänä käyttäen tiedostonimiä (jos asiakirja on sähköisessä muodossa) tai asiakirjan viitenumeroita (jos asiakirja on paperilla): Kysy tarvittaessa lisätietoja toimivaltaiselta viranomaiselta.</t>
  </si>
  <si>
    <t>You are advised to avoid supplying non-relevant information as it can slow down the process. Additional documentation provided should be clearly referenced below, using file name(s) (if in an electronic format) or document reference number(s) (if hard copy). If needed, check with your competent authority.</t>
  </si>
  <si>
    <t>G_AdditionalInformation'!$C$26</t>
  </si>
  <si>
    <t>Tiedoston nimi/viite</t>
  </si>
  <si>
    <t>File name/Reference</t>
  </si>
  <si>
    <t>G_AdditionalInformation'!$C$28</t>
  </si>
  <si>
    <t>Asiakirjan kuvaus</t>
  </si>
  <si>
    <t>Document description</t>
  </si>
  <si>
    <t>G_AdditionalInformation'!$E$28</t>
  </si>
  <si>
    <t>H. Summary</t>
  </si>
  <si>
    <t>H_Summary'!$B$2</t>
  </si>
  <si>
    <t>Summary of the annual emissions of the Regulated Entity</t>
  </si>
  <si>
    <t>H_Summary'!$C$6</t>
  </si>
  <si>
    <t>Raportointivuosi:</t>
  </si>
  <si>
    <t>Reporting Year:</t>
  </si>
  <si>
    <t>H_Summary'!$J$8</t>
  </si>
  <si>
    <t>Version of this report:</t>
  </si>
  <si>
    <t>H_Summary'!$E$12</t>
  </si>
  <si>
    <t>Released fuel amounts (by units)</t>
  </si>
  <si>
    <t>H_Summary'!$E$14</t>
  </si>
  <si>
    <t>Released fuel amounts</t>
  </si>
  <si>
    <t>H_Summary'!$H$14; 'H_Summary'!$J$28; 'H_Summary'!$K$28; 'H_Summary'!$L$28</t>
  </si>
  <si>
    <t>Released fuel amounts (after scope factor)</t>
  </si>
  <si>
    <t>H_Summary'!$I$14</t>
  </si>
  <si>
    <t>Aggregated scope factor</t>
  </si>
  <si>
    <t>H_Summary'!$J$14</t>
  </si>
  <si>
    <t>Released fuel amounts (sold to ETS1)</t>
  </si>
  <si>
    <t>H_Summary'!$K$14</t>
  </si>
  <si>
    <t>Released fuel amounts (used in ETS1)</t>
  </si>
  <si>
    <t>H_Summary'!$L$14</t>
  </si>
  <si>
    <t>Memo-Items:</t>
  </si>
  <si>
    <t>H_Summary'!$J$21</t>
  </si>
  <si>
    <t>Emissions (fossil)</t>
  </si>
  <si>
    <t>H_Summary'!$H$22</t>
  </si>
  <si>
    <t>Energiasisältö (fossiilinen)</t>
  </si>
  <si>
    <t>Energy content (fossil)</t>
  </si>
  <si>
    <t>H_Summary'!$I$22</t>
  </si>
  <si>
    <t>Päästöt (biomassa)</t>
  </si>
  <si>
    <t>Emissions (biomass)</t>
  </si>
  <si>
    <t>H_Summary'!$J$22</t>
  </si>
  <si>
    <t>Energiasisältö (biomassa)</t>
  </si>
  <si>
    <t>Energy content (biomass)</t>
  </si>
  <si>
    <t>H_Summary'!$K$22</t>
  </si>
  <si>
    <t>Emissions (non-sust.bio.)</t>
  </si>
  <si>
    <t>H_Summary'!$L$22</t>
  </si>
  <si>
    <t>All fuel streams</t>
  </si>
  <si>
    <t>H_Summary'!$E$24</t>
  </si>
  <si>
    <t>Total annual emissions from the entity:</t>
  </si>
  <si>
    <t>H_Summary'!$E$26</t>
  </si>
  <si>
    <t>ETS1-nimi</t>
  </si>
  <si>
    <t>ETS1 name</t>
  </si>
  <si>
    <t>H_Summary'!$G$28</t>
  </si>
  <si>
    <t>(myyty ETS1:ssä)</t>
  </si>
  <si>
    <t>(sold to ETS1)</t>
  </si>
  <si>
    <t>H_Summary'!$J$29</t>
  </si>
  <si>
    <t>(käytetty ETS1:ssä)</t>
  </si>
  <si>
    <t>(used in ETS1)</t>
  </si>
  <si>
    <t>H_Summary'!$K$29</t>
  </si>
  <si>
    <t>(myyty ETS1:ssä, t CO2)</t>
  </si>
  <si>
    <t>(sold to ETS1, t CO2)</t>
  </si>
  <si>
    <t>H_Summary'!$L$29</t>
  </si>
  <si>
    <t>I Accounting sheet</t>
  </si>
  <si>
    <t>I_Accounting'!$C$3</t>
  </si>
  <si>
    <t>Todentaja</t>
  </si>
  <si>
    <t>Verifier</t>
  </si>
  <si>
    <t>I_Accounting'!$T$6</t>
  </si>
  <si>
    <t>Released fuel amounts (RFA)</t>
  </si>
  <si>
    <t>I_Accounting'!$I$11</t>
  </si>
  <si>
    <t>Soveltamisalakerroin (SF)</t>
  </si>
  <si>
    <t>Scope factor (SF)</t>
  </si>
  <si>
    <t>I_Accounting'!$M$11</t>
  </si>
  <si>
    <t>Päästökerroin (EF)</t>
  </si>
  <si>
    <t>Emission factor (EF)</t>
  </si>
  <si>
    <t>I_Accounting'!$P$11</t>
  </si>
  <si>
    <t>Yksikön muuntokerroin (UCF)</t>
  </si>
  <si>
    <t>Unit conversion factor (UCF)</t>
  </si>
  <si>
    <t>I_Accounting'!$S$11</t>
  </si>
  <si>
    <t>Biomassaosuus (BF)</t>
  </si>
  <si>
    <t>Biomass fraction (BF)</t>
  </si>
  <si>
    <t>I_Accounting'!$V$11</t>
  </si>
  <si>
    <t>Non-sust. biomass fraction</t>
  </si>
  <si>
    <t>I_Accounting'!$X$11</t>
  </si>
  <si>
    <t>Reporting Year</t>
  </si>
  <si>
    <t>I_Accounting'!$D$12</t>
  </si>
  <si>
    <t>Means released</t>
  </si>
  <si>
    <t>I_Accounting'!$G$12</t>
  </si>
  <si>
    <t>Means (intermediate) parties</t>
  </si>
  <si>
    <t>I_Accounting'!$H$12</t>
  </si>
  <si>
    <t>BF-määrittämistaso</t>
  </si>
  <si>
    <t>BF Tier</t>
  </si>
  <si>
    <t>I_Accounting'!$V$12</t>
  </si>
  <si>
    <t>NonSustBF-määrittämistaso</t>
  </si>
  <si>
    <t>NonSustBF Tier</t>
  </si>
  <si>
    <t>I_Accounting'!$X$12</t>
  </si>
  <si>
    <t>NonSustBF</t>
  </si>
  <si>
    <t>I_Accounting'!$Y$12</t>
  </si>
  <si>
    <t>CO2e fossil (t)</t>
  </si>
  <si>
    <t>I_Accounting'!$Z$12</t>
  </si>
  <si>
    <t>CO2e bio (t)</t>
  </si>
  <si>
    <t>I_Accounting'!$AA$12</t>
  </si>
  <si>
    <t>CO2e non-sust. bio (tonnia)</t>
  </si>
  <si>
    <t>CO2e non-sust. bio (t)</t>
  </si>
  <si>
    <t>I_Accounting'!$AB$12</t>
  </si>
  <si>
    <t>Energiasisältö (fossiilinen), TJ</t>
  </si>
  <si>
    <t>Energy content (fossil), TJ</t>
  </si>
  <si>
    <t>I_Accounting'!$AC$12; 'I_Accounting'!$AD$12</t>
  </si>
  <si>
    <t>Energiasisältö (biomassa), TJ</t>
  </si>
  <si>
    <t>Energy content (bio), TJ</t>
  </si>
  <si>
    <t>CRF-luokka 1</t>
  </si>
  <si>
    <t>CRF category 1</t>
  </si>
  <si>
    <t>I_Accounting'!$AE$12</t>
  </si>
  <si>
    <t>CRF-luokka 2</t>
  </si>
  <si>
    <t>CRF category 2</t>
  </si>
  <si>
    <t>I_Accounting'!$AF$12</t>
  </si>
  <si>
    <t>CRF-luokka 3</t>
  </si>
  <si>
    <t>CRF category 3</t>
  </si>
  <si>
    <t>I_Accounting'!$AG$12</t>
  </si>
  <si>
    <t>litres</t>
  </si>
  <si>
    <t>EUwideConstants'!$B$13</t>
  </si>
  <si>
    <t>GWh (brutto)</t>
  </si>
  <si>
    <t>GWh(gross)</t>
  </si>
  <si>
    <t>EUwideConstants'!$B$16</t>
  </si>
  <si>
    <t>puutteellinen!</t>
  </si>
  <si>
    <t>incomplete!</t>
  </si>
  <si>
    <t>EUwideConstants'!$B$41</t>
  </si>
  <si>
    <t>epäjohdonmukainen!</t>
  </si>
  <si>
    <t>inconsistent!</t>
  </si>
  <si>
    <t>EUwideConstants'!$B$42</t>
  </si>
  <si>
    <t>Tšekki</t>
  </si>
  <si>
    <t>Czechia</t>
  </si>
  <si>
    <t>EUwideConstants'!$G$55</t>
  </si>
  <si>
    <t>1A3a – Kotimaan lentoliikenne</t>
  </si>
  <si>
    <t>1A3a - Domestic Aviation</t>
  </si>
  <si>
    <t>EUwideConstants'!$B$195</t>
  </si>
  <si>
    <t>1A3c – Rautatiet</t>
  </si>
  <si>
    <t>1A3c - Railways</t>
  </si>
  <si>
    <t>EUwideConstants'!$B$196</t>
  </si>
  <si>
    <t>1A3d – Kotimaan vesiliikenne</t>
  </si>
  <si>
    <t>1A3d - Domestic Navigation</t>
  </si>
  <si>
    <t>EUwideConstants'!$B$197</t>
  </si>
  <si>
    <t>1A4c – Maatalous/metsätalous/kalatalous</t>
  </si>
  <si>
    <t>1A4c - Agriculture/Forestry/Fishing</t>
  </si>
  <si>
    <t>EUwideConstants'!$B$198</t>
  </si>
  <si>
    <t>1A5a – Energia – Kiinteä poltto</t>
  </si>
  <si>
    <t>1A5a - Energy - Stationary combustion</t>
  </si>
  <si>
    <t>EUwideConstants'!$B$199</t>
  </si>
  <si>
    <t>1A5b – Energia – liikkuva poltto</t>
  </si>
  <si>
    <t>1A5b - Energy - Mobile combustion</t>
  </si>
  <si>
    <t>EUwideConstants'!$B$200</t>
  </si>
  <si>
    <t>Muut luokat</t>
  </si>
  <si>
    <t>Other categories</t>
  </si>
  <si>
    <t>EUwideConstants'!$B$201</t>
  </si>
  <si>
    <t>Tuntematon</t>
  </si>
  <si>
    <t>Unknown</t>
  </si>
  <si>
    <t>EUwideConstants'!$B$202</t>
  </si>
  <si>
    <t>ETS1 categories</t>
  </si>
  <si>
    <t>Liquid - Gas/Diesel Oil</t>
  </si>
  <si>
    <t>Liquid - Motor Gasoline (E5)</t>
  </si>
  <si>
    <t>Liquid - Motor Gasoline (E10)</t>
  </si>
  <si>
    <t>Liquid - Diesel oil (B7)</t>
  </si>
  <si>
    <t>Liquid - Light Fuel Oil</t>
  </si>
  <si>
    <t>Liquid - Medium Fuel Oil</t>
  </si>
  <si>
    <t>Nestemäinen - Raskas polttoöljy</t>
  </si>
  <si>
    <t>Liquid - Heavy Fuel Oil</t>
  </si>
  <si>
    <t>Liquid - Liquefied Petroleum Gases</t>
  </si>
  <si>
    <t>Nestemäinen - Muut petrolit</t>
  </si>
  <si>
    <t>Liquid - Kerosene</t>
  </si>
  <si>
    <t>Nestemäinen - Nesteytetty maakaasu</t>
  </si>
  <si>
    <t>Liquid - Natural Gas Liquids</t>
  </si>
  <si>
    <t>Nestemäinen - Lentobensiini</t>
  </si>
  <si>
    <t>Liquid - Aviation gasoline (AvGas)</t>
  </si>
  <si>
    <t>Liquid - Jet gasoline (Jet B)</t>
  </si>
  <si>
    <t>Nestemäinen - Lentopetroli</t>
  </si>
  <si>
    <t>Liquid - Jet kerosene (jet A1 or jet A)</t>
  </si>
  <si>
    <t>Liquid - Shale Oil</t>
  </si>
  <si>
    <t>Liquid - Biogasoline</t>
  </si>
  <si>
    <t>Nestemäinen - Uusiutuva diesel (ei sekoitettu)</t>
  </si>
  <si>
    <t>Liquid - Biodiesels</t>
  </si>
  <si>
    <t>Nestemäinen - Kierrätys- ja jäteöljyt</t>
  </si>
  <si>
    <t>Liquid - Waste Oils</t>
  </si>
  <si>
    <t>Nestemäinen - Muut nestemäiset polttoaineet</t>
  </si>
  <si>
    <t>Liquid - Other liquid fuels</t>
  </si>
  <si>
    <t>Kaasumainen - Kaatopaikkakaasu</t>
  </si>
  <si>
    <t>Gaseous - Landfill Gas</t>
  </si>
  <si>
    <t>Kaasumainen - Jätevedenpuhdistamoiden kaasu</t>
  </si>
  <si>
    <t>Gaseous - Sludge Gas</t>
  </si>
  <si>
    <t>Gaseous - Ethane</t>
  </si>
  <si>
    <t>Kaasumainen - Propaani</t>
  </si>
  <si>
    <t>Gaseous - Propane</t>
  </si>
  <si>
    <t>Gaseous - Butane</t>
  </si>
  <si>
    <t>Kaasumainen - Muut kaasumaiset polttoaineet</t>
  </si>
  <si>
    <t>Gaseous - Other gaseous fuels</t>
  </si>
  <si>
    <t>Kiinteä - Ligniitti</t>
  </si>
  <si>
    <t>Solid - Lignite</t>
  </si>
  <si>
    <t>Kiinteä - Antrasiitti</t>
  </si>
  <si>
    <t>Solid - Anthracite</t>
  </si>
  <si>
    <t>Kiinteä - Koksattava kivihiili</t>
  </si>
  <si>
    <t>Solid - Coking Coal</t>
  </si>
  <si>
    <t>Kiinteä - Kivihiili</t>
  </si>
  <si>
    <t>Solid - Charcoal</t>
  </si>
  <si>
    <t>Kiinteä - Puolibituminen hiili, ruskohiili</t>
  </si>
  <si>
    <t>Solid - Sub-Bituminous Coal</t>
  </si>
  <si>
    <t>Kiinteä - muu hiili</t>
  </si>
  <si>
    <t>Solid - Other Bituminous Coal</t>
  </si>
  <si>
    <t>Kiinteä - Koksi</t>
  </si>
  <si>
    <t>Solid - Petroleum Coke</t>
  </si>
  <si>
    <t>Kiinteä - Muut kiinteät polttoaineet</t>
  </si>
  <si>
    <t>Solid - Other solid fuels</t>
  </si>
  <si>
    <t>Nestemäinen - Biopolttoöljy (HVO)</t>
  </si>
  <si>
    <t>Nestemäinen - Etanolidiesel</t>
  </si>
  <si>
    <t>Nestemäinen - Bioetanoli</t>
  </si>
  <si>
    <t>Nestemäinen - 2-tahtiöljyt</t>
  </si>
  <si>
    <t>#</t>
  </si>
  <si>
    <t>Type</t>
  </si>
  <si>
    <t>Category</t>
  </si>
  <si>
    <t>EUconst_TrueFalse</t>
  </si>
  <si>
    <t>EUconst_ReportingYear</t>
  </si>
  <si>
    <t>EUconst_Fuel</t>
  </si>
  <si>
    <t>EUconst_CNTR_ActivityData</t>
  </si>
  <si>
    <t>ActivityData_</t>
  </si>
  <si>
    <t>EUconst_CNTR_UCF</t>
  </si>
  <si>
    <t>UCF_</t>
  </si>
  <si>
    <t>EUconst_CNTR_EF</t>
  </si>
  <si>
    <t>EF_</t>
  </si>
  <si>
    <t>EUconst_CNTR_BiomassContent</t>
  </si>
  <si>
    <t>BioC_</t>
  </si>
  <si>
    <t>EUconst_Value</t>
  </si>
  <si>
    <t>EUconst_Unit</t>
  </si>
  <si>
    <t>EUconst_t</t>
  </si>
  <si>
    <t>EUconst_kNm3</t>
  </si>
  <si>
    <t>EUconst_litres</t>
  </si>
  <si>
    <t>EUconst_GJ</t>
  </si>
  <si>
    <t>GJ</t>
  </si>
  <si>
    <t>EUconst_TJ</t>
  </si>
  <si>
    <t>TJ</t>
  </si>
  <si>
    <t>EUconst_GWhgross</t>
  </si>
  <si>
    <t>EUconst_tCO2</t>
  </si>
  <si>
    <t>tCO2</t>
  </si>
  <si>
    <t>EUconst_DefaultValues</t>
  </si>
  <si>
    <t>EUconst_DefaultValuesBio</t>
  </si>
  <si>
    <t>EUconst_SumCO2</t>
  </si>
  <si>
    <t>SUM_CO2</t>
  </si>
  <si>
    <t>EUconst_SumBioCO2</t>
  </si>
  <si>
    <t>SUM_bioCO2</t>
  </si>
  <si>
    <t>EUconst_SumNonSustBioCO2</t>
  </si>
  <si>
    <t>SUM_bioNonSustCO2</t>
  </si>
  <si>
    <t>EUconst_SumEnergyIN</t>
  </si>
  <si>
    <t>SUM_EnergyIN</t>
  </si>
  <si>
    <t>EUconst_SumBioEnergyIN</t>
  </si>
  <si>
    <t>SUM_BioEnergyIN</t>
  </si>
  <si>
    <t>EUconst_CNTR_SourceCategory</t>
  </si>
  <si>
    <t>SourceCategory_</t>
  </si>
  <si>
    <t>EUconst_CNTR_SourceStreamName</t>
  </si>
  <si>
    <t>SourceStreamName_</t>
  </si>
  <si>
    <t>EUconst_CNTR_SourceStreamClass</t>
  </si>
  <si>
    <t>SourceStreamClass_</t>
  </si>
  <si>
    <t>EUconst_CNTR_SmallEmitter</t>
  </si>
  <si>
    <t>SmallEmitter_</t>
  </si>
  <si>
    <t>EUconst_CNTR_NoSmallEmitter</t>
  </si>
  <si>
    <t>NoSmallEmitter_</t>
  </si>
  <si>
    <t>EUconst_MsgNextSheet</t>
  </si>
  <si>
    <t>EUconst_FuelStream</t>
  </si>
  <si>
    <t>EUconst_OwnerInstrument</t>
  </si>
  <si>
    <t>EUconst_ActivityDeterminationMethod</t>
  </si>
  <si>
    <t>EUconst_FurtherGuidancePoint1</t>
  </si>
  <si>
    <t>EUconst_NA</t>
  </si>
  <si>
    <t>EUconst_Relevant</t>
  </si>
  <si>
    <t>EUconst_NotRelevant</t>
  </si>
  <si>
    <t>EUconst_NotApplicable</t>
  </si>
  <si>
    <t>EUconst_ToolBestEstimate</t>
  </si>
  <si>
    <t>EUconst_ToolActualAmounts</t>
  </si>
  <si>
    <t>EUconst_ERR_Incomplete</t>
  </si>
  <si>
    <t>EUconst_ERR_Inconsistent</t>
  </si>
  <si>
    <t>EUconst_MsgTierActivityLevel</t>
  </si>
  <si>
    <t>EUconst_MsgEnterThisSection</t>
  </si>
  <si>
    <t>EUconst_MsgGoOn</t>
  </si>
  <si>
    <t>EUconst_MsgSmallEmitters</t>
  </si>
  <si>
    <t>EUconst_PreviousSheet</t>
  </si>
  <si>
    <t>EUconst_NextSheet</t>
  </si>
  <si>
    <t>EUconst_NoTier</t>
  </si>
  <si>
    <t>EUconst_MsgDeMinimis</t>
  </si>
  <si>
    <t>EUconst_ERR_ThreshholdDeminimis</t>
  </si>
  <si>
    <t>EUconst_ERR_CheckEstimatedEmissions</t>
  </si>
  <si>
    <t>Euconst_VersionTracking</t>
  </si>
  <si>
    <t>EUconst_MSlist</t>
  </si>
  <si>
    <t>EUconst_MSlistISOcodes</t>
  </si>
  <si>
    <t>AT</t>
  </si>
  <si>
    <t>BE</t>
  </si>
  <si>
    <t>BG</t>
  </si>
  <si>
    <t>HR</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</si>
  <si>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</si>
  <si>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</si>
  <si>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</si>
  <si>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</si>
  <si>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</si>
  <si>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</si>
  <si>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</si>
  <si>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</si>
  <si>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</si>
  <si>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</si>
  <si>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</si>
  <si>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</si>
  <si>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</si>
  <si>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</si>
  <si>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</si>
  <si>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</si>
  <si>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</si>
  <si>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</si>
  <si>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</si>
  <si>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</si>
  <si>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</si>
  <si>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</si>
  <si>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</si>
  <si>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</si>
  <si>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</si>
  <si>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</si>
  <si>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Euconst_MPReferenceDateTypes</t>
  </si>
  <si>
    <t>EUconst_IRMonth</t>
  </si>
  <si>
    <t>EUconst_CNTR_ScopeFactor</t>
  </si>
  <si>
    <t>ScopeFactor_</t>
  </si>
  <si>
    <t>MeansReleased</t>
  </si>
  <si>
    <t>MeansIntermediaries</t>
  </si>
  <si>
    <t>ScopeTiers</t>
  </si>
  <si>
    <t>ScopeAddress</t>
  </si>
  <si>
    <t>ScopeMethods</t>
  </si>
  <si>
    <t>ScopeMethodsDetails</t>
  </si>
  <si>
    <t>ActivityDataTiers</t>
  </si>
  <si>
    <t>NCVTiers</t>
  </si>
  <si>
    <t>EFTiers</t>
  </si>
  <si>
    <t>consistent units RFA with UCF:</t>
  </si>
  <si>
    <t>RFAUnits</t>
  </si>
  <si>
    <t>UCFUnits</t>
  </si>
  <si>
    <t>conversion with EF to t CO2:</t>
  </si>
  <si>
    <t>EFUnits</t>
  </si>
  <si>
    <t>PctUnits</t>
  </si>
  <si>
    <t>%</t>
  </si>
  <si>
    <t>Default values</t>
  </si>
  <si>
    <t>1=default value, 2=lab</t>
  </si>
  <si>
    <t>2a/2b</t>
  </si>
  <si>
    <t>CRF categories</t>
  </si>
  <si>
    <t>EUconst_ListCRF</t>
  </si>
  <si>
    <t>&lt;END of list&gt;</t>
  </si>
  <si>
    <t>MS are free to use this sheet</t>
  </si>
  <si>
    <t>1. MS Fuel Category list</t>
  </si>
  <si>
    <t>Please note: When this list is amended by the MS competent authority, the following technicalities are to be respected:</t>
  </si>
  <si>
    <t>For each "fuel stream type" selected in B.1.a the corresponding line in light yellow contains the fuels that can then be selected in the same section under "fuel stream category".</t>
  </si>
  <si>
    <t>1. Only cells in the light yellow area below should be changed. No empty cells should be contained in the light yellow area (otherwise the operator can enter values which are not contained in the list)</t>
  </si>
  <si>
    <t>2. Consider to also add those additional fuels in the table below to attribute properties such as standard calculation factors or if the should be considered as purely fossil by default, where relevant.</t>
  </si>
  <si>
    <t>3. Attribute them to one (usually) or two fuel stream types (entries then used automatically for the table in section 2 below). For example, if natural gas can be demonstrated to be a "national standard fuel" (Article 75k(2)), it should be categories as such and not under "Other gaseous &amp; liquid fuels".</t>
  </si>
  <si>
    <t>4. Indicate whether providing further names (column L in B.2.a) can be made optional (column K in the table below) and whether the fuel is always fossil (column L in the table below, biomass fraction will automatically be greyed out in sheet C).</t>
  </si>
  <si>
    <t>5. Make sure all entries under Tier 2a in the table below are 1) consistent with the (disaggregated) values used in your national GHG inventory and 2) units for released fuel amounts, unit conversion factor and emission factor are consistent.</t>
  </si>
  <si>
    <t>Tier 1</t>
  </si>
  <si>
    <t>Tier 2a</t>
  </si>
  <si>
    <t>Factors according to Annex VI MRR</t>
  </si>
  <si>
    <t xml:space="preserve">Factors for Articles 31 (b) and (c) </t>
  </si>
  <si>
    <t>Fuel category description</t>
  </si>
  <si>
    <t>Fuel stream type 1</t>
  </si>
  <si>
    <t>Fuel stream type 2</t>
  </si>
  <si>
    <t>BioC</t>
  </si>
  <si>
    <t>Value (-)</t>
  </si>
  <si>
    <t>MSPara_SourceStreamCategory</t>
  </si>
  <si>
    <t>Source</t>
  </si>
  <si>
    <t>MSPara_NameOptional</t>
  </si>
  <si>
    <t>MSPara_IsFossil</t>
  </si>
  <si>
    <t>MSPara_CalcFactors</t>
  </si>
  <si>
    <t>Annex VI MRR</t>
  </si>
  <si>
    <t>GJ/litraa</t>
  </si>
  <si>
    <t>GJ/t</t>
  </si>
  <si>
    <t>Kaasumainen - Biometaani</t>
  </si>
  <si>
    <t>tCO2/t</t>
  </si>
  <si>
    <t>Nestemäinen - Metanoli ja tärpätti</t>
  </si>
  <si>
    <r>
      <t xml:space="preserve">Nestemäinen - Raskas polttoöljy, rikkipitoisuus  </t>
    </r>
    <r>
      <rPr>
        <sz val="9"/>
        <rFont val="Aptos Narrow"/>
        <family val="2"/>
      </rPr>
      <t>≤ 0,1 %</t>
    </r>
  </si>
  <si>
    <t>Nestemäinen - Raskas polttoöljy, rikkipitoisuus  ≤ 0,5 %</t>
  </si>
  <si>
    <t>Nestemäinen - Raskas polttoöljy, rikkipitoisuus &lt; 1%</t>
  </si>
  <si>
    <t>Nestemäinen - Raskas polttoöljy, rikkipitoisuus ≥ 1 %</t>
  </si>
  <si>
    <t>2. Fuel stream category list for each fuel stream type</t>
  </si>
  <si>
    <t>MSPara_CategoryAddress</t>
  </si>
  <si>
    <t>MSPara_CategoryMatrix</t>
  </si>
  <si>
    <t>Info for automatic Version detection</t>
  </si>
  <si>
    <t>Template type:</t>
  </si>
  <si>
    <t>ETS2 Report annual emissions</t>
  </si>
  <si>
    <t>Version:</t>
  </si>
  <si>
    <t>Issued by:</t>
  </si>
  <si>
    <t>European Commission</t>
  </si>
  <si>
    <t>Language:</t>
  </si>
  <si>
    <t>English</t>
  </si>
  <si>
    <t>Type list:</t>
  </si>
  <si>
    <t>Monitoring plan ETS2 annual emissions</t>
  </si>
  <si>
    <t>MP ETS2</t>
  </si>
  <si>
    <t>AER ETS2</t>
  </si>
  <si>
    <t>Version list</t>
  </si>
  <si>
    <t>Reference File Name</t>
  </si>
  <si>
    <t>Version comments</t>
  </si>
  <si>
    <t>Final version</t>
  </si>
  <si>
    <t>Some small bug fixes</t>
  </si>
  <si>
    <t>COM</t>
  </si>
  <si>
    <t>Umweltbundesamt</t>
  </si>
  <si>
    <t>UBA</t>
  </si>
  <si>
    <t>Czech Republic</t>
  </si>
  <si>
    <t>IC</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</si>
  <si>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</si>
  <si>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</si>
  <si>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</si>
  <si>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</si>
  <si>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</si>
  <si>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</si>
  <si>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</si>
  <si>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</si>
  <si>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</si>
  <si>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</si>
  <si>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</si>
  <si>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</si>
  <si>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</si>
  <si>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</si>
  <si>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</si>
  <si>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</si>
  <si>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</si>
  <si>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</si>
  <si>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</si>
  <si>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</si>
  <si>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</si>
  <si>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</si>
  <si>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</si>
  <si>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</si>
  <si>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</si>
  <si>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</si>
  <si>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</si>
  <si>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</si>
  <si>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</si>
  <si>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</si>
  <si>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</si>
  <si>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</si>
  <si>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</si>
  <si>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</si>
  <si>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</si>
  <si>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</si>
  <si>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</si>
  <si>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</si>
  <si>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</si>
  <si>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</si>
  <si>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</si>
  <si>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</si>
  <si>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</si>
  <si>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</si>
  <si>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</si>
  <si>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</si>
  <si>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</si>
  <si>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</si>
  <si>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</si>
  <si>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</si>
  <si>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</si>
  <si>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</si>
  <si>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Versionumero:</t>
  </si>
  <si>
    <t>Polttoainemäärään sovellettava yksikkö</t>
  </si>
  <si>
    <t>Polttoainevirrat yhteensä</t>
  </si>
  <si>
    <t>Raportointivuoden kokonaispäästöt:</t>
  </si>
  <si>
    <t>Päästöt (ei-kestävä biomassa)</t>
  </si>
  <si>
    <t>Päästöt (fossiilinen)</t>
  </si>
  <si>
    <t xml:space="preserve">ETS1-päästökaupan soveltamisalaan toimitetut polttoaineet </t>
  </si>
  <si>
    <t xml:space="preserve">ETS1-päästökaupan soveltamisalassa käytetyt polttoaineet </t>
  </si>
  <si>
    <t>Soveltamisalakertoimen painotettu keskiarvo</t>
  </si>
  <si>
    <t xml:space="preserve">Mahdollinen puute annetuissa tiedoissa </t>
  </si>
  <si>
    <t>CRF-luokka</t>
  </si>
  <si>
    <t xml:space="preserve">CRF-luokituksen mukainen toimiala, missä polttoaineen loppukäyttö tapahtuu. CRF-luokka ilmoitetaan niille polttoainevirroille tai polttoainevirtojen osuuksille, jota eivät ole vuotta 2024 koskevan raportointivelvoitteen piirissä eli niille, joiden soveltamisalakerroin on &lt;1. Nämä raportointivelvoitteen ulkopuolisten toimialojen CRF-luokat ovat luokan alasvetovalikossa kunkin polttoainevirran kohdalla. Voit valita polttoainevirralle tarvittaessa useamman CRF-luokan. Mikäli soveltamisalakerroin on alle 1 mutta polttoaineen loppukäytön toimiala ei ole tiedossa, valitse valikosta 'Tuntematon'. 
Mikäli polttoainevirran soveltamisalakerroin on 1, eli polttoainevirran loppukäyttö tapahtuu kokonaisuudessaan raportoinnin piirissä olevilla sektoreilla, ei CRF-luokkaa raportoida.  </t>
  </si>
  <si>
    <t>Yleisen, ETS1-päästökaupan soveltamisalassa käytettyjen polttoaineiden päästöjä ei tulisi raportoida ETS2-päästökauppaan säännellyn yhteisön päästöselvityksellä, jotta vältytään päästöjen kaksoislaskennalta. Säänneltyjen yhteisöjen tulee osana päästöselvitystä raportoida tietoja kulutukseen luovuttamistaan polttoaineista, joiden loppukäyttö tapahtuu yleisen, ETS1-päästökaupan soveltamisalaan kuuluvissa toiminnoissa. 
Vuonna 2024 raportoitavien tietojen pohjalta pyritään luomaan menettely, jonka avulla ETS2-päästökaupan säännellyt yhteisöt pystyvät tulevina raportointivuosina määrittämään täsmällisemmin ETS1-päästökaupan soveltamisalassa käytetyn polttoaineen ja varmistamaan, ettei sitä koskevia tietoja raportoida ETS2-päästökauppaa koskevalla päästöselvityksellä. 
Kaksoislaskennan välttämistä koskevasta menettelystä säädetään tarkkailuasetuksen artiklassa 75v. 
Lisätietoja ETS1-päästökaupan soveltamisalasta: https://energiavirasto.fi/paastoluvat</t>
  </si>
  <si>
    <t xml:space="preserve">Kansalliset vakioarvot. Tämä on yleisin menetelmä, jota sovelletaan vuoden 2024 päästöjen määrittämisessä. </t>
  </si>
  <si>
    <r>
      <t xml:space="preserve">Kansainväliset vakioarvot. </t>
    </r>
    <r>
      <rPr>
        <b/>
        <i/>
        <sz val="8"/>
        <color rgb="FF000080"/>
        <rFont val="Arial"/>
        <family val="2"/>
      </rPr>
      <t>Tätä määrittämistasoa ei sovelleta</t>
    </r>
    <r>
      <rPr>
        <i/>
        <sz val="8"/>
        <color indexed="18"/>
        <rFont val="Arial"/>
        <family val="2"/>
      </rPr>
      <t xml:space="preserve"> vaan tulee käyttää Määrittämistasoa 2a, tarkoittaen Tilastokeskuksen tai Energiaviraston julkaisemia vakiokertoimia.  </t>
    </r>
  </si>
  <si>
    <t>Tätä määrittämistasoa ei tyypillisesti sovelleta. Empiirisiin korrelaatiokertoimiin perustuva menetelmä, missä polttoaineen päästökertoimet johdetaan eri hiilityyppien tehollisen lämpöarvon perusteella. Empiirinen korrelaatiokerroin määritetään vähintään kerran vuodessa 32–35 artiklojen ja 75 m artiklan mukaisesti.</t>
  </si>
  <si>
    <t>ETS1-päästökaupan soveltamisala</t>
  </si>
  <si>
    <t>ETS1-toiminnanharjoittajan päästöselvitys</t>
  </si>
  <si>
    <t xml:space="preserve">ETS1-päästökauppaan raportoidut todennetut vuosittaiset päästötiedot </t>
  </si>
  <si>
    <t>Arvio fossiilisen ja bioperäisen hiilen massataseesta</t>
  </si>
  <si>
    <t>PÄÄSTÖKERROIN
Määrittämistaso 2b (Vakiintuneet mallit, jos sovellettavissa)</t>
  </si>
  <si>
    <t xml:space="preserve">YKSIKÖN MUUNTOKERROIN
Määrittämistaso 2b (Ostokirjanpito) </t>
  </si>
  <si>
    <t>Tätä määrittämistasoa ei tyypillisesti sovelleta. Tehollinen lämpöarvo johdetaan polttoaineen kauppakumppanin toimittamasta ostokirjanpidosta edellyttäen, että se on määritetty hyväksyttyjen kansallisten tai kansainvälisten standardien mukaisesti.</t>
  </si>
  <si>
    <t xml:space="preserve">PÄÄSTÖKERROIN JA YKSIKÖN MUUNTOKERROIN
määrittämistaso 3 (Laboratorioanalyysit) </t>
  </si>
  <si>
    <t xml:space="preserve">TÄMÄ VÄLILEHTI EI KOSKE VUODEN 2024 RAPORTOINTIA  </t>
  </si>
  <si>
    <t xml:space="preserve">TÄMÄ VÄLILEHTI EI OLE KÄYTÖSSÄ VUODEN 2024 RAPORTOINNISSA </t>
  </si>
  <si>
    <t>E. Lisätiedot</t>
  </si>
  <si>
    <t>E. Päästöselvitystä koskevat lisätiedot</t>
  </si>
  <si>
    <t>F. Yhteenveto</t>
  </si>
  <si>
    <t>F. Kokonaispäästöt</t>
  </si>
  <si>
    <t>G. Yhteenveto</t>
  </si>
  <si>
    <t>Energiavirasto on pilottanut lomakkeesta välilehtiä sekä joilla välilehdillä rivejä ja/tai sarakkeita. Näillä pyydettyjä tietoja ei edellytetä vuotta 2024 koskevalla raportoinnilla. 
Lisää Energiaviraston julkaisemia ohjeita:</t>
  </si>
  <si>
    <t>Kulutukseen luovutuksen tavat</t>
  </si>
  <si>
    <t>Välittäjäosapuolet</t>
  </si>
  <si>
    <t>Kulutukseen luovutetut polttoainemäärät (RFA)</t>
  </si>
  <si>
    <t>Ei-kestävä biomassaosuus</t>
  </si>
  <si>
    <t xml:space="preserve">Polttoainevirran biomassaosuus on 100 % tai ei-kestävän biomassan osuus on 100 %   </t>
  </si>
  <si>
    <t xml:space="preserve">Polttoainevirrassa on biomassaosuus mutta se on alle 100% </t>
  </si>
  <si>
    <t>Määrittämistaso 2 (Tyypin II biomassaosuus)</t>
  </si>
  <si>
    <t>Tätä määrittämistasoa ei tyypillisesti sovelleta. Biomassaosuus määritetään arviointimenetelmällä 75 m artiklan 3 kohdan toisen alakohdan mukaisesti, ja se toimitetaan toimivaltaisen viranomaisen hyväksyttäväksi.</t>
  </si>
  <si>
    <t>Määrittämistaso 3a (Laboratorioanalyysit)</t>
  </si>
  <si>
    <t>Tätä määrittämistasoa ei tyypillisesti sovelleta. Biomassaosuus määritetään laboratorioanalyysilla 75 m artiklan 3 kohdan ensimmäisen alakohdan ja 32–35 artiklan mukaisesti.</t>
  </si>
  <si>
    <t>Määrittämistaso 3b (Arvio fossiilisen ja bioperäisen hiilen massataseesta)</t>
  </si>
  <si>
    <t>Jos polttoaine on peräisin tuotantoprosessista, jonka syöttövirrat on määritelty ja ne ovat jäljitettävissä, arvio biomassaosuudesta voi perustua prosessiin syötettävän ja sieltä poistuvan fossiilisen ja bioperäisen hiilen massataseeseen, kuten kestävyyslaissa (393/2013) tarkoitettuun ainetaseeseen.</t>
  </si>
  <si>
    <t xml:space="preserve">Valitse polttoainevirran biomassaosuuden määrittämiseen soveltuva määrittämistapa seuraavista: </t>
  </si>
  <si>
    <t>Käsitteet ja ohjeet:</t>
  </si>
  <si>
    <t>Nestemäinen - Moottoribensiini (Seos)</t>
  </si>
  <si>
    <t>Nestemäinen - Dieselöljy (Seos)</t>
  </si>
  <si>
    <t>Nestemäinen - Kevyt polttoöljy (seos)</t>
  </si>
  <si>
    <t>Nestemäinen - Nestekaasu</t>
  </si>
  <si>
    <t>Nestemäinen - bionestekaasu</t>
  </si>
  <si>
    <t>Nestemäinen - Kevyt polttoöljy (ei sekoitettu tai lisäaine)</t>
  </si>
  <si>
    <t>Nestemäinen - Moottoribensiini (ei sekoitettu tai lisäaine)</t>
  </si>
  <si>
    <t>Nestemäinen - Dieselöljy (ei sekoitettu tai lisäaine)</t>
  </si>
  <si>
    <t>BIOMASSAOSUUDEN MÄÄRITTÄMINEN 
Ei määrittämistasoa 
Määrittämistaso 1 (Tyypin I biomassaosuus) (mahdollinen vain biokaasulle)</t>
  </si>
  <si>
    <t xml:space="preserve">Kun on kyse seospolttoaineesta, valitse määrittämistaso sen mukaisesti, mikä kuvaa parhaiten polttoainevirtaan sovellettavaa määrittämismenetelmää. Anna tarvittaessa polttoainevirran Lisätiedot -kentässä lisätietoja valitusta määrittämistasosta. Seospolttoaineiden laskennassa  tulee käyttää Energiaviraston laatimaa laskentapohjaa, joka on ladattavissa osoitteesta: https://energiavirasto.fi/polttoaineen-paastokauppa#ohjeet_ja_lomakkeet
Liitä laskentapohja päästöselvityksen liitteeksi ETS2-asiointijärjestelmässä. 
Maakaasuverkkoon syötetyn kaasun biokaasuosuuden määrittäminen perustuen toteutuneisiin biokaasuostoihin. 
Menetelmään sovelletaan soveltuvilta osin Energiaviraston yleiseen päästökauppaan laatimaa ohjetta kaasun biomassaosuuden määrittämisen kriteereistä: 
https://energiavirasto.fi/documents/11120570/12803724/Energiaviraston%20ohje%20maakaasuverkkoon%20sy%C3%B6tetyst%C3%A4%20biokaasusta.pdf/35b454e0-28e5-514e-2943-51890f19894c/Energiaviraston%20ohje%20maakaasuverkkoon%20sy%C3%B6tetyst%C3%A4%20biokaasusta.pdf. 
Anna menetelmän soveltamisesta tarvittaessa lisätietoja polttoainevirran Lisätiedot -kentässä.   </t>
  </si>
  <si>
    <t>Kulutukseen luovutuksen tavat LT1, LT2...</t>
  </si>
  <si>
    <t>Kohdassa ilmoitetaan ETS1-päästökaupan laitoksille ja niiden toiminnaharjoittajille toimitetut polttoainemäärät, jotka on käytetty ETS1-päästökaupan soveltamisalaan kuuluvissa toiminnoissa.</t>
  </si>
  <si>
    <t>Polttoainemäärä  (ei soveltamisalakerrointa)</t>
  </si>
  <si>
    <t>Polttoainemäärä (soveltamisalakerroin huomioitu)</t>
  </si>
  <si>
    <t xml:space="preserve">Yhteenveto päästöselvityslomakkeella annetuista tiedoista. </t>
  </si>
  <si>
    <t xml:space="preserve">Tämä on Energiaviraston laatima käännös komission julkaisemasta päästöselvityslomakkeesta. Versio valmistunut 24.3.2025.
Energiavirasto on piilottanut lomakkeesta välilehtiä sekä joillain välilehdillä rivejä ja/tai sarakkeita. Näillä pyydettyjä tietoja ei edellytetä vuotta 2024 koskevalla raportoinnilla. </t>
  </si>
  <si>
    <t>https://climate.ec.europa.eu/eu-action/eu-emissions-trading-system-eu-ets/ets2-buildings-road-transport-and-additional-sectors_en</t>
  </si>
  <si>
    <t>On suositeltavaa lukea "Yleiset tarkkailuasetusta koskevat ohjeet säännellyille yhteisöille".
https://climate.ec.europa.eu/document/download/b5ccad58-6909-4a32-8a72-c73ab8d2a165_en?filename=policy_ets_ets2_gd_regulated_entities_en.pdf</t>
  </si>
  <si>
    <t>Säännellyn yhteisön yhteystiedot ja yhteyshenkilön tiedot tulee ilmoittaa suoraan ETS2-asiointijärjestelmässä. Energiavirasto on ensisijaisesti yhteydessä asiointijärjestelmään ilmoitettuihin yhteyshenkilöihin.</t>
  </si>
  <si>
    <t>Säännellyn yhteisön nimen, y-tunnuksen tai muun päästöluvan kannalta merkityksellisen tiedon muutoksesta tulee ilmoittaa Energiavirastolle sähköpostitse osoitteeseen ETS2@energiavirasto.fi.</t>
  </si>
  <si>
    <t>Päästöselvitykseen tulee sisältyä kuvaus tavoista, joilla polttoaineet luovutetaan kulutukseen. Huom! Kulutukseen luovutus on valmisteverotuslain (182/2010) termi, johon polttoaineen päästökauppalaki (1066/2024) viittaa. Valmisteverotuslain mukaan kulutukseen luovutus tapahtuu silloin, kun säännelty yhteisö poistaa polttoaineen väliaikaisen verottomuuden järjestelmästä ja veron suorittamisvelvollisuus syntyy. Esimerkiksi, kun polttoaine poistuu verottomasta varastosta tai rekisteröity vastaanottaja ottaa tuotteita vastaan. Ei ole tarpeen kuvata sitä, miten polttoaine on toimitettu säännellylle yhteisölle esim. verottomaan varastoon. Jos polttoainetta luovutetaan kulutukseen vain omaan käyttöön, kirjoita tarvittaessa oma kuvaus Nimi-sarakkeeseen.</t>
  </si>
  <si>
    <t xml:space="preserve">Listaa alla olevaan taulukkoon mahdolliset välittäjäosapuolet (VO), joille säännelty yhteisö luovuttaa polttoaineita ennen niiden siirtymistä loppukäyttäjälle, mikäli tiedossa. </t>
  </si>
  <si>
    <t xml:space="preserve">Mikäli polttoainetta ei löydy listoilta, käytä lisätiedoissa ensisijaisesti Tilastokeskuksen 2024 polttoaineluokituksen nimikettä. Mikäli polttoainetta ei löydy luokituksesta, ilmoita polttoaineen nimi ja tullikoodi eli CN-koodi. </t>
  </si>
  <si>
    <t xml:space="preserve">Listaa alla olevaan taulukkoon polttoainevirrat, joiden päästöjä raportoit. </t>
  </si>
  <si>
    <t xml:space="preserve">Huom! Jos polttoainetta ei löydy pudotus valikoista, valitse sopivin Muut-alkuinen luokka esimerkiksi "Muut nestemäiset polttoaineet" tai "Muut petrolit". Muut-luokille ei ole annettu tässä excelissä valmiiksi laskentakertoimia perustuen kansalliseen päästöinventaarioon. Jos tällainen polttoainevirta on erittäin vähämerkityksinen, konservatiivisen arvion päästöistä voi tehdä valitsemalla polttoaineluokan, joka on lähimpänä polttoaineen ominaisuuksia. </t>
  </si>
  <si>
    <t>1.</t>
  </si>
  <si>
    <t>2.</t>
  </si>
  <si>
    <t>3.</t>
  </si>
  <si>
    <t>Luettelossa näkyvät polttoainevirran luokat vaihtuvat valitun polttoainevirran tyypin mukaan ja voivat olla esim. "Kaasumainen - Maakaasu", "Nestemäinen – Kevyt polttoöljy (seos)".</t>
  </si>
  <si>
    <t>Anna lisätietokentässä polltoainevirran tunnistettavuutta parantavia lisätietoja.  Riippuen valitusta polttoainevirran luokasta, lisätietojen antaminen on joko pakollista (solu kirkkaan keltainen) tai vapaaehtoista (solu vaalean keltainen). Antamasi lisätieto näkyy polttoainevirran nimessä C-välilehdellä.</t>
  </si>
  <si>
    <t>Värikoodit:</t>
  </si>
  <si>
    <t xml:space="preserve">Valitse pudotusvalikoista kullekin polttoainevirralle tapa, jolla se luovutetaan kulutukseen: fyysiset keinot (putket, säiliöautot jne.) sekä mahdolliset välittäjäosapuolet polttoaineketjussa (polttoainekauppiaat jne.). Jos soveltuvia kulutukseen luovutuksen tapoja tai välittäjäosapuolia on useampi kuin yksi, merkitse esimerkiksi ”LT1, LT2”, ”VO3, VO5”. </t>
  </si>
  <si>
    <t xml:space="preserve">Mikäli valitsit polttoaineen luokkaan Muut-alkuisen kuvauksen, kerro lisätietokentässä, mistä polttoaineesta on kyse. Käytä ensisijaisesti Tilastokeskuksen polttoaineluokituksen nimikkeitä tai mikäli polttoainetta ei löydy sieltä, kerro nimi sekä tullikoodi eli CN-koodi. </t>
  </si>
  <si>
    <t>Polttoaineen alustava päästökerroin sisältää sekä mahdollisen biomassaosuuden että fossiilisen osuuden kokonaishiilipitoisuuden.</t>
  </si>
  <si>
    <t>Kestävästä biomassasta, eli kestävyyslain (393/2013) kriteerit täyttävästä biomassasta peräisin olevan hiilen osuus polttoaineen kokonaishiilipitoisuudesta ilmaistuna suhteellisena osuutena. 
Hyväksytyt menetelmät biomassan kestävyyden osoittamiseksi: 
-säännellyllä yhteisöllä on Energiaviraston hyväksymä kestävyysjärjestelmä;
-säännellyllä yhteisöllä on EU:n komission hyväksymä vapaaehtoinen järjestelmä; 
-biomassatoimittajan antamilla kestävyystodistuksilla, joilla kestävä raaka-aine tai polttoaine voidaan siirtää kestävyysjärjestelmästä toiseen. Kestävyystodistuksen tulee olla annettu Energiaviraston hyväksymän kestävyysjärjestelmän tai komission hyväksymän vapaaehtoisen järjestelmän puitteissa. 
Yksityiskohtaisemmat ohjeet biomassan kestävyyden osoittamisesta osoitteessa: https://energiavirasto.fi/polttoaineen-paastokauppa#ohjeet_ja_lomakkeet</t>
  </si>
  <si>
    <t>Muusta biomassasta (joka ei täytä kestävyyslain (393/2013) kriteerejä) peräisin olevaa hiilen osuutta polttoaineen kokonaishiilipitoisuudesta ilmaistuna suhteellisena osuutena.</t>
  </si>
  <si>
    <r>
      <t xml:space="preserve">Mikäli analysointia ei edellytetä tai se ei ole mahdollista vuoden 2024 päästöjen määrittämisessä käytetään päästöjen määrittämisessä vakioarvoja seuraavasti:  
</t>
    </r>
    <r>
      <rPr>
        <b/>
        <i/>
        <sz val="8"/>
        <color rgb="FF000080"/>
        <rFont val="Arial"/>
        <family val="2"/>
      </rPr>
      <t>Tilastokeskuksen polttoaineluokitus</t>
    </r>
    <r>
      <rPr>
        <i/>
        <sz val="8"/>
        <color indexed="18"/>
        <rFont val="Arial"/>
        <family val="2"/>
      </rPr>
      <t xml:space="preserve">ta käytetään useimpien polttoaineiden kohdalla kuten raskas polttoöljy, maakaasu, nestekaasu ja kivihiili. Tilastokeskuksen polttoaineluokitus: https://stat.fi/tup/khkinv/khkaasut_polttoaineluokitus.html
</t>
    </r>
    <r>
      <rPr>
        <b/>
        <i/>
        <sz val="8"/>
        <color rgb="FF000080"/>
        <rFont val="Arial"/>
        <family val="2"/>
      </rPr>
      <t xml:space="preserve">
Energiaviraston julkaisemia kertoimia sovelletaan seuraavissa tilanteissa: </t>
    </r>
    <r>
      <rPr>
        <i/>
        <sz val="8"/>
        <color indexed="18"/>
        <rFont val="Arial"/>
        <family val="2"/>
      </rPr>
      <t xml:space="preserve">
-Polttoaineet, joille ei ole julkaistu standardiarvoja Tilastokeskuksen polttoaineluokituksessa, esim. propaani, eetterit, lisäaineet ja 2T-moottoriöljy;
-Polttoaineet, joiden kohdalla polttoaineluokituksen mukaiset kertoimet ovat kansallisen keskimääräisen seospolttoaineen kertoimia eli sisältävät esimerkiksi bio-osuuden: moottoribensiini, dieselöljy ja kevyt polttoöljy. 
Valitessasi polttoainevirran laskentakertoimille määrittämistason 2a, antaa Excel-lomake automaattisesti polttoaineelle sovellettavat laskentakertoimet. Varmista kuitenkin sovellettavien kertoimien ja laskennan oikeellisuus. Seospolttoaineille käytetään painotetun päästökertoimen määrittämiseen päästöselvityksen liitettä.</t>
    </r>
  </si>
  <si>
    <t>Määrittämistasoa sovelletaan polttoainevirtoihin, joiden laskentakertoimet tulee tarkkailuasetuksen mukaisesti määrittää analysoimalla. Mikäli laskentakertoimien määrittämiseen vuodelle 2024 on mahdollista soveltaa tarkkailuasetuksen 32–35 artiklojen mukaista analyysimenetelmää, tulee tätä menetelmää ensisijaisesti käyttää. Mikäli analyysimenetelmä ei ole sovellettavissa, tulee valita yhtä alempi määrittämistaso 2a eli vakiokertoimet.</t>
  </si>
  <si>
    <t xml:space="preserve">Kun polttoainevirran biomassaosuus tai ei-kestävän biomassan osuus on 100 % valitse määrittämistasoksi "ei määrittämistasoa" ja arvo-kohtaan 100 %. Kerro polttoainevirran Lisätiedot-kentässä, miten varmistutaan, ettei polttoainevirrassa ole muuta seassa. </t>
  </si>
  <si>
    <t>PÄÄSTÖKERROIN JA YKSIKÖN MUUNTOKERROIN
Määrittämistaso 1 (Tyypin I oletusarvot)</t>
  </si>
  <si>
    <t xml:space="preserve">PÄÄSTÖKERROIN JA YKSIKÖN MUUNTOKERROIN
Määrittämistaso 2a (Tyypin II oletusarvot) </t>
  </si>
  <si>
    <t>Kerroin, jolla polttoaineen määrä muunnetaan tarvittaessa vastaavaksi energiamääräksi (TJ) päästölaskentaa varten.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</si>
</sst>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_ ;[Red]\-#,##0\ "/>
    <numFmt numFmtId="165" formatCode="#,##0_);[Red]\-#,##0_)"/>
    <numFmt numFmtId="166" formatCode="dd/mm/yyyy;@"/>
    <numFmt numFmtId="167" formatCode="#,##0.0##"/>
    <numFmt numFmtId="168" formatCode="dd/mm/yy;@"/>
    <numFmt numFmtId="169" formatCode="0.000"/>
    <numFmt numFmtId="170" formatCode="#,##0.0####"/>
    <numFmt numFmtId="171" formatCode="#,##0.00###"/>
    <numFmt numFmtId="172" formatCode="[&gt;10]#,##0.0#;[&gt;1]0.0##;0.0####"/>
    <numFmt numFmtId="173" formatCode="#,##0.0######"/>
    <numFmt numFmtId="174" formatCode="[&gt;10]#,##0.0#####;[&gt;1]0.0######;0.0########"/>
    <numFmt numFmtId="175" formatCode="0.000\ %"/>
  </numFmts>
  <fonts count="108"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b/>
      <sz val="9"/>
      <name val="Arial"/>
      <family val="2"/>
    </font>
    <font>
      <b/>
      <sz val="12"/>
      <name val="Times New Roman"/>
      <family val="1"/>
    </font>
    <font>
      <b/>
      <u/>
      <sz val="20"/>
      <color indexed="62"/>
      <name val="Arial"/>
      <family val="2"/>
    </font>
    <font>
      <b/>
      <u/>
      <sz val="10"/>
      <color indexed="62"/>
      <name val="Arial"/>
      <family val="2"/>
    </font>
    <font>
      <i/>
      <sz val="10"/>
      <name val="Arial"/>
      <family val="2"/>
    </font>
    <font>
      <b/>
      <sz val="12"/>
      <name val="Arial"/>
      <family val="2"/>
    </font>
    <font>
      <b/>
      <sz val="10"/>
      <color indexed="10"/>
      <name val="Arial"/>
      <family val="2"/>
    </font>
    <font>
      <sz val="10"/>
      <color indexed="10"/>
      <name val="Arial"/>
      <family val="2"/>
    </font>
    <font>
      <sz val="8"/>
      <name val="Arial"/>
      <family val="2"/>
    </font>
    <font>
      <sz val="9"/>
      <name val="Arial"/>
      <family val="2"/>
    </font>
    <font>
      <i/>
      <sz val="8"/>
      <name val="Arial"/>
      <family val="2"/>
    </font>
    <font>
      <b/>
      <sz val="10"/>
      <name val="Arial"/>
      <family val="2"/>
    </font>
    <font>
      <sz val="10"/>
      <color indexed="48"/>
      <name val="Arial"/>
      <family val="2"/>
    </font>
    <font>
      <i/>
      <sz val="9"/>
      <color indexed="62"/>
      <name val="Arial"/>
      <family val="2"/>
    </font>
    <font>
      <i/>
      <sz val="9"/>
      <color indexed="18"/>
      <name val="Arial"/>
      <family val="2"/>
    </font>
    <font>
      <b/>
      <sz val="11"/>
      <color indexed="18"/>
      <name val="Arial"/>
      <family val="2"/>
    </font>
    <font>
      <b/>
      <sz val="11"/>
      <name val="Arial"/>
      <family val="2"/>
    </font>
    <font>
      <sz val="10"/>
      <name val="Arial"/>
      <family val="2"/>
    </font>
    <font>
      <sz val="10"/>
      <color indexed="8"/>
      <name val="Arial"/>
      <family val="2"/>
    </font>
    <font>
      <sz val="10"/>
      <color indexed="9"/>
      <name val="Arial"/>
      <family val="2"/>
    </font>
    <font>
      <b/>
      <sz val="10"/>
      <color indexed="9"/>
      <name val="Arial"/>
      <family val="2"/>
    </font>
    <font>
      <sz val="8"/>
      <name val="Arial"/>
      <family val="2"/>
    </font>
    <font>
      <sz val="10"/>
      <color indexed="17"/>
      <name val="Arial"/>
      <family val="2"/>
    </font>
    <font>
      <b/>
      <sz val="18"/>
      <name val="Arial"/>
      <family val="2"/>
    </font>
    <font>
      <b/>
      <i/>
      <sz val="8"/>
      <color indexed="18"/>
      <name val="Arial"/>
      <family val="2"/>
    </font>
    <font>
      <sz val="8"/>
      <name val="Arial"/>
      <family val="2"/>
    </font>
    <font>
      <b/>
      <sz val="10"/>
      <color indexed="62"/>
      <name val="Arial"/>
      <family val="2"/>
    </font>
    <font>
      <sz val="10"/>
      <color indexed="62"/>
      <name val="Arial"/>
      <family val="2"/>
    </font>
    <font>
      <b/>
      <i/>
      <sz val="8"/>
      <color indexed="62"/>
      <name val="Arial"/>
      <family val="2"/>
    </font>
    <font>
      <i/>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b/>
      <u/>
      <sz val="10"/>
      <color indexed="12"/>
      <name val="Arial"/>
      <family val="2"/>
    </font>
    <font>
      <b/>
      <sz val="20"/>
      <name val="Arial"/>
      <family val="2"/>
    </font>
    <font>
      <b/>
      <sz val="20"/>
      <color indexed="62"/>
      <name val="Arial"/>
      <family val="2"/>
    </font>
    <font>
      <b/>
      <sz val="10"/>
      <color indexed="13"/>
      <name val="Arial"/>
      <family val="2"/>
    </font>
    <font>
      <b/>
      <sz val="9"/>
      <color indexed="81"/>
      <name val="Tahoma"/>
      <family val="2"/>
    </font>
    <font>
      <sz val="9"/>
      <color indexed="81"/>
      <name val="Tahoma"/>
      <family val="2"/>
    </font>
    <font>
      <sz val="12"/>
      <color indexed="10"/>
      <name val="Arial"/>
      <family val="2"/>
    </font>
    <font>
      <b/>
      <sz val="12"/>
      <color indexed="13"/>
      <name val="Arial"/>
      <family val="2"/>
    </font>
    <font>
      <sz val="12"/>
      <name val="Arial"/>
      <family val="2"/>
    </font>
    <font>
      <b/>
      <sz val="9"/>
      <color indexed="13"/>
      <name val="Arial"/>
      <family val="2"/>
    </font>
    <font>
      <u/>
      <sz val="8"/>
      <color indexed="12"/>
      <name val="Arial"/>
      <family val="2"/>
    </font>
    <font>
      <i/>
      <sz val="11"/>
      <name val="Arial"/>
      <family val="2"/>
    </font>
    <font>
      <b/>
      <sz val="16"/>
      <color indexed="9"/>
      <name val="Arial"/>
      <family val="2"/>
    </font>
    <font>
      <b/>
      <sz val="14"/>
      <color indexed="9"/>
      <name val="Arial"/>
      <family val="2"/>
    </font>
    <font>
      <b/>
      <sz val="16"/>
      <name val="Arial"/>
      <family val="2"/>
    </font>
    <font>
      <i/>
      <sz val="8"/>
      <color indexed="14"/>
      <name val="Arial"/>
      <family val="2"/>
    </font>
    <font>
      <i/>
      <sz val="9"/>
      <name val="Arial"/>
      <family val="2"/>
    </font>
    <font>
      <sz val="10"/>
      <color rgb="FFFF0000"/>
      <name val="Arial"/>
      <family val="2"/>
    </font>
    <font>
      <sz val="10"/>
      <color theme="1"/>
      <name val="Arial"/>
      <family val="2"/>
    </font>
    <font>
      <i/>
      <sz val="8"/>
      <color theme="1" tint="0.499984740745262"/>
      <name val="Arial"/>
      <family val="2"/>
    </font>
    <font>
      <b/>
      <sz val="12"/>
      <color theme="1"/>
      <name val="Arial"/>
      <family val="2"/>
    </font>
    <font>
      <b/>
      <sz val="10"/>
      <color theme="1"/>
      <name val="Arial"/>
      <family val="2"/>
    </font>
    <font>
      <b/>
      <sz val="10"/>
      <color theme="3" tint="-0.499984740745262"/>
      <name val="Arial"/>
      <family val="2"/>
    </font>
    <font>
      <sz val="10"/>
      <color theme="3" tint="-0.499984740745262"/>
      <name val="Arial"/>
      <family val="2"/>
    </font>
    <font>
      <i/>
      <sz val="10"/>
      <color theme="1" tint="0.499984740745262"/>
      <name val="Arial"/>
      <family val="2"/>
    </font>
    <font>
      <sz val="10"/>
      <color theme="1" tint="0.499984740745262"/>
      <name val="Arial"/>
      <family val="2"/>
    </font>
    <font>
      <b/>
      <sz val="10"/>
      <color rgb="FF000080"/>
      <name val="Arial"/>
      <family val="2"/>
    </font>
    <font>
      <sz val="8"/>
      <color rgb="FFFF0000"/>
      <name val="Arial"/>
      <family val="2"/>
    </font>
    <font>
      <sz val="9"/>
      <color theme="0" tint="-0.499984740745262"/>
      <name val="Arial"/>
      <family val="2"/>
    </font>
    <font>
      <b/>
      <sz val="10"/>
      <color rgb="FFFF0000"/>
      <name val="Arial"/>
      <family val="2"/>
    </font>
    <font>
      <i/>
      <sz val="8"/>
      <color theme="0" tint="-0.499984740745262"/>
      <name val="Arial"/>
      <family val="2"/>
    </font>
    <font>
      <sz val="8"/>
      <color theme="1" tint="0.499984740745262"/>
      <name val="Arial"/>
      <family val="2"/>
    </font>
    <font>
      <sz val="14"/>
      <color rgb="FFFF0000"/>
      <name val="Arial"/>
      <family val="2"/>
    </font>
    <font>
      <b/>
      <i/>
      <sz val="8"/>
      <color rgb="FF000080"/>
      <name val="Arial"/>
      <family val="2"/>
    </font>
    <font>
      <b/>
      <sz val="9"/>
      <color theme="1" tint="0.499984740745262"/>
      <name val="Arial"/>
      <family val="2"/>
    </font>
    <font>
      <sz val="8"/>
      <color theme="1"/>
      <name val="Arial"/>
      <family val="2"/>
    </font>
    <font>
      <u/>
      <sz val="14"/>
      <color indexed="12"/>
      <name val="Arial"/>
      <family val="2"/>
    </font>
    <font>
      <sz val="14"/>
      <name val="Arial"/>
      <family val="2"/>
    </font>
    <font>
      <b/>
      <i/>
      <sz val="9"/>
      <color rgb="FF000080"/>
      <name val="Arial"/>
      <family val="2"/>
    </font>
    <font>
      <sz val="9"/>
      <color rgb="FF000080"/>
      <name val="Arial"/>
      <family val="2"/>
    </font>
    <font>
      <sz val="10"/>
      <color theme="0"/>
      <name val="Arial"/>
      <family val="2"/>
    </font>
    <font>
      <b/>
      <sz val="10"/>
      <color indexed="18"/>
      <name val="Arial"/>
      <family val="2"/>
    </font>
    <font>
      <sz val="9"/>
      <name val="Aptos Narrow"/>
      <family val="2"/>
    </font>
    <font>
      <b/>
      <sz val="10"/>
      <color theme="5"/>
      <name val="Arial"/>
      <family val="2"/>
    </font>
    <font>
      <sz val="12"/>
      <color theme="1"/>
      <name val="Arial"/>
      <family val="2"/>
    </font>
    <font>
      <sz val="10"/>
      <color theme="3"/>
      <name val="Arial"/>
      <family val="2"/>
    </font>
    <font>
      <u/>
      <sz val="10"/>
      <color theme="0" tint="-0.249977111117893"/>
      <name val="Arial"/>
      <family val="2"/>
    </font>
    <font>
      <b/>
      <sz val="10"/>
      <color theme="0"/>
      <name val="Arial"/>
      <family val="2"/>
    </font>
    <font>
      <b/>
      <i/>
      <u/>
      <sz val="8"/>
      <color indexed="18"/>
      <name val="Arial"/>
      <family val="2"/>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indexed="50"/>
        <bgColor indexed="64"/>
      </patternFill>
    </fill>
    <fill>
      <patternFill patternType="solid">
        <fgColor indexed="12"/>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57"/>
        <bgColor indexed="64"/>
      </patternFill>
    </fill>
    <fill>
      <patternFill patternType="solid">
        <fgColor indexed="51"/>
        <bgColor indexed="64"/>
      </patternFill>
    </fill>
    <fill>
      <patternFill patternType="solid">
        <fgColor indexed="11"/>
        <bgColor indexed="64"/>
      </patternFill>
    </fill>
    <fill>
      <patternFill patternType="solid">
        <fgColor indexed="13"/>
        <bgColor indexed="64"/>
      </patternFill>
    </fill>
    <fill>
      <patternFill patternType="solid">
        <fgColor indexed="26"/>
        <bgColor indexed="64"/>
      </patternFill>
    </fill>
    <fill>
      <patternFill patternType="lightUp">
        <bgColor indexed="9"/>
      </patternFill>
    </fill>
    <fill>
      <patternFill patternType="solid">
        <fgColor rgb="FFCCFFFF"/>
        <bgColor indexed="64"/>
      </patternFill>
    </fill>
    <fill>
      <patternFill patternType="solid">
        <fgColor theme="0"/>
        <bgColor indexed="64"/>
      </patternFill>
    </fill>
    <fill>
      <patternFill patternType="solid">
        <fgColor rgb="FFFF9999"/>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theme="9"/>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s>
  <borders count="137">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12"/>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1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dotted">
        <color auto="1"/>
      </bottom>
      <diagonal/>
    </border>
  </borders>
  <cellStyleXfs count="22">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4" fillId="10" borderId="1" applyNumberFormat="0" applyAlignment="0" applyProtection="0"/>
    <xf numFmtId="0" fontId="15" fillId="3" borderId="0" applyNumberFormat="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0" borderId="5" applyNumberFormat="0" applyFill="0" applyAlignment="0" applyProtection="0"/>
    <xf numFmtId="0" fontId="20" fillId="11" borderId="0" applyNumberFormat="0" applyBorder="0" applyAlignment="0" applyProtection="0"/>
    <xf numFmtId="0" fontId="2" fillId="12" borderId="6" applyNumberFormat="0" applyFont="0" applyAlignment="0" applyProtection="0"/>
    <xf numFmtId="9" fontId="2" fillId="0" borderId="0" applyFont="0" applyFill="0" applyBorder="0" applyAlignment="0" applyProtection="0"/>
    <xf numFmtId="0" fontId="2" fillId="0" borderId="0"/>
    <xf numFmtId="0" fontId="1" fillId="0" borderId="0"/>
    <xf numFmtId="0" fontId="21" fillId="0" borderId="0" applyNumberFormat="0" applyFill="0" applyBorder="0" applyAlignment="0" applyProtection="0"/>
  </cellStyleXfs>
  <cellXfs count="1364">
    <xf numFmtId="0" fontId="0" fillId="0" borderId="0" xfId="0"/>
    <xf numFmtId="0" fontId="0" fillId="13" borderId="0" xfId="0" applyFill="1" applyAlignment="1">
      <alignment vertical="center" wrapText="1"/>
    </xf>
    <xf numFmtId="0" fontId="2" fillId="14" borderId="0" xfId="0" applyFont="1" applyFill="1" applyAlignment="1">
      <alignment vertical="top"/>
    </xf>
    <xf numFmtId="0" fontId="2" fillId="13" borderId="0" xfId="0" applyFont="1" applyFill="1"/>
    <xf numFmtId="0" fontId="0" fillId="13" borderId="0" xfId="0" applyFill="1"/>
    <xf numFmtId="0" fontId="6" fillId="13" borderId="0" xfId="0" applyFont="1" applyFill="1"/>
    <xf numFmtId="0" fontId="0" fillId="13" borderId="0" xfId="0" applyFill="1" applyAlignment="1">
      <alignment horizontal="center"/>
    </xf>
    <xf numFmtId="0" fontId="2" fillId="13" borderId="0" xfId="0" applyFont="1" applyFill="1" applyAlignment="1">
      <alignment vertical="top"/>
    </xf>
    <xf numFmtId="0" fontId="4" fillId="13" borderId="0" xfId="0" applyFont="1" applyFill="1" applyAlignment="1">
      <alignment horizontal="center" vertical="top"/>
    </xf>
    <xf numFmtId="0" fontId="0" fillId="13" borderId="0" xfId="0" applyFill="1" applyAlignment="1">
      <alignment vertical="top" wrapText="1"/>
    </xf>
    <xf numFmtId="0" fontId="2" fillId="15" borderId="0" xfId="0" applyFont="1" applyFill="1" applyAlignment="1">
      <alignment vertical="top"/>
    </xf>
    <xf numFmtId="0" fontId="2" fillId="14" borderId="0" xfId="0" applyFont="1" applyFill="1" applyAlignment="1">
      <alignment horizontal="center" vertical="top"/>
    </xf>
    <xf numFmtId="0" fontId="2" fillId="15" borderId="0" xfId="0" applyFont="1" applyFill="1"/>
    <xf numFmtId="0" fontId="2" fillId="16" borderId="7" xfId="0" applyFont="1" applyFill="1" applyBorder="1" applyAlignment="1">
      <alignment vertical="top"/>
    </xf>
    <xf numFmtId="0" fontId="2" fillId="16" borderId="8" xfId="0" applyFont="1" applyFill="1" applyBorder="1" applyAlignment="1">
      <alignment vertical="top"/>
    </xf>
    <xf numFmtId="0" fontId="2" fillId="16" borderId="9" xfId="0" applyFont="1" applyFill="1" applyBorder="1" applyAlignment="1">
      <alignment vertical="top"/>
    </xf>
    <xf numFmtId="0" fontId="2" fillId="0" borderId="0" xfId="0" applyFont="1"/>
    <xf numFmtId="0" fontId="4" fillId="13" borderId="0" xfId="0" applyFont="1" applyFill="1" applyAlignment="1">
      <alignment horizontal="right" vertical="top"/>
    </xf>
    <xf numFmtId="0" fontId="41" fillId="13" borderId="0" xfId="0" applyFont="1" applyFill="1" applyAlignment="1">
      <alignment vertical="top"/>
    </xf>
    <xf numFmtId="0" fontId="4" fillId="13" borderId="0" xfId="0" applyFont="1" applyFill="1" applyAlignment="1">
      <alignment vertical="top"/>
    </xf>
    <xf numFmtId="0" fontId="4" fillId="14" borderId="10" xfId="0" applyFont="1" applyFill="1" applyBorder="1" applyAlignment="1">
      <alignment horizontal="center" vertical="center"/>
    </xf>
    <xf numFmtId="0" fontId="0" fillId="13" borderId="0" xfId="0" applyFill="1" applyAlignment="1">
      <alignment vertical="center"/>
    </xf>
    <xf numFmtId="0" fontId="2" fillId="13" borderId="0" xfId="0" applyFont="1" applyFill="1" applyAlignment="1">
      <alignment vertical="center"/>
    </xf>
    <xf numFmtId="0" fontId="2" fillId="15" borderId="0" xfId="0" applyFont="1" applyFill="1" applyAlignment="1">
      <alignment vertical="center"/>
    </xf>
    <xf numFmtId="0" fontId="3" fillId="17" borderId="0" xfId="0" applyFont="1" applyFill="1" applyAlignment="1">
      <alignment horizontal="left" vertical="center"/>
    </xf>
    <xf numFmtId="0" fontId="2" fillId="13" borderId="11" xfId="0" applyFont="1" applyFill="1" applyBorder="1" applyAlignment="1">
      <alignment vertical="top"/>
    </xf>
    <xf numFmtId="0" fontId="4" fillId="13" borderId="11" xfId="0" applyFont="1" applyFill="1" applyBorder="1" applyAlignment="1">
      <alignment horizontal="center" vertical="top"/>
    </xf>
    <xf numFmtId="0" fontId="4" fillId="13" borderId="11" xfId="0" applyFont="1" applyFill="1" applyBorder="1" applyAlignment="1">
      <alignment horizontal="right" vertical="top"/>
    </xf>
    <xf numFmtId="0" fontId="0" fillId="13" borderId="11" xfId="0" applyFill="1" applyBorder="1" applyAlignment="1">
      <alignment vertical="top" wrapText="1"/>
    </xf>
    <xf numFmtId="0" fontId="4" fillId="13" borderId="11" xfId="0" applyFont="1" applyFill="1" applyBorder="1" applyAlignment="1">
      <alignment vertical="top" wrapText="1"/>
    </xf>
    <xf numFmtId="0" fontId="22" fillId="0" borderId="12" xfId="20" applyFont="1" applyBorder="1"/>
    <xf numFmtId="0" fontId="0" fillId="14" borderId="0" xfId="0" applyFill="1"/>
    <xf numFmtId="0" fontId="2" fillId="14" borderId="0" xfId="0" applyFont="1" applyFill="1"/>
    <xf numFmtId="0" fontId="2" fillId="14" borderId="13" xfId="0" applyFont="1" applyFill="1" applyBorder="1" applyAlignment="1">
      <alignment vertical="center"/>
    </xf>
    <xf numFmtId="0" fontId="5" fillId="13" borderId="0" xfId="0" applyFont="1" applyFill="1" applyAlignment="1">
      <alignment horizontal="left" vertical="top" wrapText="1"/>
    </xf>
    <xf numFmtId="0" fontId="4" fillId="13" borderId="0" xfId="0" applyFont="1" applyFill="1" applyAlignment="1">
      <alignment horizontal="left" vertical="top"/>
    </xf>
    <xf numFmtId="0" fontId="4" fillId="0" borderId="0" xfId="0" applyFont="1"/>
    <xf numFmtId="0" fontId="0" fillId="15" borderId="0" xfId="0" applyFill="1"/>
    <xf numFmtId="0" fontId="0" fillId="15" borderId="0" xfId="0" applyFill="1" applyAlignment="1">
      <alignment horizontal="left"/>
    </xf>
    <xf numFmtId="0" fontId="6" fillId="15" borderId="0" xfId="0" applyFont="1" applyFill="1"/>
    <xf numFmtId="0" fontId="0" fillId="15" borderId="0" xfId="0" applyFill="1" applyAlignment="1">
      <alignment horizontal="center"/>
    </xf>
    <xf numFmtId="0" fontId="0" fillId="15" borderId="0" xfId="0" applyFill="1" applyAlignment="1">
      <alignment vertical="center"/>
    </xf>
    <xf numFmtId="0" fontId="3" fillId="17" borderId="0" xfId="0" applyFont="1" applyFill="1" applyAlignment="1">
      <alignment horizontal="left"/>
    </xf>
    <xf numFmtId="0" fontId="0" fillId="13" borderId="0" xfId="0" applyFill="1" applyAlignment="1">
      <alignment horizontal="left"/>
    </xf>
    <xf numFmtId="0" fontId="30" fillId="13" borderId="0" xfId="0" applyFont="1" applyFill="1" applyAlignment="1">
      <alignment horizontal="left" vertical="top"/>
    </xf>
    <xf numFmtId="0" fontId="6" fillId="13" borderId="13" xfId="0" applyFont="1" applyFill="1" applyBorder="1" applyAlignment="1">
      <alignment horizontal="center" vertical="center" wrapText="1"/>
    </xf>
    <xf numFmtId="0" fontId="6" fillId="18" borderId="13" xfId="0" applyFont="1" applyFill="1" applyBorder="1" applyAlignment="1">
      <alignment horizontal="center" vertical="center" wrapText="1"/>
    </xf>
    <xf numFmtId="0" fontId="2" fillId="15" borderId="0" xfId="0" applyFont="1" applyFill="1" applyAlignment="1">
      <alignment horizontal="left"/>
    </xf>
    <xf numFmtId="0" fontId="0" fillId="15" borderId="13" xfId="0" applyFill="1" applyBorder="1"/>
    <xf numFmtId="0" fontId="2" fillId="0" borderId="0" xfId="0" applyFont="1" applyAlignment="1">
      <alignment horizontal="left" vertical="center"/>
    </xf>
    <xf numFmtId="0" fontId="4" fillId="13" borderId="0" xfId="0" applyFont="1" applyFill="1" applyAlignment="1">
      <alignment vertical="center"/>
    </xf>
    <xf numFmtId="0" fontId="4" fillId="13" borderId="0" xfId="0" applyFont="1" applyFill="1" applyAlignment="1">
      <alignment vertical="center" wrapText="1"/>
    </xf>
    <xf numFmtId="0" fontId="2" fillId="15" borderId="0" xfId="0" applyFont="1" applyFill="1" applyAlignment="1">
      <alignment horizontal="center"/>
    </xf>
    <xf numFmtId="0" fontId="38" fillId="13" borderId="0" xfId="0" applyFont="1" applyFill="1" applyAlignment="1">
      <alignment vertical="top"/>
    </xf>
    <xf numFmtId="0" fontId="38" fillId="13" borderId="0" xfId="0" applyFont="1" applyFill="1" applyAlignment="1">
      <alignment vertical="top" wrapText="1"/>
    </xf>
    <xf numFmtId="0" fontId="38" fillId="13" borderId="12" xfId="0" applyFont="1" applyFill="1" applyBorder="1" applyAlignment="1">
      <alignment vertical="top" wrapText="1"/>
    </xf>
    <xf numFmtId="0" fontId="0" fillId="13" borderId="0" xfId="0" applyFill="1" applyAlignment="1">
      <alignment vertical="top"/>
    </xf>
    <xf numFmtId="0" fontId="7" fillId="13" borderId="13" xfId="0" applyFont="1" applyFill="1" applyBorder="1" applyAlignment="1">
      <alignment horizontal="center" vertical="top"/>
    </xf>
    <xf numFmtId="0" fontId="4" fillId="13" borderId="0" xfId="0" applyFont="1" applyFill="1" applyAlignment="1">
      <alignment horizontal="left" vertical="top" wrapText="1"/>
    </xf>
    <xf numFmtId="0" fontId="33" fillId="15" borderId="0" xfId="0" applyFont="1" applyFill="1" applyAlignment="1">
      <alignment vertical="top" wrapText="1"/>
    </xf>
    <xf numFmtId="0" fontId="38" fillId="15" borderId="0" xfId="0" applyFont="1" applyFill="1" applyAlignment="1">
      <alignment vertical="top" wrapText="1"/>
    </xf>
    <xf numFmtId="0" fontId="2" fillId="13" borderId="0" xfId="0" applyFont="1" applyFill="1" applyAlignment="1">
      <alignment horizontal="left" vertical="top"/>
    </xf>
    <xf numFmtId="0" fontId="28" fillId="0" borderId="0" xfId="0" applyFont="1"/>
    <xf numFmtId="0" fontId="2" fillId="17" borderId="0" xfId="0" applyFont="1" applyFill="1"/>
    <xf numFmtId="0" fontId="2" fillId="0" borderId="0" xfId="0" applyFont="1" applyAlignment="1">
      <alignment horizontal="center"/>
    </xf>
    <xf numFmtId="0" fontId="43" fillId="17" borderId="0" xfId="0" applyFont="1" applyFill="1"/>
    <xf numFmtId="0" fontId="44" fillId="17" borderId="0" xfId="0" applyFont="1" applyFill="1"/>
    <xf numFmtId="0" fontId="44" fillId="17" borderId="0" xfId="0" applyFont="1" applyFill="1" applyAlignment="1">
      <alignment horizontal="center"/>
    </xf>
    <xf numFmtId="0" fontId="43" fillId="17" borderId="0" xfId="0" applyFont="1" applyFill="1" applyAlignment="1">
      <alignment horizontal="left"/>
    </xf>
    <xf numFmtId="49" fontId="42" fillId="15" borderId="0" xfId="0" applyNumberFormat="1" applyFont="1" applyFill="1" applyAlignment="1">
      <alignment horizontal="center"/>
    </xf>
    <xf numFmtId="0" fontId="42" fillId="15" borderId="0" xfId="0" applyFont="1" applyFill="1" applyAlignment="1">
      <alignment horizontal="left"/>
    </xf>
    <xf numFmtId="0" fontId="2" fillId="15" borderId="0" xfId="0" applyFont="1" applyFill="1" applyAlignment="1">
      <alignment wrapText="1"/>
    </xf>
    <xf numFmtId="0" fontId="2" fillId="15" borderId="0" xfId="0" applyFont="1" applyFill="1" applyAlignment="1">
      <alignment horizontal="left" wrapText="1" shrinkToFit="1"/>
    </xf>
    <xf numFmtId="0" fontId="2" fillId="0" borderId="0" xfId="0" applyFont="1" applyAlignment="1">
      <alignment horizontal="center" vertical="center"/>
    </xf>
    <xf numFmtId="0" fontId="47" fillId="0" borderId="0" xfId="0" applyFont="1"/>
    <xf numFmtId="0" fontId="0" fillId="19" borderId="0" xfId="0" applyFill="1"/>
    <xf numFmtId="0" fontId="2" fillId="20" borderId="0" xfId="0" applyFont="1" applyFill="1" applyAlignment="1">
      <alignment horizontal="left" vertical="top" wrapText="1"/>
    </xf>
    <xf numFmtId="0" fontId="0" fillId="0" borderId="14" xfId="0" applyBorder="1"/>
    <xf numFmtId="0" fontId="0" fillId="21" borderId="15" xfId="0" applyFill="1" applyBorder="1"/>
    <xf numFmtId="0" fontId="0" fillId="0" borderId="16" xfId="0" applyBorder="1"/>
    <xf numFmtId="14" fontId="0" fillId="22" borderId="17" xfId="0" applyNumberFormat="1" applyFill="1" applyBorder="1" applyAlignment="1">
      <alignment horizontal="left"/>
    </xf>
    <xf numFmtId="0" fontId="0" fillId="18" borderId="18" xfId="0" applyFill="1" applyBorder="1"/>
    <xf numFmtId="0" fontId="0" fillId="18" borderId="19" xfId="0" applyFill="1" applyBorder="1"/>
    <xf numFmtId="0" fontId="0" fillId="18" borderId="20" xfId="0" applyFill="1" applyBorder="1"/>
    <xf numFmtId="0" fontId="0" fillId="0" borderId="21" xfId="0" applyBorder="1"/>
    <xf numFmtId="0" fontId="0" fillId="19" borderId="22" xfId="0" applyFill="1" applyBorder="1"/>
    <xf numFmtId="0" fontId="0" fillId="0" borderId="23" xfId="0" applyBorder="1"/>
    <xf numFmtId="0" fontId="0" fillId="20" borderId="24" xfId="0" applyFill="1" applyBorder="1"/>
    <xf numFmtId="0" fontId="4" fillId="0" borderId="25" xfId="0" applyFont="1" applyBorder="1"/>
    <xf numFmtId="0" fontId="4" fillId="0" borderId="26" xfId="0" applyFont="1" applyBorder="1"/>
    <xf numFmtId="0" fontId="0" fillId="0" borderId="27" xfId="0" applyBorder="1"/>
    <xf numFmtId="14" fontId="0" fillId="22" borderId="28" xfId="0" applyNumberFormat="1" applyFill="1" applyBorder="1" applyAlignment="1">
      <alignment horizontal="center"/>
    </xf>
    <xf numFmtId="0" fontId="0" fillId="18" borderId="29" xfId="0" applyFill="1" applyBorder="1"/>
    <xf numFmtId="0" fontId="0" fillId="18" borderId="30" xfId="0" applyFill="1" applyBorder="1"/>
    <xf numFmtId="14" fontId="0" fillId="22" borderId="31" xfId="0" applyNumberFormat="1" applyFill="1" applyBorder="1" applyAlignment="1">
      <alignment horizontal="center"/>
    </xf>
    <xf numFmtId="0" fontId="0" fillId="18" borderId="32" xfId="0" applyFill="1" applyBorder="1"/>
    <xf numFmtId="0" fontId="0" fillId="18" borderId="33" xfId="0" applyFill="1" applyBorder="1"/>
    <xf numFmtId="0" fontId="0" fillId="18" borderId="34" xfId="0" applyFill="1" applyBorder="1"/>
    <xf numFmtId="0" fontId="0" fillId="18" borderId="35" xfId="0" applyFill="1" applyBorder="1"/>
    <xf numFmtId="0" fontId="35" fillId="13" borderId="0" xfId="0" applyFont="1" applyFill="1" applyAlignment="1">
      <alignment vertical="center" wrapText="1"/>
    </xf>
    <xf numFmtId="0" fontId="2" fillId="13" borderId="0" xfId="0" applyFont="1" applyFill="1" applyAlignment="1">
      <alignment horizontal="center" vertical="top"/>
    </xf>
    <xf numFmtId="0" fontId="6" fillId="15" borderId="0" xfId="0" applyFont="1" applyFill="1" applyAlignment="1">
      <alignment horizontal="left"/>
    </xf>
    <xf numFmtId="0" fontId="43" fillId="17" borderId="0" xfId="0" applyFont="1" applyFill="1" applyAlignment="1">
      <alignment horizontal="center"/>
    </xf>
    <xf numFmtId="0" fontId="0" fillId="13" borderId="36" xfId="0" applyFill="1" applyBorder="1" applyAlignment="1">
      <alignment vertical="center"/>
    </xf>
    <xf numFmtId="0" fontId="0" fillId="13" borderId="37" xfId="0" applyFill="1" applyBorder="1" applyAlignment="1">
      <alignment vertical="center"/>
    </xf>
    <xf numFmtId="0" fontId="0" fillId="13" borderId="26" xfId="0" applyFill="1" applyBorder="1" applyAlignment="1">
      <alignment vertical="center"/>
    </xf>
    <xf numFmtId="0" fontId="0" fillId="13" borderId="38" xfId="0" applyFill="1" applyBorder="1" applyAlignment="1">
      <alignment vertical="center"/>
    </xf>
    <xf numFmtId="0" fontId="0" fillId="13" borderId="39" xfId="0" applyFill="1" applyBorder="1" applyAlignment="1">
      <alignment vertical="center"/>
    </xf>
    <xf numFmtId="0" fontId="0" fillId="13" borderId="40" xfId="0" applyFill="1" applyBorder="1" applyAlignment="1">
      <alignment vertical="center"/>
    </xf>
    <xf numFmtId="0" fontId="0" fillId="13" borderId="41" xfId="0" applyFill="1" applyBorder="1" applyAlignment="1">
      <alignment vertical="center"/>
    </xf>
    <xf numFmtId="0" fontId="0" fillId="13" borderId="42" xfId="0" applyFill="1" applyBorder="1" applyAlignment="1">
      <alignment vertical="center"/>
    </xf>
    <xf numFmtId="0" fontId="0" fillId="13" borderId="43" xfId="0" applyFill="1" applyBorder="1" applyAlignment="1">
      <alignment vertical="center"/>
    </xf>
    <xf numFmtId="0" fontId="0" fillId="13" borderId="25" xfId="0" applyFill="1" applyBorder="1" applyAlignment="1">
      <alignment vertical="center"/>
    </xf>
    <xf numFmtId="0" fontId="0" fillId="13" borderId="44" xfId="0" applyFill="1" applyBorder="1" applyAlignment="1">
      <alignment vertical="center"/>
    </xf>
    <xf numFmtId="0" fontId="0" fillId="14" borderId="0" xfId="0" applyFill="1" applyAlignment="1">
      <alignment vertical="center"/>
    </xf>
    <xf numFmtId="0" fontId="25" fillId="14" borderId="0" xfId="0" applyFont="1" applyFill="1" applyAlignment="1">
      <alignment vertical="center"/>
    </xf>
    <xf numFmtId="0" fontId="4" fillId="18" borderId="45" xfId="0" applyFont="1" applyFill="1" applyBorder="1" applyAlignment="1">
      <alignment horizontal="left" vertical="center"/>
    </xf>
    <xf numFmtId="0" fontId="0" fillId="18" borderId="36" xfId="0" applyFill="1" applyBorder="1" applyAlignment="1">
      <alignment vertical="center"/>
    </xf>
    <xf numFmtId="0" fontId="0" fillId="18" borderId="37" xfId="0" applyFill="1" applyBorder="1" applyAlignment="1">
      <alignment vertical="center"/>
    </xf>
    <xf numFmtId="0" fontId="4" fillId="18" borderId="46" xfId="0" applyFont="1" applyFill="1" applyBorder="1" applyAlignment="1">
      <alignment horizontal="left" vertical="center"/>
    </xf>
    <xf numFmtId="0" fontId="0" fillId="18" borderId="26" xfId="0" applyFill="1" applyBorder="1" applyAlignment="1">
      <alignment vertical="center"/>
    </xf>
    <xf numFmtId="0" fontId="0" fillId="18" borderId="38" xfId="0" applyFill="1" applyBorder="1" applyAlignment="1">
      <alignment vertical="center"/>
    </xf>
    <xf numFmtId="0" fontId="0" fillId="18" borderId="39" xfId="0" applyFill="1" applyBorder="1" applyAlignment="1">
      <alignment vertical="center"/>
    </xf>
    <xf numFmtId="0" fontId="0" fillId="18" borderId="40" xfId="0" applyFill="1" applyBorder="1" applyAlignment="1">
      <alignment vertical="center"/>
    </xf>
    <xf numFmtId="0" fontId="50" fillId="13" borderId="0" xfId="0" applyFont="1" applyFill="1" applyAlignment="1">
      <alignment horizontal="center" vertical="top"/>
    </xf>
    <xf numFmtId="0" fontId="51" fillId="13" borderId="0" xfId="0" applyFont="1" applyFill="1" applyAlignment="1">
      <alignment horizontal="left" vertical="top"/>
    </xf>
    <xf numFmtId="0" fontId="51" fillId="13" borderId="0" xfId="0" applyFont="1" applyFill="1" applyAlignment="1">
      <alignment vertical="top" wrapText="1"/>
    </xf>
    <xf numFmtId="0" fontId="51" fillId="13" borderId="0" xfId="0" applyFont="1" applyFill="1"/>
    <xf numFmtId="0" fontId="51" fillId="13" borderId="0" xfId="0" applyFont="1" applyFill="1" applyAlignment="1">
      <alignment horizontal="center" vertical="top" wrapText="1"/>
    </xf>
    <xf numFmtId="0" fontId="51" fillId="13" borderId="0" xfId="0" applyFont="1" applyFill="1" applyAlignment="1">
      <alignment vertical="top"/>
    </xf>
    <xf numFmtId="0" fontId="50" fillId="13" borderId="0" xfId="0" applyFont="1" applyFill="1"/>
    <xf numFmtId="0" fontId="0" fillId="23" borderId="0" xfId="0" applyFill="1"/>
    <xf numFmtId="0" fontId="2" fillId="13" borderId="0" xfId="19" applyFill="1"/>
    <xf numFmtId="0" fontId="5" fillId="13" borderId="0" xfId="0" applyFont="1" applyFill="1" applyAlignment="1">
      <alignment vertical="top" wrapText="1"/>
    </xf>
    <xf numFmtId="0" fontId="58" fillId="13" borderId="0" xfId="0" applyFont="1" applyFill="1" applyAlignment="1">
      <alignment vertical="top"/>
    </xf>
    <xf numFmtId="0" fontId="58" fillId="14" borderId="0" xfId="0" applyFont="1" applyFill="1" applyAlignment="1">
      <alignment vertical="top"/>
    </xf>
    <xf numFmtId="0" fontId="24" fillId="13" borderId="0" xfId="0" applyFont="1" applyFill="1" applyAlignment="1">
      <alignment horizontal="left" vertical="top" wrapText="1"/>
    </xf>
    <xf numFmtId="0" fontId="6" fillId="13" borderId="0" xfId="0" applyFont="1" applyFill="1" applyAlignment="1">
      <alignment horizontal="left" vertical="top"/>
    </xf>
    <xf numFmtId="0" fontId="25" fillId="13" borderId="0" xfId="0" applyFont="1" applyFill="1" applyAlignment="1">
      <alignment horizontal="left" vertical="center"/>
    </xf>
    <xf numFmtId="0" fontId="4" fillId="13" borderId="0" xfId="0" applyFont="1" applyFill="1" applyAlignment="1">
      <alignment horizontal="left" vertical="center"/>
    </xf>
    <xf numFmtId="0" fontId="0" fillId="13" borderId="0" xfId="0" applyFill="1" applyAlignment="1">
      <alignment horizontal="right" vertical="center" wrapText="1"/>
    </xf>
    <xf numFmtId="0" fontId="31" fillId="13" borderId="0" xfId="0" applyFont="1" applyFill="1" applyAlignment="1">
      <alignment vertical="center"/>
    </xf>
    <xf numFmtId="0" fontId="0" fillId="13" borderId="0" xfId="0" applyFill="1" applyAlignment="1">
      <alignment wrapText="1"/>
    </xf>
    <xf numFmtId="0" fontId="36" fillId="13" borderId="0" xfId="0" applyFont="1" applyFill="1"/>
    <xf numFmtId="0" fontId="2" fillId="13" borderId="0" xfId="0" applyFont="1" applyFill="1" applyAlignment="1">
      <alignment horizontal="right"/>
    </xf>
    <xf numFmtId="0" fontId="4" fillId="13" borderId="0" xfId="0" applyFont="1" applyFill="1" applyAlignment="1">
      <alignment horizontal="left"/>
    </xf>
    <xf numFmtId="0" fontId="7" fillId="13" borderId="0" xfId="0" applyFont="1" applyFill="1" applyAlignment="1">
      <alignment horizontal="left" vertical="center"/>
    </xf>
    <xf numFmtId="0" fontId="0" fillId="13" borderId="0" xfId="0" applyFill="1" applyAlignment="1">
      <alignment horizontal="left" vertical="center"/>
    </xf>
    <xf numFmtId="0" fontId="4" fillId="13" borderId="0" xfId="0" applyFont="1" applyFill="1"/>
    <xf numFmtId="0" fontId="7" fillId="13" borderId="13" xfId="0" applyFont="1" applyFill="1" applyBorder="1" applyAlignment="1">
      <alignment horizontal="center" vertical="top" wrapText="1"/>
    </xf>
    <xf numFmtId="0" fontId="46" fillId="13" borderId="0" xfId="0" applyFont="1" applyFill="1"/>
    <xf numFmtId="0" fontId="0" fillId="14" borderId="0" xfId="0" applyFill="1" applyAlignment="1">
      <alignment vertical="top"/>
    </xf>
    <xf numFmtId="0" fontId="4" fillId="14" borderId="0" xfId="0" applyFont="1" applyFill="1"/>
    <xf numFmtId="0" fontId="0" fillId="14" borderId="13" xfId="0" applyFill="1" applyBorder="1" applyAlignment="1">
      <alignment horizontal="center"/>
    </xf>
    <xf numFmtId="0" fontId="0" fillId="14" borderId="13" xfId="0" applyFill="1" applyBorder="1"/>
    <xf numFmtId="0" fontId="0" fillId="14" borderId="47" xfId="0" applyFill="1" applyBorder="1" applyAlignment="1">
      <alignment horizontal="center"/>
    </xf>
    <xf numFmtId="0" fontId="0" fillId="14" borderId="48" xfId="0" applyFill="1" applyBorder="1" applyAlignment="1">
      <alignment horizontal="center"/>
    </xf>
    <xf numFmtId="0" fontId="3" fillId="14" borderId="0" xfId="0" applyFont="1" applyFill="1" applyAlignment="1">
      <alignment horizontal="left" vertical="center"/>
    </xf>
    <xf numFmtId="0" fontId="0" fillId="14" borderId="25" xfId="0" applyFill="1" applyBorder="1" applyAlignment="1">
      <alignment horizontal="center"/>
    </xf>
    <xf numFmtId="0" fontId="0" fillId="14" borderId="49" xfId="0" applyFill="1" applyBorder="1" applyAlignment="1">
      <alignment horizontal="center"/>
    </xf>
    <xf numFmtId="0" fontId="2" fillId="14" borderId="0" xfId="0" quotePrefix="1" applyFont="1" applyFill="1" applyAlignment="1">
      <alignment vertical="top" wrapText="1"/>
    </xf>
    <xf numFmtId="0" fontId="0" fillId="14" borderId="13" xfId="0" applyFill="1" applyBorder="1" applyAlignment="1">
      <alignment horizontal="center" vertical="center"/>
    </xf>
    <xf numFmtId="0" fontId="2" fillId="14" borderId="0" xfId="0" applyFont="1" applyFill="1" applyAlignment="1">
      <alignment horizontal="center"/>
    </xf>
    <xf numFmtId="0" fontId="2" fillId="14" borderId="13" xfId="0" applyFont="1" applyFill="1" applyBorder="1"/>
    <xf numFmtId="165" fontId="0" fillId="14" borderId="0" xfId="0" applyNumberFormat="1" applyFill="1"/>
    <xf numFmtId="0" fontId="48" fillId="13" borderId="50" xfId="0" quotePrefix="1" applyFont="1" applyFill="1" applyBorder="1" applyAlignment="1">
      <alignment horizontal="right" vertical="top" wrapText="1"/>
    </xf>
    <xf numFmtId="0" fontId="48" fillId="13" borderId="51" xfId="0" quotePrefix="1" applyFont="1" applyFill="1" applyBorder="1" applyAlignment="1">
      <alignment horizontal="right" vertical="top" wrapText="1"/>
    </xf>
    <xf numFmtId="0" fontId="5" fillId="13" borderId="0" xfId="0" quotePrefix="1" applyFont="1" applyFill="1" applyAlignment="1">
      <alignment horizontal="right" vertical="top" wrapText="1"/>
    </xf>
    <xf numFmtId="0" fontId="2" fillId="13" borderId="52" xfId="0" applyFont="1" applyFill="1" applyBorder="1" applyAlignment="1">
      <alignment horizontal="center" vertical="top"/>
    </xf>
    <xf numFmtId="0" fontId="2" fillId="13" borderId="53" xfId="0" applyFont="1" applyFill="1" applyBorder="1" applyAlignment="1">
      <alignment vertical="top"/>
    </xf>
    <xf numFmtId="0" fontId="2" fillId="13" borderId="54" xfId="0" applyFont="1" applyFill="1" applyBorder="1" applyAlignment="1">
      <alignment vertical="top"/>
    </xf>
    <xf numFmtId="0" fontId="2" fillId="13" borderId="55" xfId="0" applyFont="1" applyFill="1" applyBorder="1" applyAlignment="1">
      <alignment horizontal="center" vertical="top"/>
    </xf>
    <xf numFmtId="0" fontId="2" fillId="13" borderId="7" xfId="0" applyFont="1" applyFill="1" applyBorder="1" applyAlignment="1">
      <alignment vertical="top"/>
    </xf>
    <xf numFmtId="0" fontId="2" fillId="13" borderId="56" xfId="0" applyFont="1" applyFill="1" applyBorder="1" applyAlignment="1">
      <alignment vertical="top"/>
    </xf>
    <xf numFmtId="0" fontId="2" fillId="13" borderId="57" xfId="0" applyFont="1" applyFill="1" applyBorder="1" applyAlignment="1">
      <alignment horizontal="center" vertical="top"/>
    </xf>
    <xf numFmtId="0" fontId="2" fillId="13" borderId="8" xfId="0" applyFont="1" applyFill="1" applyBorder="1" applyAlignment="1">
      <alignment vertical="top"/>
    </xf>
    <xf numFmtId="0" fontId="2" fillId="13" borderId="58" xfId="0" applyFont="1" applyFill="1" applyBorder="1" applyAlignment="1">
      <alignment vertical="top"/>
    </xf>
    <xf numFmtId="0" fontId="2" fillId="13" borderId="59" xfId="0" applyFont="1" applyFill="1" applyBorder="1" applyAlignment="1">
      <alignment horizontal="center" vertical="top"/>
    </xf>
    <xf numFmtId="0" fontId="2" fillId="13" borderId="9" xfId="0" applyFont="1" applyFill="1" applyBorder="1" applyAlignment="1">
      <alignment vertical="top"/>
    </xf>
    <xf numFmtId="0" fontId="2" fillId="13" borderId="60" xfId="0" applyFont="1" applyFill="1" applyBorder="1" applyAlignment="1">
      <alignment vertical="top"/>
    </xf>
    <xf numFmtId="0" fontId="27" fillId="13" borderId="0" xfId="14" applyFont="1" applyFill="1" applyAlignment="1" applyProtection="1">
      <alignment horizontal="left" vertical="top" wrapText="1"/>
    </xf>
    <xf numFmtId="0" fontId="33" fillId="20" borderId="0" xfId="0" applyFont="1" applyFill="1" applyAlignment="1">
      <alignment horizontal="left" vertical="top" wrapText="1"/>
    </xf>
    <xf numFmtId="0" fontId="7" fillId="13" borderId="25" xfId="0" applyFont="1" applyFill="1" applyBorder="1" applyAlignment="1">
      <alignment horizontal="left" vertical="top" wrapText="1"/>
    </xf>
    <xf numFmtId="0" fontId="2" fillId="13" borderId="13" xfId="0" applyFont="1" applyFill="1" applyBorder="1" applyAlignment="1">
      <alignment horizontal="left" vertical="top"/>
    </xf>
    <xf numFmtId="0" fontId="4" fillId="13" borderId="13" xfId="0" applyFont="1" applyFill="1" applyBorder="1" applyAlignment="1">
      <alignment horizontal="left" vertical="top"/>
    </xf>
    <xf numFmtId="0" fontId="28" fillId="13" borderId="13" xfId="0" applyFont="1" applyFill="1" applyBorder="1" applyAlignment="1">
      <alignment horizontal="left" vertical="top"/>
    </xf>
    <xf numFmtId="0" fontId="28" fillId="13" borderId="25" xfId="0" applyFont="1" applyFill="1" applyBorder="1" applyAlignment="1">
      <alignment horizontal="left" vertical="top"/>
    </xf>
    <xf numFmtId="0" fontId="2" fillId="13" borderId="0" xfId="19" applyFill="1" applyAlignment="1">
      <alignment horizontal="left" vertical="center" wrapText="1"/>
    </xf>
    <xf numFmtId="0" fontId="2" fillId="13" borderId="0" xfId="0" applyFont="1" applyFill="1" applyAlignment="1">
      <alignment horizontal="left" vertical="center"/>
    </xf>
    <xf numFmtId="0" fontId="0" fillId="13" borderId="42" xfId="0" applyFill="1" applyBorder="1" applyAlignment="1">
      <alignment horizontal="left" vertical="center" wrapText="1"/>
    </xf>
    <xf numFmtId="0" fontId="0" fillId="13" borderId="42" xfId="0" applyFill="1" applyBorder="1" applyAlignment="1">
      <alignment horizontal="left" vertical="center"/>
    </xf>
    <xf numFmtId="0" fontId="0" fillId="13" borderId="45" xfId="0" applyFill="1" applyBorder="1" applyAlignment="1">
      <alignment horizontal="left" vertical="center" wrapText="1"/>
    </xf>
    <xf numFmtId="0" fontId="0" fillId="13" borderId="46" xfId="0" applyFill="1" applyBorder="1" applyAlignment="1">
      <alignment horizontal="left" vertical="center" wrapText="1"/>
    </xf>
    <xf numFmtId="0" fontId="0" fillId="13" borderId="62" xfId="0" applyFill="1" applyBorder="1" applyAlignment="1">
      <alignment horizontal="left" vertical="center" wrapText="1"/>
    </xf>
    <xf numFmtId="0" fontId="4" fillId="20" borderId="63" xfId="0" applyFont="1" applyFill="1" applyBorder="1" applyAlignment="1">
      <alignment horizontal="left" vertical="top" wrapText="1"/>
    </xf>
    <xf numFmtId="0" fontId="4" fillId="20" borderId="19" xfId="0" applyFont="1" applyFill="1" applyBorder="1" applyAlignment="1">
      <alignment horizontal="left"/>
    </xf>
    <xf numFmtId="0" fontId="10" fillId="13" borderId="0" xfId="0" applyFont="1" applyFill="1" applyAlignment="1">
      <alignment horizontal="left" vertical="top" wrapText="1"/>
    </xf>
    <xf numFmtId="0" fontId="51" fillId="13" borderId="0" xfId="0" applyFont="1" applyFill="1" applyAlignment="1">
      <alignment horizontal="left" vertical="top" wrapText="1"/>
    </xf>
    <xf numFmtId="0" fontId="54" fillId="13" borderId="0" xfId="0" applyFont="1" applyFill="1" applyAlignment="1">
      <alignment horizontal="left" vertical="top" wrapText="1"/>
    </xf>
    <xf numFmtId="0" fontId="2" fillId="20" borderId="64" xfId="0" applyFont="1" applyFill="1" applyBorder="1" applyAlignment="1">
      <alignment horizontal="left" vertical="top" wrapText="1"/>
    </xf>
    <xf numFmtId="0" fontId="50" fillId="13" borderId="0" xfId="0" applyFont="1" applyFill="1" applyAlignment="1">
      <alignment horizontal="left"/>
    </xf>
    <xf numFmtId="0" fontId="37" fillId="13" borderId="12" xfId="0" applyFont="1" applyFill="1" applyBorder="1" applyAlignment="1">
      <alignment horizontal="left" vertical="top" wrapText="1"/>
    </xf>
    <xf numFmtId="0" fontId="50" fillId="13" borderId="0" xfId="0" applyFont="1" applyFill="1" applyAlignment="1">
      <alignment horizontal="left" vertical="top" wrapText="1"/>
    </xf>
    <xf numFmtId="0" fontId="4" fillId="20" borderId="63" xfId="0" applyFont="1" applyFill="1" applyBorder="1" applyAlignment="1">
      <alignment horizontal="left" vertical="center" wrapText="1"/>
    </xf>
    <xf numFmtId="0" fontId="34" fillId="13" borderId="13" xfId="19" applyFont="1" applyFill="1" applyBorder="1" applyAlignment="1">
      <alignment horizontal="left" vertical="top" wrapText="1"/>
    </xf>
    <xf numFmtId="0" fontId="2" fillId="13" borderId="0" xfId="0" applyFont="1" applyFill="1" applyAlignment="1">
      <alignment horizontal="left" wrapText="1"/>
    </xf>
    <xf numFmtId="0" fontId="4" fillId="13" borderId="0" xfId="0" applyFont="1" applyFill="1" applyAlignment="1">
      <alignment horizontal="left" wrapText="1"/>
    </xf>
    <xf numFmtId="0" fontId="7" fillId="13" borderId="13" xfId="0" applyFont="1" applyFill="1" applyBorder="1" applyAlignment="1">
      <alignment horizontal="left" vertical="top"/>
    </xf>
    <xf numFmtId="0" fontId="48" fillId="13" borderId="51" xfId="0" quotePrefix="1" applyFont="1" applyFill="1" applyBorder="1" applyAlignment="1">
      <alignment horizontal="left" vertical="top" wrapText="1"/>
    </xf>
    <xf numFmtId="0" fontId="48" fillId="13" borderId="61" xfId="0" quotePrefix="1" applyFont="1" applyFill="1" applyBorder="1" applyAlignment="1">
      <alignment horizontal="left" vertical="top" wrapText="1"/>
    </xf>
    <xf numFmtId="0" fontId="48" fillId="13" borderId="0" xfId="0" quotePrefix="1" applyFont="1" applyFill="1" applyAlignment="1">
      <alignment horizontal="left" vertical="top" wrapText="1"/>
    </xf>
    <xf numFmtId="0" fontId="48" fillId="13" borderId="50" xfId="0" quotePrefix="1" applyFont="1" applyFill="1" applyBorder="1" applyAlignment="1">
      <alignment horizontal="left" vertical="top" wrapText="1"/>
    </xf>
    <xf numFmtId="0" fontId="2" fillId="14" borderId="0" xfId="0" applyFont="1" applyFill="1" applyAlignment="1">
      <alignment horizontal="left" vertical="top"/>
    </xf>
    <xf numFmtId="0" fontId="0" fillId="14" borderId="0" xfId="0" applyFill="1" applyAlignment="1">
      <alignment horizontal="left"/>
    </xf>
    <xf numFmtId="0" fontId="2" fillId="14" borderId="0" xfId="0" applyFont="1" applyFill="1" applyAlignment="1">
      <alignment horizontal="left"/>
    </xf>
    <xf numFmtId="0" fontId="28" fillId="0" borderId="0" xfId="0" applyFont="1" applyAlignment="1">
      <alignment horizontal="left"/>
    </xf>
    <xf numFmtId="0" fontId="44" fillId="17" borderId="0" xfId="0" applyFont="1" applyFill="1" applyAlignment="1">
      <alignment horizontal="left"/>
    </xf>
    <xf numFmtId="49" fontId="42" fillId="15" borderId="0" xfId="0" applyNumberFormat="1" applyFont="1" applyFill="1" applyAlignment="1">
      <alignment horizontal="left"/>
    </xf>
    <xf numFmtId="0" fontId="0" fillId="0" borderId="13" xfId="0" applyBorder="1" applyAlignment="1">
      <alignment horizontal="center" vertical="top"/>
    </xf>
    <xf numFmtId="0" fontId="0" fillId="0" borderId="0" xfId="0" applyAlignment="1">
      <alignment horizontal="center"/>
    </xf>
    <xf numFmtId="0" fontId="50" fillId="13" borderId="0" xfId="0" applyFont="1" applyFill="1" applyAlignment="1">
      <alignment vertical="top" wrapText="1"/>
    </xf>
    <xf numFmtId="14" fontId="0" fillId="22" borderId="65" xfId="0" applyNumberFormat="1" applyFill="1" applyBorder="1" applyAlignment="1">
      <alignment horizontal="center"/>
    </xf>
    <xf numFmtId="0" fontId="2" fillId="18" borderId="32" xfId="0" applyFont="1" applyFill="1" applyBorder="1"/>
    <xf numFmtId="0" fontId="60" fillId="13" borderId="0" xfId="0" applyFont="1" applyFill="1" applyAlignment="1">
      <alignment horizontal="left"/>
    </xf>
    <xf numFmtId="0" fontId="44" fillId="17" borderId="13" xfId="0" applyFont="1" applyFill="1" applyBorder="1" applyAlignment="1">
      <alignment wrapText="1"/>
    </xf>
    <xf numFmtId="0" fontId="44" fillId="17" borderId="13" xfId="0" applyFont="1" applyFill="1" applyBorder="1" applyAlignment="1">
      <alignment horizontal="center" wrapText="1"/>
    </xf>
    <xf numFmtId="14" fontId="0" fillId="13" borderId="25" xfId="0" applyNumberFormat="1" applyFill="1" applyBorder="1" applyAlignment="1">
      <alignment horizontal="left" vertical="center"/>
    </xf>
    <xf numFmtId="0" fontId="2" fillId="13" borderId="66" xfId="0" applyFont="1" applyFill="1" applyBorder="1" applyAlignment="1">
      <alignment horizontal="center" vertical="top"/>
    </xf>
    <xf numFmtId="0" fontId="2" fillId="13" borderId="67" xfId="0" applyFont="1" applyFill="1" applyBorder="1" applyAlignment="1">
      <alignment vertical="top"/>
    </xf>
    <xf numFmtId="0" fontId="2" fillId="16" borderId="67" xfId="0" applyFont="1" applyFill="1" applyBorder="1" applyAlignment="1">
      <alignment vertical="top"/>
    </xf>
    <xf numFmtId="0" fontId="2" fillId="13" borderId="68" xfId="0" applyFont="1" applyFill="1" applyBorder="1" applyAlignment="1">
      <alignment vertical="top"/>
    </xf>
    <xf numFmtId="0" fontId="44" fillId="17" borderId="0" xfId="0" applyFont="1" applyFill="1" applyAlignment="1">
      <alignment wrapText="1"/>
    </xf>
    <xf numFmtId="0" fontId="2" fillId="28" borderId="0" xfId="0" applyFont="1" applyFill="1"/>
    <xf numFmtId="0" fontId="0" fillId="29" borderId="0" xfId="0" applyFill="1" applyAlignment="1">
      <alignment vertical="center"/>
    </xf>
    <xf numFmtId="0" fontId="26" fillId="29" borderId="0" xfId="0" applyFont="1" applyFill="1" applyAlignment="1">
      <alignment vertical="center"/>
    </xf>
    <xf numFmtId="0" fontId="27" fillId="29" borderId="0" xfId="0" applyFont="1" applyFill="1" applyAlignment="1">
      <alignment vertical="center"/>
    </xf>
    <xf numFmtId="0" fontId="2" fillId="29" borderId="0" xfId="0" applyFont="1" applyFill="1" applyAlignment="1">
      <alignment vertical="center"/>
    </xf>
    <xf numFmtId="0" fontId="29" fillId="29" borderId="0" xfId="0" applyFont="1" applyFill="1" applyAlignment="1">
      <alignment vertical="center"/>
    </xf>
    <xf numFmtId="0" fontId="8" fillId="29" borderId="0" xfId="14" quotePrefix="1" applyFill="1" applyBorder="1" applyAlignment="1" applyProtection="1">
      <alignment vertical="center"/>
    </xf>
    <xf numFmtId="0" fontId="23" fillId="29" borderId="0" xfId="0" applyFont="1" applyFill="1" applyAlignment="1">
      <alignment vertical="center"/>
    </xf>
    <xf numFmtId="0" fontId="4" fillId="18" borderId="62" xfId="0" applyFont="1" applyFill="1" applyBorder="1" applyAlignment="1">
      <alignment horizontal="left" vertical="center"/>
    </xf>
    <xf numFmtId="0" fontId="8" fillId="0" borderId="0" xfId="14" applyAlignment="1" applyProtection="1">
      <alignment horizontal="left"/>
    </xf>
    <xf numFmtId="0" fontId="2" fillId="15" borderId="0" xfId="0" applyFont="1" applyFill="1" applyAlignment="1">
      <alignment shrinkToFit="1"/>
    </xf>
    <xf numFmtId="0" fontId="76" fillId="0" borderId="0" xfId="0" applyFont="1"/>
    <xf numFmtId="0" fontId="48" fillId="13" borderId="61" xfId="0" quotePrefix="1" applyFont="1" applyFill="1" applyBorder="1" applyAlignment="1">
      <alignment horizontal="right" vertical="top" wrapText="1"/>
    </xf>
    <xf numFmtId="0" fontId="77" fillId="28" borderId="0" xfId="0" applyFont="1" applyFill="1" applyAlignment="1">
      <alignment vertical="center"/>
    </xf>
    <xf numFmtId="0" fontId="77" fillId="30" borderId="10" xfId="0" applyFont="1" applyFill="1" applyBorder="1" applyAlignment="1">
      <alignment horizontal="center" vertical="center"/>
    </xf>
    <xf numFmtId="0" fontId="77" fillId="28" borderId="13" xfId="0" applyFont="1" applyFill="1" applyBorder="1" applyAlignment="1">
      <alignment vertical="center"/>
    </xf>
    <xf numFmtId="0" fontId="2" fillId="28" borderId="13" xfId="0" applyFont="1" applyFill="1" applyBorder="1" applyAlignment="1">
      <alignment horizontal="left" vertical="top"/>
    </xf>
    <xf numFmtId="0" fontId="2" fillId="28" borderId="0" xfId="0" applyFont="1" applyFill="1" applyAlignment="1">
      <alignment horizontal="right" vertical="top"/>
    </xf>
    <xf numFmtId="0" fontId="0" fillId="14" borderId="47" xfId="0" applyFill="1" applyBorder="1" applyAlignment="1">
      <alignment horizontal="left"/>
    </xf>
    <xf numFmtId="0" fontId="0" fillId="14" borderId="48" xfId="0" applyFill="1" applyBorder="1" applyAlignment="1">
      <alignment horizontal="left"/>
    </xf>
    <xf numFmtId="0" fontId="0" fillId="14" borderId="49" xfId="0" applyFill="1" applyBorder="1" applyAlignment="1">
      <alignment horizontal="left"/>
    </xf>
    <xf numFmtId="0" fontId="2" fillId="28" borderId="0" xfId="0" applyFont="1" applyFill="1" applyAlignment="1">
      <alignment horizontal="left" vertical="top"/>
    </xf>
    <xf numFmtId="0" fontId="0" fillId="28" borderId="0" xfId="0" applyFill="1"/>
    <xf numFmtId="0" fontId="2" fillId="14" borderId="0" xfId="0" applyFont="1" applyFill="1" applyAlignment="1">
      <alignment horizontal="right" vertical="top"/>
    </xf>
    <xf numFmtId="0" fontId="78" fillId="13" borderId="69" xfId="0" applyFont="1" applyFill="1" applyBorder="1" applyAlignment="1">
      <alignment horizontal="center" vertical="top" wrapText="1"/>
    </xf>
    <xf numFmtId="0" fontId="78" fillId="13" borderId="70" xfId="0" applyFont="1" applyFill="1" applyBorder="1" applyAlignment="1">
      <alignment horizontal="center" vertical="top" wrapText="1"/>
    </xf>
    <xf numFmtId="0" fontId="58" fillId="28" borderId="0" xfId="0" applyFont="1" applyFill="1" applyAlignment="1">
      <alignment vertical="top"/>
    </xf>
    <xf numFmtId="0" fontId="2" fillId="28" borderId="0" xfId="0" applyFont="1" applyFill="1" applyAlignment="1">
      <alignment vertical="top"/>
    </xf>
    <xf numFmtId="0" fontId="77" fillId="28" borderId="29" xfId="0" applyFont="1" applyFill="1" applyBorder="1" applyAlignment="1">
      <alignment horizontal="center" vertical="center"/>
    </xf>
    <xf numFmtId="0" fontId="77" fillId="28" borderId="64" xfId="0" applyFont="1" applyFill="1" applyBorder="1" applyAlignment="1">
      <alignment horizontal="center" vertical="center"/>
    </xf>
    <xf numFmtId="0" fontId="77" fillId="28" borderId="30" xfId="0" applyFont="1" applyFill="1" applyBorder="1" applyAlignment="1">
      <alignment horizontal="center" vertical="center"/>
    </xf>
    <xf numFmtId="0" fontId="77" fillId="28" borderId="32" xfId="0" applyFont="1" applyFill="1" applyBorder="1" applyAlignment="1">
      <alignment horizontal="center" vertical="center"/>
    </xf>
    <xf numFmtId="0" fontId="77" fillId="28" borderId="0" xfId="0" applyFont="1" applyFill="1" applyAlignment="1">
      <alignment horizontal="center" vertical="center"/>
    </xf>
    <xf numFmtId="0" fontId="77" fillId="28" borderId="33" xfId="0" applyFont="1" applyFill="1" applyBorder="1" applyAlignment="1">
      <alignment horizontal="center" vertical="center"/>
    </xf>
    <xf numFmtId="0" fontId="0" fillId="14" borderId="13" xfId="0" applyFill="1" applyBorder="1" applyAlignment="1">
      <alignment horizontal="left" vertical="center"/>
    </xf>
    <xf numFmtId="0" fontId="77" fillId="29" borderId="0" xfId="0" applyFont="1" applyFill="1" applyAlignment="1">
      <alignment vertical="center"/>
    </xf>
    <xf numFmtId="0" fontId="79" fillId="28" borderId="0" xfId="0" applyFont="1" applyFill="1" applyAlignment="1">
      <alignment vertical="center"/>
    </xf>
    <xf numFmtId="0" fontId="80" fillId="28" borderId="13" xfId="0" applyFont="1" applyFill="1" applyBorder="1" applyAlignment="1">
      <alignment horizontal="right" vertical="center"/>
    </xf>
    <xf numFmtId="0" fontId="80" fillId="28" borderId="0" xfId="0" applyFont="1" applyFill="1" applyAlignment="1">
      <alignment vertical="center"/>
    </xf>
    <xf numFmtId="0" fontId="77" fillId="28" borderId="13" xfId="0" applyFont="1" applyFill="1" applyBorder="1" applyAlignment="1">
      <alignment horizontal="right" vertical="center"/>
    </xf>
    <xf numFmtId="0" fontId="81" fillId="29" borderId="0" xfId="0" applyFont="1" applyFill="1" applyAlignment="1">
      <alignment horizontal="right" vertical="center"/>
    </xf>
    <xf numFmtId="0" fontId="82" fillId="29" borderId="0" xfId="0" applyFont="1" applyFill="1" applyAlignment="1">
      <alignment horizontal="center" vertical="center"/>
    </xf>
    <xf numFmtId="0" fontId="77" fillId="29" borderId="0" xfId="0" applyFont="1" applyFill="1" applyAlignment="1">
      <alignment horizontal="center" vertical="center"/>
    </xf>
    <xf numFmtId="0" fontId="2" fillId="28" borderId="0" xfId="19" applyFill="1"/>
    <xf numFmtId="0" fontId="0" fillId="29" borderId="0" xfId="0" applyFill="1"/>
    <xf numFmtId="0" fontId="0" fillId="28" borderId="0" xfId="0" applyFill="1" applyAlignment="1">
      <alignment vertical="center"/>
    </xf>
    <xf numFmtId="0" fontId="0" fillId="28" borderId="0" xfId="0" applyFill="1" applyAlignment="1">
      <alignment horizontal="left"/>
    </xf>
    <xf numFmtId="0" fontId="2" fillId="28" borderId="0" xfId="0" applyFont="1" applyFill="1" applyAlignment="1">
      <alignment horizontal="center" vertical="top"/>
    </xf>
    <xf numFmtId="0" fontId="2" fillId="23" borderId="0" xfId="0" applyFont="1" applyFill="1"/>
    <xf numFmtId="0" fontId="0" fillId="0" borderId="0" xfId="0" applyAlignment="1">
      <alignment horizontal="right" vertical="top" wrapText="1"/>
    </xf>
    <xf numFmtId="0" fontId="0" fillId="29" borderId="0" xfId="0" applyFill="1" applyAlignment="1">
      <alignment horizontal="center"/>
    </xf>
    <xf numFmtId="0" fontId="0" fillId="29" borderId="13" xfId="0" applyFill="1" applyBorder="1"/>
    <xf numFmtId="0" fontId="2" fillId="28" borderId="0" xfId="0" applyFont="1" applyFill="1" applyAlignment="1">
      <alignment horizontal="left"/>
    </xf>
    <xf numFmtId="0" fontId="79" fillId="29" borderId="0" xfId="0" applyFont="1" applyFill="1" applyAlignment="1">
      <alignment vertical="center"/>
    </xf>
    <xf numFmtId="0" fontId="80" fillId="29" borderId="0" xfId="0" applyFont="1" applyFill="1" applyAlignment="1">
      <alignment vertical="center"/>
    </xf>
    <xf numFmtId="0" fontId="0" fillId="28" borderId="71" xfId="0" applyFill="1" applyBorder="1" applyAlignment="1">
      <alignment vertical="center"/>
    </xf>
    <xf numFmtId="0" fontId="0" fillId="13" borderId="71" xfId="0" applyFill="1" applyBorder="1" applyAlignment="1">
      <alignment vertical="center"/>
    </xf>
    <xf numFmtId="0" fontId="2" fillId="28" borderId="71" xfId="0" applyFont="1" applyFill="1" applyBorder="1" applyAlignment="1">
      <alignment vertical="top"/>
    </xf>
    <xf numFmtId="0" fontId="2" fillId="13" borderId="71" xfId="0" applyFont="1" applyFill="1" applyBorder="1"/>
    <xf numFmtId="0" fontId="2" fillId="13" borderId="71" xfId="0" applyFont="1" applyFill="1" applyBorder="1" applyAlignment="1">
      <alignment vertical="top"/>
    </xf>
    <xf numFmtId="0" fontId="0" fillId="29" borderId="71" xfId="0" applyFill="1" applyBorder="1"/>
    <xf numFmtId="0" fontId="2" fillId="29" borderId="71" xfId="19" applyFill="1" applyBorder="1"/>
    <xf numFmtId="0" fontId="0" fillId="13" borderId="71" xfId="0" applyFill="1" applyBorder="1" applyAlignment="1">
      <alignment vertical="top"/>
    </xf>
    <xf numFmtId="0" fontId="0" fillId="13" borderId="71" xfId="0" applyFill="1" applyBorder="1"/>
    <xf numFmtId="0" fontId="0" fillId="28" borderId="71" xfId="0" applyFill="1" applyBorder="1"/>
    <xf numFmtId="0" fontId="2" fillId="14" borderId="71" xfId="0" applyFont="1" applyFill="1" applyBorder="1"/>
    <xf numFmtId="0" fontId="58" fillId="13" borderId="71" xfId="0" applyFont="1" applyFill="1" applyBorder="1" applyAlignment="1">
      <alignment vertical="top"/>
    </xf>
    <xf numFmtId="0" fontId="2" fillId="28" borderId="71" xfId="0" applyFont="1" applyFill="1" applyBorder="1"/>
    <xf numFmtId="0" fontId="61" fillId="29" borderId="0" xfId="0" applyFont="1" applyFill="1" applyAlignment="1">
      <alignment vertical="center"/>
    </xf>
    <xf numFmtId="0" fontId="2" fillId="28" borderId="0" xfId="0" applyFont="1" applyFill="1" applyAlignment="1">
      <alignment vertical="center"/>
    </xf>
    <xf numFmtId="0" fontId="2" fillId="18" borderId="29" xfId="0" applyFont="1" applyFill="1" applyBorder="1"/>
    <xf numFmtId="0" fontId="2" fillId="28" borderId="0" xfId="0" applyFont="1" applyFill="1" applyAlignment="1">
      <alignment horizontal="center"/>
    </xf>
    <xf numFmtId="0" fontId="2" fillId="28" borderId="13" xfId="0" applyFont="1" applyFill="1" applyBorder="1" applyAlignment="1">
      <alignment horizontal="center"/>
    </xf>
    <xf numFmtId="0" fontId="0" fillId="28" borderId="13" xfId="0" applyFill="1" applyBorder="1"/>
    <xf numFmtId="0" fontId="8" fillId="13" borderId="0" xfId="14" applyFill="1" applyAlignment="1" applyProtection="1">
      <alignment horizontal="left"/>
    </xf>
    <xf numFmtId="0" fontId="83" fillId="13" borderId="13" xfId="0" applyFont="1" applyFill="1" applyBorder="1" applyAlignment="1">
      <alignment horizontal="left" vertical="top"/>
    </xf>
    <xf numFmtId="0" fontId="84" fillId="29" borderId="13" xfId="0" applyFont="1" applyFill="1" applyBorder="1" applyAlignment="1">
      <alignment horizontal="left" vertical="top"/>
    </xf>
    <xf numFmtId="0" fontId="84" fillId="29" borderId="25" xfId="0" applyFont="1" applyFill="1" applyBorder="1" applyAlignment="1">
      <alignment horizontal="left" vertical="top"/>
    </xf>
    <xf numFmtId="0" fontId="85" fillId="29" borderId="0" xfId="0" applyFont="1" applyFill="1" applyAlignment="1">
      <alignment horizontal="left" vertical="center"/>
    </xf>
    <xf numFmtId="0" fontId="29" fillId="29" borderId="0" xfId="0" applyFont="1" applyFill="1" applyAlignment="1">
      <alignment horizontal="left" vertical="center"/>
    </xf>
    <xf numFmtId="0" fontId="34" fillId="31" borderId="0" xfId="0" applyFont="1" applyFill="1" applyAlignment="1">
      <alignment horizontal="left" vertical="top" wrapText="1"/>
    </xf>
    <xf numFmtId="0" fontId="0" fillId="14" borderId="13" xfId="0" applyFill="1" applyBorder="1" applyAlignment="1">
      <alignment horizontal="left"/>
    </xf>
    <xf numFmtId="0" fontId="2" fillId="13" borderId="53" xfId="0" applyFont="1" applyFill="1" applyBorder="1" applyAlignment="1">
      <alignment horizontal="left" vertical="top"/>
    </xf>
    <xf numFmtId="0" fontId="83" fillId="13" borderId="25" xfId="0" applyFont="1" applyFill="1" applyBorder="1" applyAlignment="1">
      <alignment horizontal="left" vertical="top"/>
    </xf>
    <xf numFmtId="0" fontId="2" fillId="15" borderId="0" xfId="0" applyFont="1" applyFill="1" applyAlignment="1">
      <alignment horizontal="left" shrinkToFit="1"/>
    </xf>
    <xf numFmtId="0" fontId="22" fillId="0" borderId="0" xfId="20" applyFont="1"/>
    <xf numFmtId="0" fontId="0" fillId="15" borderId="72" xfId="0" applyFill="1" applyBorder="1" applyAlignment="1">
      <alignment vertical="center"/>
    </xf>
    <xf numFmtId="0" fontId="2" fillId="13" borderId="73" xfId="0" applyFont="1" applyFill="1" applyBorder="1" applyAlignment="1">
      <alignment vertical="center"/>
    </xf>
    <xf numFmtId="0" fontId="4" fillId="13" borderId="73" xfId="0" applyFont="1" applyFill="1" applyBorder="1" applyAlignment="1">
      <alignment horizontal="center" vertical="center"/>
    </xf>
    <xf numFmtId="0" fontId="4" fillId="13" borderId="73" xfId="0" applyFont="1" applyFill="1" applyBorder="1" applyAlignment="1">
      <alignment horizontal="right" vertical="center"/>
    </xf>
    <xf numFmtId="0" fontId="0" fillId="13" borderId="73" xfId="0" applyFill="1" applyBorder="1" applyAlignment="1">
      <alignment vertical="center" wrapText="1"/>
    </xf>
    <xf numFmtId="0" fontId="2" fillId="13" borderId="71" xfId="0" applyFont="1" applyFill="1" applyBorder="1" applyAlignment="1">
      <alignment vertical="center"/>
    </xf>
    <xf numFmtId="0" fontId="0" fillId="15" borderId="0" xfId="0" applyFill="1" applyAlignment="1">
      <alignment horizontal="center" vertical="center"/>
    </xf>
    <xf numFmtId="0" fontId="2" fillId="14" borderId="0" xfId="0" applyFont="1" applyFill="1" applyAlignment="1">
      <alignment vertical="center"/>
    </xf>
    <xf numFmtId="0" fontId="2" fillId="15" borderId="72" xfId="0" applyFont="1" applyFill="1" applyBorder="1" applyAlignment="1">
      <alignment vertical="center"/>
    </xf>
    <xf numFmtId="0" fontId="4" fillId="13" borderId="0" xfId="0" applyFont="1" applyFill="1" applyAlignment="1">
      <alignment horizontal="center" vertical="center"/>
    </xf>
    <xf numFmtId="0" fontId="4" fillId="13" borderId="0" xfId="0" applyFont="1" applyFill="1" applyAlignment="1">
      <alignment horizontal="right" vertical="center"/>
    </xf>
    <xf numFmtId="0" fontId="40" fillId="15" borderId="10" xfId="0" applyFont="1" applyFill="1" applyBorder="1" applyAlignment="1">
      <alignment horizontal="center" vertical="center"/>
    </xf>
    <xf numFmtId="0" fontId="2" fillId="14" borderId="0" xfId="0" applyFont="1" applyFill="1" applyAlignment="1">
      <alignment horizontal="center" vertical="center"/>
    </xf>
    <xf numFmtId="0" fontId="0" fillId="15" borderId="13" xfId="0" applyFill="1" applyBorder="1" applyAlignment="1">
      <alignment vertical="center"/>
    </xf>
    <xf numFmtId="0" fontId="40" fillId="13" borderId="10" xfId="0" applyFont="1" applyFill="1" applyBorder="1" applyAlignment="1">
      <alignment horizontal="center" vertical="center"/>
    </xf>
    <xf numFmtId="0" fontId="4" fillId="13" borderId="71" xfId="0" applyFont="1" applyFill="1" applyBorder="1" applyAlignment="1">
      <alignment vertical="center"/>
    </xf>
    <xf numFmtId="0" fontId="2" fillId="15" borderId="48" xfId="0" applyFont="1" applyFill="1" applyBorder="1" applyAlignment="1">
      <alignment horizontal="center" vertical="center"/>
    </xf>
    <xf numFmtId="0" fontId="4" fillId="15" borderId="10" xfId="0" applyFont="1" applyFill="1" applyBorder="1" applyAlignment="1">
      <alignment vertical="center"/>
    </xf>
    <xf numFmtId="0" fontId="4" fillId="15" borderId="0" xfId="0" applyFont="1" applyFill="1" applyAlignment="1">
      <alignment horizontal="center" vertical="center"/>
    </xf>
    <xf numFmtId="0" fontId="6" fillId="14" borderId="0" xfId="0" applyFont="1" applyFill="1" applyAlignment="1">
      <alignment vertical="center"/>
    </xf>
    <xf numFmtId="0" fontId="2" fillId="14" borderId="13" xfId="0" applyFont="1" applyFill="1" applyBorder="1" applyAlignment="1">
      <alignment horizontal="center" vertical="center"/>
    </xf>
    <xf numFmtId="0" fontId="2" fillId="14" borderId="10" xfId="0" applyFont="1" applyFill="1" applyBorder="1" applyAlignment="1">
      <alignment horizontal="center" vertical="center"/>
    </xf>
    <xf numFmtId="0" fontId="28" fillId="13" borderId="0" xfId="0" applyFont="1" applyFill="1" applyAlignment="1">
      <alignment horizontal="right" vertical="center"/>
    </xf>
    <xf numFmtId="0" fontId="28" fillId="13" borderId="71" xfId="0" applyFont="1" applyFill="1" applyBorder="1" applyAlignment="1">
      <alignment vertical="center"/>
    </xf>
    <xf numFmtId="0" fontId="4" fillId="14" borderId="0" xfId="0" applyFont="1" applyFill="1" applyAlignment="1">
      <alignment vertical="center"/>
    </xf>
    <xf numFmtId="0" fontId="4" fillId="14" borderId="0" xfId="0" applyFont="1" applyFill="1" applyAlignment="1">
      <alignment horizontal="center" vertical="center"/>
    </xf>
    <xf numFmtId="0" fontId="2" fillId="13" borderId="0" xfId="0" applyFont="1" applyFill="1" applyAlignment="1">
      <alignment horizontal="right" vertical="center"/>
    </xf>
    <xf numFmtId="0" fontId="2" fillId="13" borderId="51" xfId="0" applyFont="1" applyFill="1" applyBorder="1" applyAlignment="1">
      <alignment horizontal="left" vertical="center"/>
    </xf>
    <xf numFmtId="0" fontId="2" fillId="14" borderId="10" xfId="0" applyFont="1" applyFill="1" applyBorder="1" applyAlignment="1">
      <alignment vertical="center"/>
    </xf>
    <xf numFmtId="0" fontId="4" fillId="13" borderId="0" xfId="0" applyFont="1" applyFill="1" applyAlignment="1">
      <alignment horizontal="center" vertical="center" wrapText="1"/>
    </xf>
    <xf numFmtId="0" fontId="2" fillId="14" borderId="0" xfId="0" applyFont="1" applyFill="1" applyAlignment="1">
      <alignment vertical="center" wrapText="1"/>
    </xf>
    <xf numFmtId="0" fontId="2" fillId="14" borderId="0" xfId="0" applyFont="1" applyFill="1" applyAlignment="1">
      <alignment horizontal="left" vertical="center"/>
    </xf>
    <xf numFmtId="0" fontId="2" fillId="13" borderId="51" xfId="0" applyFont="1" applyFill="1" applyBorder="1" applyAlignment="1">
      <alignment vertical="center"/>
    </xf>
    <xf numFmtId="0" fontId="2" fillId="25" borderId="10" xfId="0" applyFont="1" applyFill="1" applyBorder="1" applyAlignment="1" applyProtection="1">
      <alignment horizontal="center" vertical="center"/>
      <protection locked="0"/>
    </xf>
    <xf numFmtId="0" fontId="0" fillId="18" borderId="18" xfId="0" applyFill="1" applyBorder="1" applyAlignment="1">
      <alignment horizontal="center" vertical="center" shrinkToFit="1"/>
    </xf>
    <xf numFmtId="0" fontId="2" fillId="26" borderId="15" xfId="0" applyFont="1" applyFill="1" applyBorder="1" applyAlignment="1" applyProtection="1">
      <alignment horizontal="center" vertical="center" shrinkToFit="1"/>
      <protection locked="0"/>
    </xf>
    <xf numFmtId="0" fontId="30" fillId="15" borderId="0" xfId="0" applyFont="1" applyFill="1" applyAlignment="1">
      <alignment vertical="center"/>
    </xf>
    <xf numFmtId="0" fontId="0" fillId="15" borderId="10" xfId="0" applyFill="1" applyBorder="1" applyAlignment="1">
      <alignment vertical="center"/>
    </xf>
    <xf numFmtId="0" fontId="2" fillId="14" borderId="52" xfId="0" applyFont="1" applyFill="1" applyBorder="1" applyAlignment="1">
      <alignment horizontal="center" vertical="center"/>
    </xf>
    <xf numFmtId="0" fontId="2" fillId="14" borderId="54" xfId="0" applyFont="1" applyFill="1" applyBorder="1" applyAlignment="1">
      <alignment vertical="center"/>
    </xf>
    <xf numFmtId="0" fontId="4" fillId="14" borderId="0" xfId="0" applyFont="1" applyFill="1" applyAlignment="1">
      <alignment horizontal="right" vertical="center"/>
    </xf>
    <xf numFmtId="0" fontId="0" fillId="15" borderId="74" xfId="0" applyFill="1" applyBorder="1" applyAlignment="1">
      <alignment vertical="center"/>
    </xf>
    <xf numFmtId="0" fontId="2" fillId="14" borderId="75" xfId="0" applyFont="1" applyFill="1" applyBorder="1" applyAlignment="1">
      <alignment horizontal="center" vertical="center"/>
    </xf>
    <xf numFmtId="0" fontId="2" fillId="14" borderId="43" xfId="0" applyFont="1" applyFill="1" applyBorder="1" applyAlignment="1">
      <alignment horizontal="center" vertical="center"/>
    </xf>
    <xf numFmtId="0" fontId="2" fillId="14" borderId="54" xfId="0" applyFont="1" applyFill="1" applyBorder="1" applyAlignment="1">
      <alignment horizontal="center" vertical="center"/>
    </xf>
    <xf numFmtId="0" fontId="2" fillId="14" borderId="20" xfId="0" applyFont="1" applyFill="1" applyBorder="1" applyAlignment="1">
      <alignment vertical="center"/>
    </xf>
    <xf numFmtId="0" fontId="2" fillId="13" borderId="0" xfId="0" applyFont="1" applyFill="1" applyAlignment="1">
      <alignment horizontal="center" vertical="center"/>
    </xf>
    <xf numFmtId="0" fontId="0" fillId="15" borderId="47" xfId="0" applyFill="1" applyBorder="1" applyAlignment="1">
      <alignment vertical="center"/>
    </xf>
    <xf numFmtId="0" fontId="2" fillId="14" borderId="47" xfId="0" applyFont="1" applyFill="1" applyBorder="1" applyAlignment="1">
      <alignment vertical="center"/>
    </xf>
    <xf numFmtId="0" fontId="2" fillId="14" borderId="47" xfId="0" applyFont="1" applyFill="1" applyBorder="1" applyAlignment="1">
      <alignment horizontal="center" vertical="center"/>
    </xf>
    <xf numFmtId="0" fontId="2" fillId="15" borderId="75" xfId="0" applyFont="1" applyFill="1" applyBorder="1" applyAlignment="1">
      <alignment horizontal="center" vertical="center"/>
    </xf>
    <xf numFmtId="0" fontId="2" fillId="14" borderId="36" xfId="0" applyFont="1" applyFill="1" applyBorder="1" applyAlignment="1">
      <alignment horizontal="center" vertical="center"/>
    </xf>
    <xf numFmtId="0" fontId="2" fillId="14" borderId="37" xfId="0" applyFont="1" applyFill="1" applyBorder="1" applyAlignment="1">
      <alignment vertical="center"/>
    </xf>
    <xf numFmtId="0" fontId="0" fillId="15" borderId="76" xfId="0" applyFill="1" applyBorder="1" applyAlignment="1">
      <alignment horizontal="center" vertical="center"/>
    </xf>
    <xf numFmtId="0" fontId="2" fillId="15" borderId="43" xfId="0" applyFont="1" applyFill="1" applyBorder="1" applyAlignment="1">
      <alignment horizontal="center" vertical="center"/>
    </xf>
    <xf numFmtId="0" fontId="2" fillId="14" borderId="74" xfId="0" applyFont="1" applyFill="1" applyBorder="1" applyAlignment="1">
      <alignment vertical="center"/>
    </xf>
    <xf numFmtId="0" fontId="0" fillId="15" borderId="48" xfId="0" applyFill="1" applyBorder="1" applyAlignment="1">
      <alignment vertical="center"/>
    </xf>
    <xf numFmtId="0" fontId="2" fillId="14" borderId="48" xfId="0" applyFont="1" applyFill="1" applyBorder="1" applyAlignment="1">
      <alignment vertical="center"/>
    </xf>
    <xf numFmtId="0" fontId="2" fillId="14" borderId="48" xfId="0" applyFont="1" applyFill="1" applyBorder="1" applyAlignment="1">
      <alignment horizontal="center" vertical="center"/>
    </xf>
    <xf numFmtId="0" fontId="0" fillId="15" borderId="77" xfId="0" applyFill="1" applyBorder="1" applyAlignment="1">
      <alignment vertical="center"/>
    </xf>
    <xf numFmtId="0" fontId="2" fillId="15" borderId="13" xfId="0" applyFont="1" applyFill="1" applyBorder="1" applyAlignment="1">
      <alignment horizontal="center" vertical="center"/>
    </xf>
    <xf numFmtId="0" fontId="2" fillId="14" borderId="77" xfId="0" applyFont="1" applyFill="1" applyBorder="1" applyAlignment="1">
      <alignment vertical="center"/>
    </xf>
    <xf numFmtId="0" fontId="2" fillId="14" borderId="78" xfId="0" applyFont="1" applyFill="1" applyBorder="1" applyAlignment="1">
      <alignment vertical="center"/>
    </xf>
    <xf numFmtId="0" fontId="2" fillId="15" borderId="47" xfId="0" applyFont="1" applyFill="1" applyBorder="1" applyAlignment="1">
      <alignment horizontal="center" vertical="center"/>
    </xf>
    <xf numFmtId="0" fontId="2" fillId="14" borderId="49" xfId="0" applyFont="1" applyFill="1" applyBorder="1" applyAlignment="1">
      <alignment vertical="center"/>
    </xf>
    <xf numFmtId="0" fontId="0" fillId="15" borderId="78" xfId="0" applyFill="1" applyBorder="1" applyAlignment="1">
      <alignment horizontal="center" vertical="center"/>
    </xf>
    <xf numFmtId="0" fontId="0" fillId="15" borderId="49" xfId="0" applyFill="1" applyBorder="1" applyAlignment="1">
      <alignment vertical="center"/>
    </xf>
    <xf numFmtId="0" fontId="0" fillId="15" borderId="79" xfId="0" applyFill="1" applyBorder="1" applyAlignment="1">
      <alignment horizontal="center" vertical="center"/>
    </xf>
    <xf numFmtId="0" fontId="2" fillId="14" borderId="80" xfId="0" applyFont="1" applyFill="1" applyBorder="1" applyAlignment="1">
      <alignment vertical="center"/>
    </xf>
    <xf numFmtId="0" fontId="2" fillId="14" borderId="79" xfId="0" applyFont="1" applyFill="1" applyBorder="1" applyAlignment="1">
      <alignment vertical="center"/>
    </xf>
    <xf numFmtId="0" fontId="76" fillId="14" borderId="0" xfId="0" applyFont="1" applyFill="1" applyAlignment="1">
      <alignment vertical="center"/>
    </xf>
    <xf numFmtId="0" fontId="2" fillId="14" borderId="72" xfId="0" applyFont="1" applyFill="1" applyBorder="1" applyAlignment="1">
      <alignment vertical="center"/>
    </xf>
    <xf numFmtId="0" fontId="7" fillId="13" borderId="13" xfId="0" applyFont="1" applyFill="1" applyBorder="1" applyAlignment="1">
      <alignment vertical="top" wrapText="1"/>
    </xf>
    <xf numFmtId="0" fontId="2" fillId="13" borderId="81" xfId="0" applyFont="1" applyFill="1" applyBorder="1" applyAlignment="1">
      <alignment horizontal="center" vertical="top"/>
    </xf>
    <xf numFmtId="0" fontId="2" fillId="13" borderId="82" xfId="0" applyFont="1" applyFill="1" applyBorder="1" applyAlignment="1">
      <alignment vertical="top"/>
    </xf>
    <xf numFmtId="0" fontId="4" fillId="13" borderId="83" xfId="0" applyFont="1" applyFill="1" applyBorder="1" applyAlignment="1">
      <alignment horizontal="center" vertical="top"/>
    </xf>
    <xf numFmtId="0" fontId="2" fillId="13" borderId="55" xfId="0" applyFont="1" applyFill="1" applyBorder="1" applyAlignment="1">
      <alignment vertical="top"/>
    </xf>
    <xf numFmtId="0" fontId="2" fillId="16" borderId="56" xfId="0" applyFont="1" applyFill="1" applyBorder="1" applyAlignment="1">
      <alignment vertical="top"/>
    </xf>
    <xf numFmtId="0" fontId="2" fillId="13" borderId="57" xfId="0" applyFont="1" applyFill="1" applyBorder="1" applyAlignment="1">
      <alignment vertical="top"/>
    </xf>
    <xf numFmtId="0" fontId="2" fillId="13" borderId="59" xfId="0" applyFont="1" applyFill="1" applyBorder="1" applyAlignment="1">
      <alignment vertical="top"/>
    </xf>
    <xf numFmtId="0" fontId="2" fillId="0" borderId="0" xfId="0" applyFont="1" applyAlignment="1">
      <alignment vertical="top"/>
    </xf>
    <xf numFmtId="0" fontId="2" fillId="14" borderId="76" xfId="0" applyFont="1" applyFill="1" applyBorder="1" applyAlignment="1">
      <alignment vertical="center"/>
    </xf>
    <xf numFmtId="0" fontId="2" fillId="14" borderId="52" xfId="0" applyFont="1" applyFill="1" applyBorder="1" applyAlignment="1">
      <alignment vertical="center"/>
    </xf>
    <xf numFmtId="164" fontId="40" fillId="18" borderId="10" xfId="0" applyNumberFormat="1" applyFont="1" applyFill="1" applyBorder="1" applyAlignment="1">
      <alignment horizontal="right" vertical="center"/>
    </xf>
    <xf numFmtId="0" fontId="48" fillId="13" borderId="0" xfId="0" quotePrefix="1" applyFont="1" applyFill="1" applyAlignment="1">
      <alignment horizontal="right" vertical="top" wrapText="1"/>
    </xf>
    <xf numFmtId="0" fontId="6" fillId="14" borderId="13" xfId="0" applyFont="1" applyFill="1" applyBorder="1" applyAlignment="1">
      <alignment horizontal="center" vertical="center"/>
    </xf>
    <xf numFmtId="0" fontId="6" fillId="14" borderId="0" xfId="0" applyFont="1" applyFill="1" applyAlignment="1">
      <alignment horizontal="right" vertical="center"/>
    </xf>
    <xf numFmtId="0" fontId="62" fillId="17" borderId="0" xfId="0" applyFont="1" applyFill="1"/>
    <xf numFmtId="0" fontId="2" fillId="0" borderId="13" xfId="0" applyFont="1" applyBorder="1" applyAlignment="1">
      <alignment horizontal="center" vertical="center"/>
    </xf>
    <xf numFmtId="0" fontId="2" fillId="0" borderId="13" xfId="0" applyFont="1" applyBorder="1"/>
    <xf numFmtId="0" fontId="2" fillId="0" borderId="28" xfId="0" applyFont="1" applyBorder="1"/>
    <xf numFmtId="0" fontId="6" fillId="0" borderId="47" xfId="0" applyFont="1" applyBorder="1"/>
    <xf numFmtId="0" fontId="6" fillId="0" borderId="48" xfId="0" applyFont="1" applyBorder="1"/>
    <xf numFmtId="0" fontId="4" fillId="0" borderId="28" xfId="0" applyFont="1" applyBorder="1"/>
    <xf numFmtId="0" fontId="2" fillId="0" borderId="0" xfId="0" applyFont="1" applyAlignment="1">
      <alignment horizontal="right"/>
    </xf>
    <xf numFmtId="0" fontId="2" fillId="0" borderId="10" xfId="0" applyFont="1" applyBorder="1"/>
    <xf numFmtId="0" fontId="31" fillId="18" borderId="10" xfId="0" applyFont="1" applyFill="1" applyBorder="1" applyAlignment="1">
      <alignment horizontal="center" vertical="center"/>
    </xf>
    <xf numFmtId="0" fontId="86" fillId="0" borderId="0" xfId="0" applyFont="1"/>
    <xf numFmtId="0" fontId="65" fillId="0" borderId="0" xfId="0" applyFont="1" applyAlignment="1">
      <alignment vertical="center"/>
    </xf>
    <xf numFmtId="0" fontId="2" fillId="13" borderId="72" xfId="0" applyFont="1" applyFill="1" applyBorder="1"/>
    <xf numFmtId="0" fontId="67" fillId="0" borderId="0" xfId="0" applyFont="1" applyAlignment="1">
      <alignment vertical="center"/>
    </xf>
    <xf numFmtId="0" fontId="31" fillId="0" borderId="0" xfId="0" applyFont="1"/>
    <xf numFmtId="0" fontId="24" fillId="13" borderId="84" xfId="0" applyFont="1" applyFill="1" applyBorder="1" applyAlignment="1">
      <alignment horizontal="center"/>
    </xf>
    <xf numFmtId="0" fontId="24" fillId="13" borderId="74" xfId="0" applyFont="1" applyFill="1" applyBorder="1" applyAlignment="1">
      <alignment horizontal="center"/>
    </xf>
    <xf numFmtId="0" fontId="24" fillId="13" borderId="76" xfId="0" applyFont="1" applyFill="1" applyBorder="1" applyAlignment="1">
      <alignment horizontal="center"/>
    </xf>
    <xf numFmtId="0" fontId="33" fillId="13" borderId="85" xfId="0" applyFont="1" applyFill="1" applyBorder="1" applyAlignment="1">
      <alignment horizontal="center"/>
    </xf>
    <xf numFmtId="0" fontId="33" fillId="13" borderId="28" xfId="0" applyFont="1" applyFill="1" applyBorder="1" applyAlignment="1">
      <alignment horizontal="center" vertical="top" wrapText="1"/>
    </xf>
    <xf numFmtId="0" fontId="33" fillId="13" borderId="28" xfId="0" applyFont="1" applyFill="1" applyBorder="1" applyAlignment="1">
      <alignment horizontal="center"/>
    </xf>
    <xf numFmtId="0" fontId="33" fillId="13" borderId="86" xfId="0" applyFont="1" applyFill="1" applyBorder="1" applyAlignment="1">
      <alignment horizontal="center"/>
    </xf>
    <xf numFmtId="0" fontId="33" fillId="13" borderId="87" xfId="0" applyFont="1" applyFill="1" applyBorder="1" applyAlignment="1">
      <alignment horizontal="center"/>
    </xf>
    <xf numFmtId="0" fontId="33" fillId="13" borderId="79" xfId="0" applyFont="1" applyFill="1" applyBorder="1" applyAlignment="1">
      <alignment horizontal="center"/>
    </xf>
    <xf numFmtId="0" fontId="24" fillId="13" borderId="29" xfId="0" applyFont="1" applyFill="1" applyBorder="1" applyAlignment="1">
      <alignment horizontal="left"/>
    </xf>
    <xf numFmtId="0" fontId="33" fillId="13" borderId="18" xfId="0" applyFont="1" applyFill="1" applyBorder="1" applyAlignment="1">
      <alignment horizontal="center"/>
    </xf>
    <xf numFmtId="0" fontId="33" fillId="13" borderId="53" xfId="0" applyFont="1" applyFill="1" applyBorder="1" applyAlignment="1">
      <alignment horizontal="center" wrapText="1"/>
    </xf>
    <xf numFmtId="0" fontId="33" fillId="13" borderId="53" xfId="0" applyFont="1" applyFill="1" applyBorder="1" applyAlignment="1">
      <alignment horizontal="center"/>
    </xf>
    <xf numFmtId="0" fontId="33" fillId="13" borderId="54" xfId="0" applyFont="1" applyFill="1" applyBorder="1" applyAlignment="1">
      <alignment horizontal="center"/>
    </xf>
    <xf numFmtId="0" fontId="24" fillId="13" borderId="32" xfId="0" applyFont="1" applyFill="1" applyBorder="1"/>
    <xf numFmtId="0" fontId="24" fillId="13" borderId="0" xfId="0" applyFont="1" applyFill="1"/>
    <xf numFmtId="0" fontId="33" fillId="13" borderId="52" xfId="0" applyFont="1" applyFill="1" applyBorder="1" applyAlignment="1">
      <alignment horizontal="center"/>
    </xf>
    <xf numFmtId="0" fontId="33" fillId="13" borderId="18" xfId="0" applyFont="1" applyFill="1" applyBorder="1" applyAlignment="1">
      <alignment horizontal="left" vertical="top"/>
    </xf>
    <xf numFmtId="0" fontId="33" fillId="13" borderId="18" xfId="0" applyFont="1" applyFill="1" applyBorder="1"/>
    <xf numFmtId="0" fontId="33" fillId="13" borderId="53" xfId="0" applyFont="1" applyFill="1" applyBorder="1"/>
    <xf numFmtId="0" fontId="33" fillId="13" borderId="54" xfId="0" applyFont="1" applyFill="1" applyBorder="1"/>
    <xf numFmtId="0" fontId="33" fillId="13" borderId="10" xfId="0" applyFont="1" applyFill="1" applyBorder="1"/>
    <xf numFmtId="0" fontId="33" fillId="13" borderId="52" xfId="0" applyFont="1" applyFill="1" applyBorder="1"/>
    <xf numFmtId="0" fontId="2" fillId="25" borderId="88" xfId="0" applyFont="1" applyFill="1" applyBorder="1" applyAlignment="1" applyProtection="1">
      <alignment horizontal="center" vertical="center"/>
      <protection locked="0"/>
    </xf>
    <xf numFmtId="0" fontId="0" fillId="18" borderId="89" xfId="0" applyFill="1" applyBorder="1" applyAlignment="1">
      <alignment horizontal="center" vertical="center" shrinkToFit="1"/>
    </xf>
    <xf numFmtId="0" fontId="0" fillId="26" borderId="90" xfId="0" applyFill="1" applyBorder="1" applyAlignment="1" applyProtection="1">
      <alignment horizontal="center" vertical="center" shrinkToFit="1"/>
      <protection locked="0"/>
    </xf>
    <xf numFmtId="0" fontId="2" fillId="13" borderId="91" xfId="0" applyFont="1" applyFill="1" applyBorder="1" applyAlignment="1">
      <alignment vertical="center"/>
    </xf>
    <xf numFmtId="0" fontId="2" fillId="13" borderId="92" xfId="0" applyFont="1" applyFill="1" applyBorder="1" applyAlignment="1">
      <alignment vertical="center"/>
    </xf>
    <xf numFmtId="0" fontId="2" fillId="15" borderId="45" xfId="0" applyFont="1" applyFill="1" applyBorder="1" applyAlignment="1">
      <alignment horizontal="center" vertical="center"/>
    </xf>
    <xf numFmtId="0" fontId="0" fillId="15" borderId="37" xfId="0" applyFill="1" applyBorder="1" applyAlignment="1">
      <alignment horizontal="center" vertical="center"/>
    </xf>
    <xf numFmtId="0" fontId="2" fillId="15" borderId="46" xfId="0" applyFont="1" applyFill="1" applyBorder="1" applyAlignment="1">
      <alignment horizontal="center" vertical="center"/>
    </xf>
    <xf numFmtId="0" fontId="0" fillId="15" borderId="38" xfId="0" applyFill="1" applyBorder="1" applyAlignment="1">
      <alignment horizontal="center" vertical="center"/>
    </xf>
    <xf numFmtId="0" fontId="2" fillId="15" borderId="62" xfId="0" applyFont="1" applyFill="1" applyBorder="1" applyAlignment="1">
      <alignment horizontal="center" vertical="center"/>
    </xf>
    <xf numFmtId="0" fontId="2" fillId="14" borderId="49" xfId="0" applyFont="1" applyFill="1" applyBorder="1" applyAlignment="1">
      <alignment horizontal="center" vertical="center"/>
    </xf>
    <xf numFmtId="0" fontId="0" fillId="15" borderId="45" xfId="0" applyFill="1" applyBorder="1" applyAlignment="1">
      <alignment vertical="center"/>
    </xf>
    <xf numFmtId="0" fontId="0" fillId="15" borderId="46" xfId="0" applyFill="1" applyBorder="1" applyAlignment="1">
      <alignment vertical="center"/>
    </xf>
    <xf numFmtId="0" fontId="2" fillId="14" borderId="26" xfId="0" applyFont="1" applyFill="1" applyBorder="1" applyAlignment="1">
      <alignment horizontal="center" vertical="center"/>
    </xf>
    <xf numFmtId="0" fontId="2" fillId="14" borderId="38" xfId="0" applyFont="1" applyFill="1" applyBorder="1" applyAlignment="1">
      <alignment vertical="center"/>
    </xf>
    <xf numFmtId="0" fontId="2" fillId="13" borderId="26" xfId="0" applyFont="1" applyFill="1" applyBorder="1" applyAlignment="1">
      <alignment horizontal="center" vertical="center"/>
    </xf>
    <xf numFmtId="0" fontId="2" fillId="13" borderId="39" xfId="0" applyFont="1" applyFill="1" applyBorder="1" applyAlignment="1">
      <alignment horizontal="center" vertical="center"/>
    </xf>
    <xf numFmtId="0" fontId="2" fillId="13" borderId="13" xfId="0" applyFont="1" applyFill="1" applyBorder="1" applyAlignment="1">
      <alignment vertical="center"/>
    </xf>
    <xf numFmtId="0" fontId="2" fillId="13" borderId="87" xfId="0" applyFont="1" applyFill="1" applyBorder="1" applyAlignment="1">
      <alignment vertical="center"/>
    </xf>
    <xf numFmtId="0" fontId="2" fillId="13" borderId="77" xfId="0" applyFont="1" applyFill="1" applyBorder="1" applyAlignment="1">
      <alignment vertical="center"/>
    </xf>
    <xf numFmtId="0" fontId="2" fillId="13" borderId="80" xfId="0" applyFont="1" applyFill="1" applyBorder="1" applyAlignment="1">
      <alignment vertical="center"/>
    </xf>
    <xf numFmtId="0" fontId="2" fillId="15" borderId="25" xfId="0" applyFont="1" applyFill="1" applyBorder="1" applyAlignment="1">
      <alignment horizontal="center" vertical="center"/>
    </xf>
    <xf numFmtId="0" fontId="2" fillId="13" borderId="25" xfId="0" applyFont="1" applyFill="1" applyBorder="1" applyAlignment="1">
      <alignment vertical="center"/>
    </xf>
    <xf numFmtId="0" fontId="2" fillId="13" borderId="44" xfId="0" applyFont="1" applyFill="1" applyBorder="1" applyAlignment="1">
      <alignment vertical="center"/>
    </xf>
    <xf numFmtId="0" fontId="2" fillId="13" borderId="48" xfId="0" applyFont="1" applyFill="1" applyBorder="1" applyAlignment="1">
      <alignment horizontal="center" vertical="center"/>
    </xf>
    <xf numFmtId="0" fontId="2" fillId="13" borderId="49" xfId="0" applyFont="1" applyFill="1" applyBorder="1" applyAlignment="1">
      <alignment horizontal="center" vertical="center"/>
    </xf>
    <xf numFmtId="0" fontId="2" fillId="13" borderId="48" xfId="0" applyFont="1" applyFill="1" applyBorder="1" applyAlignment="1">
      <alignment vertical="center"/>
    </xf>
    <xf numFmtId="0" fontId="2" fillId="13" borderId="49" xfId="0" applyFont="1" applyFill="1" applyBorder="1" applyAlignment="1">
      <alignment vertical="center"/>
    </xf>
    <xf numFmtId="0" fontId="2" fillId="15" borderId="47" xfId="0" applyFont="1" applyFill="1" applyBorder="1" applyAlignment="1">
      <alignment vertical="center"/>
    </xf>
    <xf numFmtId="0" fontId="2" fillId="15" borderId="48" xfId="0" applyFont="1" applyFill="1" applyBorder="1" applyAlignment="1">
      <alignment vertical="center"/>
    </xf>
    <xf numFmtId="0" fontId="2" fillId="15" borderId="49" xfId="0" applyFont="1" applyFill="1" applyBorder="1" applyAlignment="1">
      <alignment vertical="center"/>
    </xf>
    <xf numFmtId="0" fontId="0" fillId="15" borderId="62" xfId="0" applyFill="1" applyBorder="1" applyAlignment="1">
      <alignment vertical="center"/>
    </xf>
    <xf numFmtId="0" fontId="0" fillId="15" borderId="74" xfId="0" applyFill="1" applyBorder="1" applyAlignment="1">
      <alignment horizontal="center" vertical="center"/>
    </xf>
    <xf numFmtId="0" fontId="0" fillId="15" borderId="77" xfId="0" applyFill="1" applyBorder="1" applyAlignment="1">
      <alignment horizontal="center" vertical="center"/>
    </xf>
    <xf numFmtId="0" fontId="2" fillId="15" borderId="49" xfId="0" applyFont="1" applyFill="1" applyBorder="1" applyAlignment="1">
      <alignment horizontal="center" vertical="center"/>
    </xf>
    <xf numFmtId="0" fontId="2" fillId="14" borderId="40" xfId="0" applyFont="1" applyFill="1" applyBorder="1" applyAlignment="1">
      <alignment vertical="center"/>
    </xf>
    <xf numFmtId="0" fontId="0" fillId="13" borderId="51" xfId="0" applyFill="1" applyBorder="1" applyAlignment="1">
      <alignment vertical="center"/>
    </xf>
    <xf numFmtId="0" fontId="2" fillId="13" borderId="93" xfId="0" applyFont="1" applyFill="1" applyBorder="1" applyAlignment="1">
      <alignment vertical="center"/>
    </xf>
    <xf numFmtId="10" fontId="0" fillId="18" borderId="14" xfId="0" applyNumberFormat="1" applyFill="1" applyBorder="1" applyAlignment="1">
      <alignment horizontal="center" vertical="center"/>
    </xf>
    <xf numFmtId="164" fontId="28" fillId="32" borderId="65" xfId="0" applyNumberFormat="1" applyFont="1" applyFill="1" applyBorder="1" applyAlignment="1">
      <alignment horizontal="right" vertical="center"/>
    </xf>
    <xf numFmtId="0" fontId="2" fillId="14" borderId="13" xfId="0" applyFont="1" applyFill="1" applyBorder="1" applyAlignment="1">
      <alignment horizontal="left" vertical="center"/>
    </xf>
    <xf numFmtId="167" fontId="2" fillId="14" borderId="13" xfId="0" applyNumberFormat="1" applyFont="1" applyFill="1" applyBorder="1" applyAlignment="1">
      <alignment horizontal="center" vertical="center"/>
    </xf>
    <xf numFmtId="3" fontId="2" fillId="14" borderId="13" xfId="0" applyNumberFormat="1" applyFont="1" applyFill="1" applyBorder="1" applyAlignment="1">
      <alignment horizontal="center" vertical="center" shrinkToFit="1"/>
    </xf>
    <xf numFmtId="0" fontId="31" fillId="18" borderId="21" xfId="0" applyFont="1" applyFill="1" applyBorder="1" applyAlignment="1">
      <alignment horizontal="center" vertical="center" shrinkToFit="1"/>
    </xf>
    <xf numFmtId="0" fontId="31" fillId="13" borderId="0" xfId="0" applyFont="1" applyFill="1" applyAlignment="1">
      <alignment horizontal="center" vertical="center" shrinkToFit="1"/>
    </xf>
    <xf numFmtId="0" fontId="2" fillId="13" borderId="0" xfId="0" applyFont="1" applyFill="1" applyAlignment="1">
      <alignment vertical="center" shrinkToFit="1"/>
    </xf>
    <xf numFmtId="0" fontId="31" fillId="32" borderId="21" xfId="0" applyFont="1" applyFill="1" applyBorder="1" applyAlignment="1">
      <alignment horizontal="center" vertical="center" shrinkToFit="1"/>
    </xf>
    <xf numFmtId="0" fontId="78" fillId="13" borderId="69" xfId="0" applyFont="1" applyFill="1" applyBorder="1" applyAlignment="1">
      <alignment horizontal="center" vertical="center" wrapText="1"/>
    </xf>
    <xf numFmtId="0" fontId="78" fillId="13" borderId="70" xfId="0" applyFont="1" applyFill="1" applyBorder="1" applyAlignment="1">
      <alignment horizontal="center" vertical="center" wrapText="1"/>
    </xf>
    <xf numFmtId="0" fontId="2" fillId="29" borderId="10" xfId="0" quotePrefix="1" applyFont="1" applyFill="1" applyBorder="1" applyAlignment="1">
      <alignment horizontal="center" vertical="center" shrinkToFit="1"/>
    </xf>
    <xf numFmtId="0" fontId="87" fillId="13" borderId="0" xfId="0" applyFont="1" applyFill="1" applyAlignment="1">
      <alignment vertical="center"/>
    </xf>
    <xf numFmtId="0" fontId="76" fillId="28" borderId="0" xfId="0" applyFont="1" applyFill="1" applyAlignment="1">
      <alignment horizontal="center"/>
    </xf>
    <xf numFmtId="3" fontId="2" fillId="14" borderId="54" xfId="0" applyNumberFormat="1" applyFont="1" applyFill="1" applyBorder="1" applyAlignment="1">
      <alignment vertical="center"/>
    </xf>
    <xf numFmtId="3" fontId="2" fillId="14" borderId="0" xfId="0" applyNumberFormat="1" applyFont="1" applyFill="1" applyAlignment="1">
      <alignment vertical="center"/>
    </xf>
    <xf numFmtId="3" fontId="2" fillId="14" borderId="76" xfId="0" applyNumberFormat="1" applyFont="1" applyFill="1" applyBorder="1" applyAlignment="1">
      <alignment vertical="center"/>
    </xf>
    <xf numFmtId="3" fontId="2" fillId="14" borderId="78" xfId="0" applyNumberFormat="1" applyFont="1" applyFill="1" applyBorder="1" applyAlignment="1">
      <alignment vertical="center"/>
    </xf>
    <xf numFmtId="3" fontId="2" fillId="14" borderId="79" xfId="0" applyNumberFormat="1" applyFont="1" applyFill="1" applyBorder="1" applyAlignment="1">
      <alignment vertical="center"/>
    </xf>
    <xf numFmtId="3" fontId="2" fillId="28" borderId="13" xfId="0" applyNumberFormat="1" applyFont="1" applyFill="1" applyBorder="1" applyAlignment="1">
      <alignment horizontal="center" vertical="center"/>
    </xf>
    <xf numFmtId="4" fontId="2" fillId="28" borderId="13" xfId="0" applyNumberFormat="1" applyFont="1" applyFill="1" applyBorder="1" applyAlignment="1">
      <alignment horizontal="center" vertical="center"/>
    </xf>
    <xf numFmtId="0" fontId="2" fillId="15" borderId="63" xfId="19" applyFill="1" applyBorder="1"/>
    <xf numFmtId="0" fontId="2" fillId="15" borderId="42" xfId="19" applyFill="1" applyBorder="1"/>
    <xf numFmtId="0" fontId="2" fillId="15" borderId="42" xfId="19" applyFill="1" applyBorder="1" applyAlignment="1">
      <alignment horizontal="center"/>
    </xf>
    <xf numFmtId="0" fontId="2" fillId="15" borderId="94" xfId="19" applyFill="1" applyBorder="1"/>
    <xf numFmtId="0" fontId="2" fillId="15" borderId="72" xfId="19" applyFill="1" applyBorder="1"/>
    <xf numFmtId="0" fontId="2" fillId="13" borderId="94" xfId="19" applyFill="1" applyBorder="1"/>
    <xf numFmtId="0" fontId="2" fillId="13" borderId="71" xfId="19" applyFill="1" applyBorder="1"/>
    <xf numFmtId="0" fontId="2" fillId="13" borderId="72" xfId="19" applyFill="1" applyBorder="1"/>
    <xf numFmtId="0" fontId="2" fillId="15" borderId="72" xfId="19" applyFill="1" applyBorder="1" applyAlignment="1">
      <alignment vertical="center"/>
    </xf>
    <xf numFmtId="0" fontId="2" fillId="13" borderId="72" xfId="19" applyFill="1" applyBorder="1" applyAlignment="1">
      <alignment vertical="center"/>
    </xf>
    <xf numFmtId="0" fontId="2" fillId="13" borderId="71" xfId="19" applyFill="1" applyBorder="1" applyAlignment="1">
      <alignment vertical="center"/>
    </xf>
    <xf numFmtId="0" fontId="2" fillId="15" borderId="0" xfId="19" applyFill="1" applyAlignment="1">
      <alignment vertical="top"/>
    </xf>
    <xf numFmtId="0" fontId="2" fillId="15" borderId="0" xfId="19" applyFill="1" applyAlignment="1">
      <alignment vertical="center"/>
    </xf>
    <xf numFmtId="0" fontId="29" fillId="13" borderId="0" xfId="19" applyFont="1" applyFill="1" applyAlignment="1">
      <alignment horizontal="right" vertical="center" indent="1"/>
    </xf>
    <xf numFmtId="0" fontId="2" fillId="15" borderId="72" xfId="19" applyFill="1" applyBorder="1" applyAlignment="1">
      <alignment vertical="top"/>
    </xf>
    <xf numFmtId="0" fontId="2" fillId="13" borderId="72" xfId="19" applyFill="1" applyBorder="1" applyAlignment="1">
      <alignment vertical="top"/>
    </xf>
    <xf numFmtId="0" fontId="2" fillId="13" borderId="0" xfId="19" applyFill="1" applyAlignment="1">
      <alignment horizontal="center" vertical="center"/>
    </xf>
    <xf numFmtId="0" fontId="2" fillId="13" borderId="0" xfId="19" applyFill="1" applyAlignment="1">
      <alignment horizontal="right" vertical="center"/>
    </xf>
    <xf numFmtId="0" fontId="2" fillId="13" borderId="95" xfId="19" applyFill="1" applyBorder="1" applyAlignment="1">
      <alignment vertical="top"/>
    </xf>
    <xf numFmtId="0" fontId="2" fillId="13" borderId="71" xfId="19" applyFill="1" applyBorder="1" applyAlignment="1">
      <alignment vertical="top"/>
    </xf>
    <xf numFmtId="0" fontId="2" fillId="15" borderId="0" xfId="19" applyFill="1"/>
    <xf numFmtId="0" fontId="28" fillId="13" borderId="72" xfId="19" applyFont="1" applyFill="1" applyBorder="1"/>
    <xf numFmtId="0" fontId="2" fillId="13" borderId="0" xfId="19" applyFill="1" applyAlignment="1">
      <alignment vertical="center"/>
    </xf>
    <xf numFmtId="3" fontId="40" fillId="18" borderId="52" xfId="19" applyNumberFormat="1" applyFont="1" applyFill="1" applyBorder="1" applyAlignment="1">
      <alignment horizontal="right" vertical="center" indent="1"/>
    </xf>
    <xf numFmtId="3" fontId="70" fillId="18" borderId="96" xfId="19" applyNumberFormat="1" applyFont="1" applyFill="1" applyBorder="1" applyAlignment="1">
      <alignment horizontal="right" vertical="center" indent="1"/>
    </xf>
    <xf numFmtId="3" fontId="70" fillId="18" borderId="54" xfId="19" applyNumberFormat="1" applyFont="1" applyFill="1" applyBorder="1" applyAlignment="1">
      <alignment horizontal="right" vertical="center" indent="1"/>
    </xf>
    <xf numFmtId="0" fontId="10" fillId="18" borderId="20" xfId="19" applyFont="1" applyFill="1" applyBorder="1" applyAlignment="1">
      <alignment vertical="center"/>
    </xf>
    <xf numFmtId="0" fontId="2" fillId="13" borderId="97" xfId="19" applyFill="1" applyBorder="1"/>
    <xf numFmtId="0" fontId="2" fillId="13" borderId="41" xfId="19" applyFill="1" applyBorder="1"/>
    <xf numFmtId="0" fontId="2" fillId="13" borderId="98" xfId="19" applyFill="1" applyBorder="1"/>
    <xf numFmtId="0" fontId="0" fillId="13" borderId="72" xfId="0" applyFill="1" applyBorder="1" applyAlignment="1">
      <alignment vertical="center"/>
    </xf>
    <xf numFmtId="0" fontId="10" fillId="13" borderId="0" xfId="0" applyFont="1" applyFill="1" applyAlignment="1">
      <alignment horizontal="center" vertical="center" wrapText="1"/>
    </xf>
    <xf numFmtId="0" fontId="10" fillId="13" borderId="0" xfId="0" applyFont="1" applyFill="1" applyAlignment="1">
      <alignment horizontal="left" vertical="center" wrapText="1"/>
    </xf>
    <xf numFmtId="0" fontId="0" fillId="13" borderId="72" xfId="0" applyFill="1" applyBorder="1"/>
    <xf numFmtId="0" fontId="71" fillId="17" borderId="0" xfId="0" applyFont="1" applyFill="1" applyAlignment="1">
      <alignment horizontal="center" vertical="center"/>
    </xf>
    <xf numFmtId="0" fontId="71" fillId="17" borderId="0" xfId="0" applyFont="1" applyFill="1" applyAlignment="1">
      <alignment horizontal="left" vertical="center"/>
    </xf>
    <xf numFmtId="0" fontId="3" fillId="17" borderId="0" xfId="0" applyFont="1" applyFill="1" applyAlignment="1">
      <alignment vertical="center"/>
    </xf>
    <xf numFmtId="0" fontId="2" fillId="13" borderId="72" xfId="0" applyFont="1" applyFill="1" applyBorder="1" applyAlignment="1">
      <alignment vertical="top"/>
    </xf>
    <xf numFmtId="0" fontId="0" fillId="13" borderId="0" xfId="0" applyFill="1" applyAlignment="1">
      <alignment horizontal="center" vertical="center"/>
    </xf>
    <xf numFmtId="0" fontId="88" fillId="13" borderId="71" xfId="0" applyFont="1" applyFill="1" applyBorder="1" applyAlignment="1">
      <alignment vertical="top"/>
    </xf>
    <xf numFmtId="0" fontId="3" fillId="17" borderId="0" xfId="0" applyFont="1" applyFill="1" applyAlignment="1">
      <alignment horizontal="center" vertical="center"/>
    </xf>
    <xf numFmtId="0" fontId="0" fillId="13" borderId="0" xfId="0" applyFill="1" applyAlignment="1">
      <alignment horizontal="right" vertical="center"/>
    </xf>
    <xf numFmtId="0" fontId="74" fillId="13" borderId="0" xfId="0" applyFont="1" applyFill="1" applyAlignment="1">
      <alignment horizontal="right" vertical="center"/>
    </xf>
    <xf numFmtId="0" fontId="2" fillId="25" borderId="13" xfId="0" applyFont="1" applyFill="1" applyBorder="1" applyAlignment="1" applyProtection="1">
      <alignment vertical="top" wrapText="1"/>
      <protection locked="0"/>
    </xf>
    <xf numFmtId="0" fontId="11" fillId="13" borderId="0" xfId="0" applyFont="1" applyFill="1" applyAlignment="1">
      <alignment vertical="top" wrapText="1"/>
    </xf>
    <xf numFmtId="0" fontId="4" fillId="13" borderId="0" xfId="0" applyFont="1" applyFill="1" applyAlignment="1">
      <alignment wrapText="1"/>
    </xf>
    <xf numFmtId="0" fontId="0" fillId="13" borderId="51" xfId="0" applyFill="1" applyBorder="1"/>
    <xf numFmtId="0" fontId="4" fillId="13" borderId="51" xfId="0" applyFont="1" applyFill="1" applyBorder="1" applyAlignment="1">
      <alignment horizontal="left" vertical="top"/>
    </xf>
    <xf numFmtId="0" fontId="4" fillId="13" borderId="51" xfId="0" applyFont="1" applyFill="1" applyBorder="1" applyAlignment="1">
      <alignment vertical="top"/>
    </xf>
    <xf numFmtId="3" fontId="0" fillId="13" borderId="13" xfId="0" applyNumberFormat="1" applyFill="1" applyBorder="1" applyAlignment="1">
      <alignment horizontal="center"/>
    </xf>
    <xf numFmtId="0" fontId="0" fillId="13" borderId="13" xfId="0" applyFill="1" applyBorder="1" applyAlignment="1">
      <alignment horizontal="center"/>
    </xf>
    <xf numFmtId="10" fontId="0" fillId="13" borderId="13" xfId="18" applyNumberFormat="1" applyFont="1" applyFill="1" applyBorder="1" applyAlignment="1" applyProtection="1">
      <alignment horizontal="center"/>
    </xf>
    <xf numFmtId="3" fontId="0" fillId="13" borderId="13" xfId="0" applyNumberFormat="1" applyFill="1" applyBorder="1" applyAlignment="1">
      <alignment horizontal="left"/>
    </xf>
    <xf numFmtId="0" fontId="0" fillId="29" borderId="13" xfId="0" applyFill="1" applyBorder="1" applyAlignment="1">
      <alignment horizontal="center"/>
    </xf>
    <xf numFmtId="0" fontId="2" fillId="15" borderId="63" xfId="0" applyFont="1" applyFill="1" applyBorder="1"/>
    <xf numFmtId="0" fontId="2" fillId="14" borderId="42" xfId="0" applyFont="1" applyFill="1" applyBorder="1" applyAlignment="1">
      <alignment vertical="top"/>
    </xf>
    <xf numFmtId="0" fontId="2" fillId="14" borderId="42" xfId="0" applyFont="1" applyFill="1" applyBorder="1" applyAlignment="1">
      <alignment vertical="center"/>
    </xf>
    <xf numFmtId="0" fontId="2" fillId="14" borderId="42" xfId="0" applyFont="1" applyFill="1" applyBorder="1" applyAlignment="1">
      <alignment horizontal="center" vertical="top"/>
    </xf>
    <xf numFmtId="0" fontId="2" fillId="15" borderId="94" xfId="0" applyFont="1" applyFill="1" applyBorder="1"/>
    <xf numFmtId="0" fontId="2" fillId="15" borderId="72" xfId="0" applyFont="1" applyFill="1" applyBorder="1"/>
    <xf numFmtId="0" fontId="2" fillId="13" borderId="94" xfId="0" applyFont="1" applyFill="1" applyBorder="1"/>
    <xf numFmtId="0" fontId="0" fillId="15" borderId="72" xfId="0" applyFill="1" applyBorder="1"/>
    <xf numFmtId="0" fontId="6" fillId="13" borderId="0" xfId="0" applyFont="1" applyFill="1" applyAlignment="1">
      <alignment vertical="center"/>
    </xf>
    <xf numFmtId="0" fontId="2" fillId="13" borderId="72" xfId="0" applyFont="1" applyFill="1" applyBorder="1" applyAlignment="1">
      <alignment vertical="center"/>
    </xf>
    <xf numFmtId="0" fontId="2" fillId="14" borderId="72" xfId="0" applyFont="1" applyFill="1" applyBorder="1" applyAlignment="1">
      <alignment vertical="top"/>
    </xf>
    <xf numFmtId="0" fontId="39" fillId="13" borderId="0" xfId="0" applyFont="1" applyFill="1" applyAlignment="1">
      <alignment vertical="center" wrapText="1"/>
    </xf>
    <xf numFmtId="0" fontId="38" fillId="13" borderId="71" xfId="0" applyFont="1" applyFill="1" applyBorder="1" applyAlignment="1">
      <alignment vertical="top" wrapText="1"/>
    </xf>
    <xf numFmtId="0" fontId="38" fillId="15" borderId="0" xfId="0" applyFont="1" applyFill="1" applyAlignment="1">
      <alignment wrapText="1"/>
    </xf>
    <xf numFmtId="0" fontId="4" fillId="13" borderId="12" xfId="0" applyFont="1" applyFill="1" applyBorder="1" applyAlignment="1">
      <alignment horizontal="center" wrapText="1"/>
    </xf>
    <xf numFmtId="0" fontId="40" fillId="15" borderId="0" xfId="0" applyFont="1" applyFill="1" applyAlignment="1">
      <alignment horizontal="center" vertical="center"/>
    </xf>
    <xf numFmtId="168" fontId="2" fillId="33" borderId="13" xfId="0" applyNumberFormat="1" applyFont="1" applyFill="1" applyBorder="1" applyAlignment="1" applyProtection="1">
      <alignment horizontal="center" vertical="center"/>
      <protection locked="0"/>
    </xf>
    <xf numFmtId="3" fontId="2" fillId="33" borderId="13" xfId="0" applyNumberFormat="1" applyFont="1" applyFill="1" applyBorder="1" applyAlignment="1" applyProtection="1">
      <alignment horizontal="right" vertical="center"/>
      <protection locked="0"/>
    </xf>
    <xf numFmtId="0" fontId="0" fillId="15" borderId="97" xfId="0" applyFill="1" applyBorder="1"/>
    <xf numFmtId="0" fontId="2" fillId="13" borderId="97" xfId="0" applyFont="1" applyFill="1" applyBorder="1" applyAlignment="1">
      <alignment vertical="top"/>
    </xf>
    <xf numFmtId="0" fontId="2" fillId="13" borderId="41" xfId="0" applyFont="1" applyFill="1" applyBorder="1" applyAlignment="1">
      <alignment vertical="center"/>
    </xf>
    <xf numFmtId="0" fontId="4" fillId="13" borderId="41" xfId="0" applyFont="1" applyFill="1" applyBorder="1" applyAlignment="1">
      <alignment horizontal="center" vertical="top"/>
    </xf>
    <xf numFmtId="0" fontId="4" fillId="13" borderId="41" xfId="0" applyFont="1" applyFill="1" applyBorder="1" applyAlignment="1">
      <alignment vertical="center"/>
    </xf>
    <xf numFmtId="0" fontId="4" fillId="13" borderId="41" xfId="0" applyFont="1" applyFill="1" applyBorder="1" applyAlignment="1">
      <alignment vertical="top" wrapText="1"/>
    </xf>
    <xf numFmtId="0" fontId="0" fillId="13" borderId="41" xfId="0" applyFill="1" applyBorder="1" applyAlignment="1">
      <alignment vertical="top" wrapText="1"/>
    </xf>
    <xf numFmtId="0" fontId="2" fillId="13" borderId="98" xfId="0" applyFont="1" applyFill="1" applyBorder="1" applyAlignment="1">
      <alignment vertical="top"/>
    </xf>
    <xf numFmtId="0" fontId="2" fillId="16" borderId="58" xfId="0" applyFont="1" applyFill="1" applyBorder="1" applyAlignment="1">
      <alignment vertical="top"/>
    </xf>
    <xf numFmtId="0" fontId="0" fillId="28" borderId="47" xfId="0" applyFill="1" applyBorder="1"/>
    <xf numFmtId="0" fontId="0" fillId="28" borderId="48" xfId="0" applyFill="1" applyBorder="1"/>
    <xf numFmtId="0" fontId="0" fillId="28" borderId="49" xfId="0" applyFill="1" applyBorder="1"/>
    <xf numFmtId="0" fontId="2" fillId="29" borderId="0" xfId="0" applyFont="1" applyFill="1"/>
    <xf numFmtId="3" fontId="40" fillId="18" borderId="54" xfId="19" applyNumberFormat="1" applyFont="1" applyFill="1" applyBorder="1" applyAlignment="1">
      <alignment horizontal="right" vertical="center" indent="1"/>
    </xf>
    <xf numFmtId="3" fontId="70" fillId="18" borderId="53" xfId="19" applyNumberFormat="1" applyFont="1" applyFill="1" applyBorder="1" applyAlignment="1">
      <alignment horizontal="right" vertical="center" indent="1"/>
    </xf>
    <xf numFmtId="3" fontId="2" fillId="32" borderId="13" xfId="19" applyNumberFormat="1" applyFill="1" applyBorder="1" applyAlignment="1">
      <alignment horizontal="center"/>
    </xf>
    <xf numFmtId="0" fontId="28" fillId="13" borderId="65" xfId="19" applyFont="1" applyFill="1" applyBorder="1" applyAlignment="1">
      <alignment horizontal="center" wrapText="1"/>
    </xf>
    <xf numFmtId="0" fontId="28" fillId="13" borderId="34" xfId="19" applyFont="1" applyFill="1" applyBorder="1" applyAlignment="1">
      <alignment horizontal="center" wrapText="1"/>
    </xf>
    <xf numFmtId="0" fontId="28" fillId="13" borderId="32" xfId="19" applyFont="1" applyFill="1" applyBorder="1" applyAlignment="1">
      <alignment horizontal="center" wrapText="1"/>
    </xf>
    <xf numFmtId="0" fontId="2" fillId="29" borderId="0" xfId="19" applyFill="1"/>
    <xf numFmtId="0" fontId="2" fillId="29" borderId="0" xfId="19" applyFill="1" applyAlignment="1">
      <alignment vertical="center"/>
    </xf>
    <xf numFmtId="0" fontId="2" fillId="29" borderId="0" xfId="19" applyFill="1" applyAlignment="1">
      <alignment vertical="top"/>
    </xf>
    <xf numFmtId="0" fontId="4" fillId="13" borderId="32" xfId="19" applyFont="1" applyFill="1" applyBorder="1" applyAlignment="1">
      <alignment horizontal="center" wrapText="1"/>
    </xf>
    <xf numFmtId="0" fontId="4" fillId="13" borderId="99" xfId="19" applyFont="1" applyFill="1" applyBorder="1" applyAlignment="1">
      <alignment horizontal="center" wrapText="1"/>
    </xf>
    <xf numFmtId="0" fontId="28" fillId="13" borderId="100" xfId="19" applyFont="1" applyFill="1" applyBorder="1" applyAlignment="1">
      <alignment horizontal="center" wrapText="1"/>
    </xf>
    <xf numFmtId="0" fontId="28" fillId="13" borderId="31" xfId="19" applyFont="1" applyFill="1" applyBorder="1" applyAlignment="1">
      <alignment horizontal="center" wrapText="1"/>
    </xf>
    <xf numFmtId="0" fontId="2" fillId="13" borderId="101" xfId="19" applyFill="1" applyBorder="1" applyAlignment="1">
      <alignment horizontal="center" wrapText="1"/>
    </xf>
    <xf numFmtId="0" fontId="2" fillId="13" borderId="102" xfId="19" applyFill="1" applyBorder="1" applyAlignment="1">
      <alignment horizontal="center" wrapText="1"/>
    </xf>
    <xf numFmtId="0" fontId="2" fillId="13" borderId="99" xfId="19" applyFill="1" applyBorder="1" applyAlignment="1">
      <alignment horizontal="center" wrapText="1"/>
    </xf>
    <xf numFmtId="0" fontId="2" fillId="13" borderId="33" xfId="19" applyFill="1" applyBorder="1"/>
    <xf numFmtId="0" fontId="4" fillId="13" borderId="31" xfId="19" applyFont="1" applyFill="1" applyBorder="1" applyAlignment="1">
      <alignment horizontal="center" wrapText="1"/>
    </xf>
    <xf numFmtId="0" fontId="2" fillId="13" borderId="103" xfId="19" applyFill="1" applyBorder="1"/>
    <xf numFmtId="0" fontId="4" fillId="13" borderId="102" xfId="19" applyFont="1" applyFill="1" applyBorder="1" applyAlignment="1">
      <alignment horizontal="center" wrapText="1"/>
    </xf>
    <xf numFmtId="169" fontId="2" fillId="25" borderId="15" xfId="0" applyNumberFormat="1" applyFont="1" applyFill="1" applyBorder="1" applyAlignment="1" applyProtection="1">
      <alignment horizontal="center" vertical="center"/>
      <protection locked="0"/>
    </xf>
    <xf numFmtId="169" fontId="2" fillId="32" borderId="13" xfId="18" applyNumberFormat="1" applyFill="1" applyBorder="1" applyAlignment="1" applyProtection="1">
      <alignment horizontal="center"/>
    </xf>
    <xf numFmtId="169" fontId="0" fillId="13" borderId="13" xfId="18" applyNumberFormat="1" applyFont="1" applyFill="1" applyBorder="1" applyAlignment="1" applyProtection="1">
      <alignment horizontal="center"/>
    </xf>
    <xf numFmtId="0" fontId="2" fillId="28" borderId="48" xfId="0" applyFont="1" applyFill="1" applyBorder="1" applyAlignment="1">
      <alignment horizontal="center" vertical="center"/>
    </xf>
    <xf numFmtId="0" fontId="2" fillId="28" borderId="0" xfId="0" applyFont="1" applyFill="1" applyAlignment="1">
      <alignment horizontal="left" vertical="center"/>
    </xf>
    <xf numFmtId="0" fontId="30" fillId="28" borderId="0" xfId="0" applyFont="1" applyFill="1" applyAlignment="1">
      <alignment vertical="center"/>
    </xf>
    <xf numFmtId="0" fontId="0" fillId="29" borderId="13" xfId="0" applyFill="1" applyBorder="1" applyAlignment="1">
      <alignment horizontal="left"/>
    </xf>
    <xf numFmtId="0" fontId="85" fillId="13" borderId="0" xfId="0" applyFont="1" applyFill="1" applyAlignment="1">
      <alignment horizontal="center" vertical="top" wrapText="1"/>
    </xf>
    <xf numFmtId="0" fontId="2" fillId="29" borderId="0" xfId="0" applyFont="1" applyFill="1" applyAlignment="1">
      <alignment vertical="top"/>
    </xf>
    <xf numFmtId="0" fontId="2" fillId="13" borderId="0" xfId="0" applyFont="1" applyFill="1" applyAlignment="1">
      <alignment horizontal="left"/>
    </xf>
    <xf numFmtId="0" fontId="2" fillId="13" borderId="0" xfId="0" applyFont="1" applyFill="1" applyAlignment="1">
      <alignment horizontal="left" vertical="top" shrinkToFit="1"/>
    </xf>
    <xf numFmtId="0" fontId="2" fillId="13" borderId="0" xfId="0" applyFont="1" applyFill="1" applyAlignment="1">
      <alignment horizontal="center" vertical="top" wrapText="1" shrinkToFit="1"/>
    </xf>
    <xf numFmtId="0" fontId="6" fillId="13" borderId="0" xfId="0" applyFont="1" applyFill="1" applyAlignment="1">
      <alignment horizontal="left" vertical="top" wrapText="1"/>
    </xf>
    <xf numFmtId="0" fontId="77" fillId="28" borderId="27" xfId="0" applyFont="1" applyFill="1" applyBorder="1" applyAlignment="1">
      <alignment vertical="center"/>
    </xf>
    <xf numFmtId="0" fontId="85" fillId="29" borderId="0" xfId="0" applyFont="1" applyFill="1" applyAlignment="1">
      <alignment vertical="center"/>
    </xf>
    <xf numFmtId="0" fontId="0" fillId="29" borderId="65" xfId="0" applyFill="1" applyBorder="1"/>
    <xf numFmtId="0" fontId="31" fillId="18" borderId="104" xfId="0" applyFont="1" applyFill="1" applyBorder="1" applyAlignment="1">
      <alignment horizontal="center" vertical="center" shrinkToFit="1"/>
    </xf>
    <xf numFmtId="0" fontId="2" fillId="25" borderId="93" xfId="0" applyFont="1" applyFill="1" applyBorder="1" applyAlignment="1" applyProtection="1">
      <alignment horizontal="center" vertical="center"/>
      <protection locked="0"/>
    </xf>
    <xf numFmtId="0" fontId="0" fillId="18" borderId="92" xfId="0" applyFill="1" applyBorder="1" applyAlignment="1">
      <alignment horizontal="center" vertical="center" shrinkToFit="1"/>
    </xf>
    <xf numFmtId="0" fontId="2" fillId="18" borderId="93" xfId="0" applyFont="1" applyFill="1" applyBorder="1" applyAlignment="1">
      <alignment horizontal="center" vertical="center" shrinkToFit="1"/>
    </xf>
    <xf numFmtId="10" fontId="2" fillId="25" borderId="22" xfId="0" applyNumberFormat="1" applyFont="1" applyFill="1" applyBorder="1" applyAlignment="1" applyProtection="1">
      <alignment horizontal="center" vertical="center"/>
      <protection locked="0"/>
    </xf>
    <xf numFmtId="0" fontId="2" fillId="25" borderId="105" xfId="0" applyFont="1" applyFill="1" applyBorder="1" applyAlignment="1" applyProtection="1">
      <alignment horizontal="center" vertical="center"/>
      <protection locked="0"/>
    </xf>
    <xf numFmtId="0" fontId="2" fillId="18" borderId="105" xfId="0" applyFont="1" applyFill="1" applyBorder="1" applyAlignment="1">
      <alignment horizontal="center" vertical="center" shrinkToFit="1"/>
    </xf>
    <xf numFmtId="10" fontId="2" fillId="25" borderId="24" xfId="0" applyNumberFormat="1" applyFont="1" applyFill="1" applyBorder="1" applyAlignment="1" applyProtection="1">
      <alignment horizontal="center" vertical="center"/>
      <protection locked="0"/>
    </xf>
    <xf numFmtId="0" fontId="0" fillId="26" borderId="106" xfId="0" applyFill="1" applyBorder="1" applyAlignment="1" applyProtection="1">
      <alignment horizontal="center" vertical="center" shrinkToFit="1"/>
      <protection locked="0"/>
    </xf>
    <xf numFmtId="167" fontId="0" fillId="18" borderId="107" xfId="0" applyNumberFormat="1" applyFill="1" applyBorder="1" applyAlignment="1">
      <alignment horizontal="center" vertical="center"/>
    </xf>
    <xf numFmtId="167" fontId="0" fillId="25" borderId="108" xfId="0" applyNumberFormat="1" applyFill="1" applyBorder="1" applyAlignment="1" applyProtection="1">
      <alignment horizontal="center" vertical="center"/>
      <protection locked="0"/>
    </xf>
    <xf numFmtId="167" fontId="0" fillId="18" borderId="21" xfId="0" applyNumberFormat="1" applyFill="1" applyBorder="1" applyAlignment="1">
      <alignment horizontal="center" vertical="center"/>
    </xf>
    <xf numFmtId="10" fontId="0" fillId="18" borderId="21" xfId="0" applyNumberFormat="1" applyFill="1" applyBorder="1" applyAlignment="1">
      <alignment horizontal="center" vertical="center"/>
    </xf>
    <xf numFmtId="10" fontId="0" fillId="18" borderId="23" xfId="0" applyNumberFormat="1" applyFill="1" applyBorder="1" applyAlignment="1">
      <alignment horizontal="center" vertical="center"/>
    </xf>
    <xf numFmtId="0" fontId="8" fillId="28" borderId="0" xfId="14" applyFill="1" applyAlignment="1" applyProtection="1"/>
    <xf numFmtId="0" fontId="6" fillId="32" borderId="13" xfId="19" applyFont="1" applyFill="1" applyBorder="1"/>
    <xf numFmtId="0" fontId="6" fillId="32" borderId="13" xfId="19" applyFont="1" applyFill="1" applyBorder="1" applyAlignment="1">
      <alignment horizontal="center"/>
    </xf>
    <xf numFmtId="3" fontId="6" fillId="32" borderId="13" xfId="19" applyNumberFormat="1" applyFont="1" applyFill="1" applyBorder="1" applyAlignment="1">
      <alignment horizontal="center"/>
    </xf>
    <xf numFmtId="0" fontId="75" fillId="13" borderId="32" xfId="19" applyFont="1" applyFill="1" applyBorder="1" applyAlignment="1">
      <alignment horizontal="center" wrapText="1"/>
    </xf>
    <xf numFmtId="0" fontId="5" fillId="13" borderId="0" xfId="0" applyFont="1" applyFill="1" applyAlignment="1">
      <alignment horizontal="right" vertical="top" wrapText="1"/>
    </xf>
    <xf numFmtId="0" fontId="6" fillId="34" borderId="13" xfId="0" applyFont="1" applyFill="1" applyBorder="1" applyAlignment="1" applyProtection="1">
      <alignment horizontal="left" vertical="top"/>
      <protection locked="0"/>
    </xf>
    <xf numFmtId="0" fontId="6" fillId="34" borderId="13" xfId="0" applyFont="1" applyFill="1" applyBorder="1" applyAlignment="1" applyProtection="1">
      <alignment horizontal="center" vertical="top"/>
      <protection locked="0"/>
    </xf>
    <xf numFmtId="0" fontId="7" fillId="13" borderId="13" xfId="0" applyFont="1" applyFill="1" applyBorder="1" applyAlignment="1">
      <alignment vertical="top"/>
    </xf>
    <xf numFmtId="0" fontId="78" fillId="29" borderId="69" xfId="0" applyFont="1" applyFill="1" applyBorder="1" applyAlignment="1">
      <alignment horizontal="center"/>
    </xf>
    <xf numFmtId="3" fontId="78" fillId="29" borderId="69" xfId="0" applyNumberFormat="1" applyFont="1" applyFill="1" applyBorder="1" applyAlignment="1">
      <alignment horizontal="center" vertical="top"/>
    </xf>
    <xf numFmtId="3" fontId="78" fillId="29" borderId="70" xfId="0" applyNumberFormat="1" applyFont="1" applyFill="1" applyBorder="1" applyAlignment="1">
      <alignment horizontal="center" vertical="top"/>
    </xf>
    <xf numFmtId="0" fontId="6" fillId="34" borderId="13" xfId="0" applyFont="1" applyFill="1" applyBorder="1" applyAlignment="1" applyProtection="1">
      <alignment vertical="top"/>
      <protection locked="0"/>
    </xf>
    <xf numFmtId="0" fontId="6" fillId="32" borderId="13" xfId="0" applyFont="1" applyFill="1" applyBorder="1" applyAlignment="1">
      <alignment horizontal="center"/>
    </xf>
    <xf numFmtId="3" fontId="6" fillId="34" borderId="13" xfId="0" applyNumberFormat="1" applyFont="1" applyFill="1" applyBorder="1" applyAlignment="1" applyProtection="1">
      <alignment horizontal="center" vertical="top"/>
      <protection locked="0"/>
    </xf>
    <xf numFmtId="3" fontId="6" fillId="32" borderId="13" xfId="0" applyNumberFormat="1" applyFont="1" applyFill="1" applyBorder="1" applyAlignment="1">
      <alignment horizontal="center" vertical="top"/>
    </xf>
    <xf numFmtId="0" fontId="89" fillId="13" borderId="0" xfId="0" applyFont="1" applyFill="1" applyAlignment="1">
      <alignment horizontal="right" vertical="center"/>
    </xf>
    <xf numFmtId="0" fontId="78" fillId="13" borderId="8" xfId="0" applyFont="1" applyFill="1" applyBorder="1" applyAlignment="1">
      <alignment horizontal="center" vertical="center" wrapText="1"/>
    </xf>
    <xf numFmtId="0" fontId="48" fillId="13" borderId="0" xfId="0" applyFont="1" applyFill="1" applyAlignment="1">
      <alignment horizontal="right" vertical="top" wrapText="1"/>
    </xf>
    <xf numFmtId="0" fontId="6" fillId="32" borderId="25" xfId="19" applyFont="1" applyFill="1" applyBorder="1"/>
    <xf numFmtId="0" fontId="24" fillId="13" borderId="71" xfId="0" applyFont="1" applyFill="1" applyBorder="1" applyAlignment="1">
      <alignment vertical="top" wrapText="1"/>
    </xf>
    <xf numFmtId="0" fontId="24" fillId="13" borderId="109" xfId="0" applyFont="1" applyFill="1" applyBorder="1" applyAlignment="1">
      <alignment vertical="top" wrapText="1"/>
    </xf>
    <xf numFmtId="0" fontId="33" fillId="13" borderId="19" xfId="0" applyFont="1" applyFill="1" applyBorder="1"/>
    <xf numFmtId="0" fontId="24" fillId="13" borderId="64" xfId="0" applyFont="1" applyFill="1" applyBorder="1" applyAlignment="1">
      <alignment horizontal="left"/>
    </xf>
    <xf numFmtId="0" fontId="6" fillId="0" borderId="49" xfId="0" applyFont="1" applyBorder="1"/>
    <xf numFmtId="0" fontId="0" fillId="28" borderId="0" xfId="0" applyFill="1" applyAlignment="1">
      <alignment horizontal="center"/>
    </xf>
    <xf numFmtId="0" fontId="0" fillId="28" borderId="13" xfId="0" applyFill="1" applyBorder="1" applyAlignment="1">
      <alignment horizontal="center"/>
    </xf>
    <xf numFmtId="0" fontId="90" fillId="0" borderId="69" xfId="0" applyFont="1" applyBorder="1" applyAlignment="1">
      <alignment vertical="top" wrapText="1"/>
    </xf>
    <xf numFmtId="0" fontId="90" fillId="0" borderId="8" xfId="0" applyFont="1" applyBorder="1" applyAlignment="1">
      <alignment vertical="top" wrapText="1"/>
    </xf>
    <xf numFmtId="0" fontId="90" fillId="0" borderId="70" xfId="0" applyFont="1" applyBorder="1" applyAlignment="1">
      <alignment vertical="top" wrapText="1"/>
    </xf>
    <xf numFmtId="0" fontId="86" fillId="32" borderId="13" xfId="0" applyFont="1" applyFill="1" applyBorder="1" applyAlignment="1">
      <alignment horizontal="center" vertical="top" wrapText="1"/>
    </xf>
    <xf numFmtId="0" fontId="77" fillId="28" borderId="34" xfId="0" applyFont="1" applyFill="1" applyBorder="1" applyAlignment="1">
      <alignment horizontal="center" vertical="center"/>
    </xf>
    <xf numFmtId="0" fontId="77" fillId="28" borderId="12" xfId="0" applyFont="1" applyFill="1" applyBorder="1" applyAlignment="1">
      <alignment horizontal="center" vertical="center"/>
    </xf>
    <xf numFmtId="0" fontId="77" fillId="28" borderId="35" xfId="0" applyFont="1" applyFill="1" applyBorder="1" applyAlignment="1">
      <alignment horizontal="center" vertical="center"/>
    </xf>
    <xf numFmtId="3" fontId="0" fillId="28" borderId="13" xfId="0" applyNumberFormat="1" applyFill="1" applyBorder="1"/>
    <xf numFmtId="0" fontId="75" fillId="13" borderId="35" xfId="19" applyFont="1" applyFill="1" applyBorder="1" applyAlignment="1">
      <alignment horizontal="left" wrapText="1"/>
    </xf>
    <xf numFmtId="0" fontId="75" fillId="13" borderId="31" xfId="19" applyFont="1" applyFill="1" applyBorder="1" applyAlignment="1">
      <alignment horizontal="center" wrapText="1"/>
    </xf>
    <xf numFmtId="0" fontId="75" fillId="13" borderId="34" xfId="19" applyFont="1" applyFill="1" applyBorder="1" applyAlignment="1">
      <alignment horizontal="center" wrapText="1"/>
    </xf>
    <xf numFmtId="0" fontId="75" fillId="13" borderId="65" xfId="19" applyFont="1" applyFill="1" applyBorder="1" applyAlignment="1">
      <alignment horizontal="center" wrapText="1"/>
    </xf>
    <xf numFmtId="0" fontId="75" fillId="13" borderId="65" xfId="19" applyFont="1" applyFill="1" applyBorder="1" applyAlignment="1">
      <alignment horizontal="left" wrapText="1"/>
    </xf>
    <xf numFmtId="0" fontId="78" fillId="29" borderId="70" xfId="0" applyFont="1" applyFill="1" applyBorder="1" applyAlignment="1">
      <alignment horizontal="left" vertical="top"/>
    </xf>
    <xf numFmtId="0" fontId="78" fillId="29" borderId="70" xfId="0" applyFont="1" applyFill="1" applyBorder="1" applyAlignment="1">
      <alignment horizontal="center" vertical="top"/>
    </xf>
    <xf numFmtId="0" fontId="78" fillId="29" borderId="69" xfId="0" applyFont="1" applyFill="1" applyBorder="1" applyAlignment="1">
      <alignment vertical="top"/>
    </xf>
    <xf numFmtId="0" fontId="33" fillId="33" borderId="46" xfId="0" applyFont="1" applyFill="1" applyBorder="1" applyAlignment="1" applyProtection="1">
      <alignment horizontal="left" vertical="top"/>
      <protection locked="0"/>
    </xf>
    <xf numFmtId="0" fontId="0" fillId="28" borderId="38" xfId="0" applyFill="1" applyBorder="1" applyAlignment="1">
      <alignment horizontal="center" vertical="center"/>
    </xf>
    <xf numFmtId="0" fontId="0" fillId="28" borderId="40" xfId="0" applyFill="1" applyBorder="1" applyAlignment="1">
      <alignment horizontal="center" vertical="center"/>
    </xf>
    <xf numFmtId="0" fontId="33" fillId="32" borderId="74" xfId="0" applyFont="1" applyFill="1" applyBorder="1" applyAlignment="1">
      <alignment horizontal="left" vertical="top"/>
    </xf>
    <xf numFmtId="0" fontId="33" fillId="32" borderId="75" xfId="0" applyFont="1" applyFill="1" applyBorder="1" applyAlignment="1">
      <alignment horizontal="left" vertical="top"/>
    </xf>
    <xf numFmtId="0" fontId="2" fillId="32" borderId="75" xfId="0" applyFont="1" applyFill="1" applyBorder="1" applyAlignment="1">
      <alignment vertical="center"/>
    </xf>
    <xf numFmtId="0" fontId="0" fillId="32" borderId="75" xfId="0" applyFill="1" applyBorder="1"/>
    <xf numFmtId="0" fontId="0" fillId="32" borderId="76" xfId="0" applyFill="1" applyBorder="1"/>
    <xf numFmtId="0" fontId="2" fillId="32" borderId="77" xfId="0" applyFont="1" applyFill="1" applyBorder="1" applyAlignment="1">
      <alignment vertical="center"/>
    </xf>
    <xf numFmtId="0" fontId="2" fillId="32" borderId="13" xfId="0" applyFont="1" applyFill="1" applyBorder="1" applyAlignment="1">
      <alignment vertical="center"/>
    </xf>
    <xf numFmtId="0" fontId="2" fillId="32" borderId="13" xfId="0" applyFont="1" applyFill="1" applyBorder="1" applyAlignment="1">
      <alignment horizontal="left" vertical="center"/>
    </xf>
    <xf numFmtId="0" fontId="2" fillId="32" borderId="78" xfId="0" applyFont="1" applyFill="1" applyBorder="1" applyAlignment="1">
      <alignment vertical="center"/>
    </xf>
    <xf numFmtId="0" fontId="2" fillId="32" borderId="80" xfId="0" applyFont="1" applyFill="1" applyBorder="1"/>
    <xf numFmtId="0" fontId="2" fillId="32" borderId="87" xfId="0" applyFont="1" applyFill="1" applyBorder="1"/>
    <xf numFmtId="0" fontId="0" fillId="32" borderId="87" xfId="0" applyFill="1" applyBorder="1"/>
    <xf numFmtId="0" fontId="0" fillId="32" borderId="79" xfId="0" applyFill="1" applyBorder="1"/>
    <xf numFmtId="3" fontId="6" fillId="33" borderId="13" xfId="0" applyNumberFormat="1" applyFont="1" applyFill="1" applyBorder="1" applyAlignment="1" applyProtection="1">
      <alignment horizontal="left" vertical="top"/>
      <protection locked="0"/>
    </xf>
    <xf numFmtId="0" fontId="6" fillId="13" borderId="0" xfId="0" applyFont="1" applyFill="1" applyAlignment="1">
      <alignment vertical="top"/>
    </xf>
    <xf numFmtId="0" fontId="4" fillId="28" borderId="0" xfId="0" applyFont="1" applyFill="1" applyAlignment="1">
      <alignment vertical="center" wrapText="1"/>
    </xf>
    <xf numFmtId="0" fontId="35" fillId="29" borderId="0" xfId="0" applyFont="1" applyFill="1" applyAlignment="1">
      <alignment vertical="center" wrapText="1"/>
    </xf>
    <xf numFmtId="0" fontId="2" fillId="28" borderId="13" xfId="0" applyFont="1" applyFill="1" applyBorder="1"/>
    <xf numFmtId="0" fontId="0" fillId="28" borderId="13" xfId="0" applyFill="1" applyBorder="1" applyAlignment="1">
      <alignment vertical="center"/>
    </xf>
    <xf numFmtId="0" fontId="2" fillId="14" borderId="0" xfId="0" applyFont="1" applyFill="1" applyAlignment="1">
      <alignment vertical="top" wrapText="1"/>
    </xf>
    <xf numFmtId="0" fontId="84" fillId="29" borderId="0" xfId="0" applyFont="1" applyFill="1"/>
    <xf numFmtId="0" fontId="90" fillId="29" borderId="0" xfId="0" applyFont="1" applyFill="1" applyAlignment="1">
      <alignment horizontal="left" vertical="top"/>
    </xf>
    <xf numFmtId="0" fontId="90" fillId="29" borderId="0" xfId="0" applyFont="1" applyFill="1" applyAlignment="1">
      <alignment vertical="top"/>
    </xf>
    <xf numFmtId="0" fontId="6" fillId="13" borderId="0" xfId="0" applyFont="1" applyFill="1" applyAlignment="1">
      <alignment horizontal="right" vertical="top"/>
    </xf>
    <xf numFmtId="0" fontId="6" fillId="13" borderId="0" xfId="0" applyFont="1" applyFill="1" applyAlignment="1">
      <alignment horizontal="right" vertical="center"/>
    </xf>
    <xf numFmtId="0" fontId="6" fillId="32" borderId="0" xfId="0" applyFont="1" applyFill="1" applyAlignment="1">
      <alignment horizontal="center" vertical="center"/>
    </xf>
    <xf numFmtId="0" fontId="0" fillId="29" borderId="0" xfId="0" applyFill="1" applyAlignment="1">
      <alignment wrapText="1"/>
    </xf>
    <xf numFmtId="0" fontId="6" fillId="32" borderId="13" xfId="0" applyFont="1" applyFill="1" applyBorder="1" applyAlignment="1">
      <alignment vertical="top"/>
    </xf>
    <xf numFmtId="0" fontId="78" fillId="29" borderId="69" xfId="0" applyFont="1" applyFill="1" applyBorder="1" applyAlignment="1">
      <alignment horizontal="left" vertical="top"/>
    </xf>
    <xf numFmtId="0" fontId="78" fillId="29" borderId="70" xfId="0" applyFont="1" applyFill="1" applyBorder="1" applyAlignment="1">
      <alignment vertical="top"/>
    </xf>
    <xf numFmtId="0" fontId="26" fillId="29" borderId="0" xfId="0" applyFont="1" applyFill="1" applyAlignment="1">
      <alignment horizontal="left" vertical="center"/>
    </xf>
    <xf numFmtId="0" fontId="0" fillId="0" borderId="0" xfId="0" quotePrefix="1"/>
    <xf numFmtId="0" fontId="85" fillId="13" borderId="0" xfId="0" applyFont="1" applyFill="1" applyAlignment="1">
      <alignment horizontal="left" vertical="top" wrapText="1"/>
    </xf>
    <xf numFmtId="0" fontId="51" fillId="29" borderId="0" xfId="0" applyFont="1" applyFill="1" applyAlignment="1">
      <alignment horizontal="left" vertical="top" wrapText="1"/>
    </xf>
    <xf numFmtId="0" fontId="34" fillId="20" borderId="0" xfId="0" applyFont="1" applyFill="1" applyAlignment="1">
      <alignment horizontal="left" vertical="top" wrapText="1"/>
    </xf>
    <xf numFmtId="0" fontId="78" fillId="13" borderId="69" xfId="0" applyFont="1" applyFill="1" applyBorder="1" applyAlignment="1">
      <alignment horizontal="left" vertical="top" wrapText="1"/>
    </xf>
    <xf numFmtId="0" fontId="78" fillId="13" borderId="8" xfId="0" applyFont="1" applyFill="1" applyBorder="1" applyAlignment="1">
      <alignment horizontal="left" vertical="top" wrapText="1"/>
    </xf>
    <xf numFmtId="0" fontId="78" fillId="13" borderId="114" xfId="0" applyFont="1" applyFill="1" applyBorder="1" applyAlignment="1">
      <alignment horizontal="left"/>
    </xf>
    <xf numFmtId="0" fontId="78" fillId="13" borderId="70" xfId="0" applyFont="1" applyFill="1" applyBorder="1" applyAlignment="1">
      <alignment horizontal="left" vertical="center" wrapText="1"/>
    </xf>
    <xf numFmtId="0" fontId="78" fillId="13" borderId="111" xfId="0" applyFont="1" applyFill="1" applyBorder="1" applyAlignment="1">
      <alignment horizontal="left"/>
    </xf>
    <xf numFmtId="0" fontId="28" fillId="13" borderId="0" xfId="0" applyFont="1" applyFill="1" applyAlignment="1">
      <alignment horizontal="left" vertical="center"/>
    </xf>
    <xf numFmtId="0" fontId="4" fillId="13" borderId="50" xfId="0" applyFont="1" applyFill="1" applyBorder="1" applyAlignment="1">
      <alignment horizontal="left" vertical="center"/>
    </xf>
    <xf numFmtId="0" fontId="4" fillId="13" borderId="41" xfId="0" applyFont="1" applyFill="1" applyBorder="1" applyAlignment="1">
      <alignment horizontal="left" vertical="center"/>
    </xf>
    <xf numFmtId="0" fontId="4" fillId="13" borderId="83" xfId="0" applyFont="1" applyFill="1" applyBorder="1" applyAlignment="1">
      <alignment horizontal="left" vertical="top"/>
    </xf>
    <xf numFmtId="0" fontId="89" fillId="13" borderId="0" xfId="0" applyFont="1" applyFill="1" applyAlignment="1">
      <alignment horizontal="left" vertical="center"/>
    </xf>
    <xf numFmtId="0" fontId="78" fillId="29" borderId="111" xfId="0" applyFont="1" applyFill="1" applyBorder="1" applyAlignment="1">
      <alignment horizontal="left" vertical="top"/>
    </xf>
    <xf numFmtId="0" fontId="2" fillId="13" borderId="82" xfId="0" applyFont="1" applyFill="1" applyBorder="1" applyAlignment="1">
      <alignment horizontal="left" vertical="top"/>
    </xf>
    <xf numFmtId="0" fontId="93" fillId="13" borderId="29" xfId="0" applyFont="1" applyFill="1" applyBorder="1" applyAlignment="1">
      <alignment horizontal="left" vertical="top" wrapText="1"/>
    </xf>
    <xf numFmtId="0" fontId="93" fillId="13" borderId="64" xfId="0" applyFont="1" applyFill="1" applyBorder="1" applyAlignment="1">
      <alignment horizontal="left" vertical="top" wrapText="1"/>
    </xf>
    <xf numFmtId="0" fontId="90" fillId="13" borderId="34" xfId="0" applyFont="1" applyFill="1" applyBorder="1" applyAlignment="1">
      <alignment horizontal="left" vertical="top" wrapText="1"/>
    </xf>
    <xf numFmtId="0" fontId="90" fillId="13" borderId="12" xfId="0" applyFont="1" applyFill="1" applyBorder="1" applyAlignment="1">
      <alignment horizontal="left" vertical="top" wrapText="1"/>
    </xf>
    <xf numFmtId="0" fontId="6" fillId="13" borderId="0" xfId="0" applyFont="1" applyFill="1" applyAlignment="1">
      <alignment horizontal="left" vertical="center"/>
    </xf>
    <xf numFmtId="0" fontId="4" fillId="20" borderId="63" xfId="19" applyFont="1" applyFill="1" applyBorder="1" applyAlignment="1">
      <alignment horizontal="left" vertical="center" wrapText="1"/>
    </xf>
    <xf numFmtId="0" fontId="3" fillId="17" borderId="0" xfId="19" applyFont="1" applyFill="1" applyAlignment="1">
      <alignment horizontal="left" vertical="center"/>
    </xf>
    <xf numFmtId="0" fontId="29" fillId="13" borderId="0" xfId="19" applyFont="1" applyFill="1" applyAlignment="1">
      <alignment horizontal="left" vertical="center" indent="1"/>
    </xf>
    <xf numFmtId="0" fontId="28" fillId="13" borderId="65" xfId="19" applyFont="1" applyFill="1" applyBorder="1" applyAlignment="1">
      <alignment horizontal="left" wrapText="1"/>
    </xf>
    <xf numFmtId="0" fontId="28" fillId="13" borderId="34" xfId="19" applyFont="1" applyFill="1" applyBorder="1" applyAlignment="1">
      <alignment horizontal="left" wrapText="1"/>
    </xf>
    <xf numFmtId="0" fontId="28" fillId="13" borderId="72" xfId="19" applyFont="1" applyFill="1" applyBorder="1" applyAlignment="1">
      <alignment horizontal="left"/>
    </xf>
    <xf numFmtId="0" fontId="4" fillId="13" borderId="31" xfId="19" applyFont="1" applyFill="1" applyBorder="1" applyAlignment="1">
      <alignment horizontal="left" wrapText="1"/>
    </xf>
    <xf numFmtId="0" fontId="4" fillId="13" borderId="32" xfId="19" applyFont="1" applyFill="1" applyBorder="1" applyAlignment="1">
      <alignment horizontal="left" wrapText="1"/>
    </xf>
    <xf numFmtId="0" fontId="28" fillId="13" borderId="100" xfId="19" applyFont="1" applyFill="1" applyBorder="1" applyAlignment="1">
      <alignment horizontal="left" wrapText="1"/>
    </xf>
    <xf numFmtId="0" fontId="28" fillId="13" borderId="31" xfId="19" applyFont="1" applyFill="1" applyBorder="1" applyAlignment="1">
      <alignment horizontal="left" wrapText="1"/>
    </xf>
    <xf numFmtId="0" fontId="28" fillId="13" borderId="32" xfId="19" applyFont="1" applyFill="1" applyBorder="1" applyAlignment="1">
      <alignment horizontal="left" wrapText="1"/>
    </xf>
    <xf numFmtId="0" fontId="75" fillId="13" borderId="34" xfId="19" applyFont="1" applyFill="1" applyBorder="1" applyAlignment="1">
      <alignment horizontal="left" wrapText="1"/>
    </xf>
    <xf numFmtId="0" fontId="61" fillId="29" borderId="0" xfId="0" applyFont="1" applyFill="1" applyAlignment="1">
      <alignment horizontal="left" vertical="center"/>
    </xf>
    <xf numFmtId="0" fontId="2" fillId="35" borderId="25" xfId="0" applyFont="1" applyFill="1" applyBorder="1" applyAlignment="1">
      <alignment horizontal="left"/>
    </xf>
    <xf numFmtId="0" fontId="2" fillId="35" borderId="13" xfId="0" applyFont="1" applyFill="1" applyBorder="1" applyAlignment="1">
      <alignment horizontal="left"/>
    </xf>
    <xf numFmtId="0" fontId="44" fillId="17" borderId="13" xfId="0" quotePrefix="1" applyFont="1" applyFill="1" applyBorder="1" applyAlignment="1">
      <alignment horizontal="left" wrapText="1"/>
    </xf>
    <xf numFmtId="0" fontId="44" fillId="17" borderId="13" xfId="0" applyFont="1" applyFill="1" applyBorder="1" applyAlignment="1">
      <alignment horizontal="left" wrapText="1"/>
    </xf>
    <xf numFmtId="170" fontId="2" fillId="13" borderId="0" xfId="0" applyNumberFormat="1" applyFont="1" applyFill="1" applyAlignment="1">
      <alignment vertical="center"/>
    </xf>
    <xf numFmtId="171" fontId="2" fillId="13" borderId="0" xfId="0" applyNumberFormat="1" applyFont="1" applyFill="1" applyAlignment="1">
      <alignment vertical="top"/>
    </xf>
    <xf numFmtId="172" fontId="0" fillId="25" borderId="22" xfId="0" applyNumberFormat="1" applyFill="1" applyBorder="1" applyAlignment="1" applyProtection="1">
      <alignment horizontal="center" vertical="center"/>
      <protection locked="0"/>
    </xf>
    <xf numFmtId="172" fontId="0" fillId="13" borderId="13" xfId="0" applyNumberFormat="1" applyFill="1" applyBorder="1" applyAlignment="1">
      <alignment horizontal="center"/>
    </xf>
    <xf numFmtId="0" fontId="24" fillId="13" borderId="30" xfId="0" applyFont="1" applyFill="1" applyBorder="1" applyAlignment="1">
      <alignment horizontal="left"/>
    </xf>
    <xf numFmtId="0" fontId="33" fillId="13" borderId="97" xfId="0" applyFont="1" applyFill="1" applyBorder="1" applyAlignment="1">
      <alignment horizontal="left" vertical="top"/>
    </xf>
    <xf numFmtId="0" fontId="24" fillId="13" borderId="13" xfId="0" applyFont="1" applyFill="1" applyBorder="1" applyAlignment="1">
      <alignment horizontal="left"/>
    </xf>
    <xf numFmtId="0" fontId="8" fillId="13" borderId="0" xfId="14" applyFill="1" applyAlignment="1" applyProtection="1">
      <alignment horizontal="left" vertical="top" wrapText="1"/>
    </xf>
    <xf numFmtId="0" fontId="53" fillId="13" borderId="0" xfId="0" applyFont="1" applyFill="1" applyAlignment="1">
      <alignment horizontal="left" vertical="top" wrapText="1" indent="2"/>
    </xf>
    <xf numFmtId="0" fontId="91" fillId="14" borderId="0" xfId="0" applyFont="1" applyFill="1" applyAlignment="1">
      <alignment horizontal="left" vertical="top" wrapText="1"/>
    </xf>
    <xf numFmtId="0" fontId="55" fillId="13" borderId="0" xfId="0" applyFont="1" applyFill="1" applyAlignment="1">
      <alignment horizontal="left" vertical="top" wrapText="1"/>
    </xf>
    <xf numFmtId="0" fontId="51" fillId="13" borderId="0" xfId="0" applyFont="1" applyFill="1" applyAlignment="1">
      <alignment horizontal="left"/>
    </xf>
    <xf numFmtId="0" fontId="56" fillId="13" borderId="0" xfId="0" applyFont="1" applyFill="1" applyAlignment="1">
      <alignment horizontal="left" vertical="top" wrapText="1"/>
    </xf>
    <xf numFmtId="0" fontId="31" fillId="13" borderId="0" xfId="0" applyFont="1" applyFill="1" applyAlignment="1">
      <alignment horizontal="left" vertical="top" wrapText="1"/>
    </xf>
    <xf numFmtId="0" fontId="4" fillId="24" borderId="18" xfId="0" applyFont="1" applyFill="1" applyBorder="1" applyAlignment="1">
      <alignment horizontal="left" vertical="center" wrapText="1" indent="1"/>
    </xf>
    <xf numFmtId="0" fontId="57" fillId="13" borderId="0" xfId="0" applyFont="1" applyFill="1" applyAlignment="1">
      <alignment horizontal="left" vertical="top" wrapText="1"/>
    </xf>
    <xf numFmtId="0" fontId="2" fillId="13" borderId="61" xfId="0" applyFont="1" applyFill="1" applyBorder="1" applyAlignment="1">
      <alignment horizontal="left" wrapText="1"/>
    </xf>
    <xf numFmtId="0" fontId="2" fillId="13" borderId="51" xfId="0" applyFont="1" applyFill="1" applyBorder="1" applyAlignment="1">
      <alignment horizontal="left" wrapText="1"/>
    </xf>
    <xf numFmtId="0" fontId="11" fillId="13" borderId="0" xfId="0" applyFont="1" applyFill="1" applyAlignment="1">
      <alignment horizontal="left" vertical="top" wrapText="1"/>
    </xf>
    <xf numFmtId="0" fontId="52" fillId="13" borderId="0" xfId="0" applyFont="1" applyFill="1" applyAlignment="1">
      <alignment horizontal="left" vertical="top" wrapText="1"/>
    </xf>
    <xf numFmtId="0" fontId="72" fillId="17" borderId="0" xfId="0" applyFont="1" applyFill="1" applyAlignment="1">
      <alignment horizontal="left" vertical="center"/>
    </xf>
    <xf numFmtId="0" fontId="92" fillId="29" borderId="0" xfId="0" applyFont="1" applyFill="1" applyAlignment="1">
      <alignment horizontal="left" vertical="top" wrapText="1"/>
    </xf>
    <xf numFmtId="0" fontId="92" fillId="13" borderId="0" xfId="0" applyFont="1" applyFill="1" applyAlignment="1">
      <alignment horizontal="left" vertical="top" wrapText="1"/>
    </xf>
    <xf numFmtId="0" fontId="48" fillId="13" borderId="0" xfId="0" applyFont="1" applyFill="1" applyAlignment="1">
      <alignment horizontal="left" vertical="top" wrapText="1"/>
    </xf>
    <xf numFmtId="0" fontId="7" fillId="13" borderId="13" xfId="0" applyFont="1" applyFill="1" applyBorder="1" applyAlignment="1">
      <alignment horizontal="left" vertical="top" wrapText="1"/>
    </xf>
    <xf numFmtId="1" fontId="78" fillId="13" borderId="70" xfId="0" applyNumberFormat="1" applyFont="1" applyFill="1" applyBorder="1" applyAlignment="1">
      <alignment horizontal="left" vertical="top" wrapText="1"/>
    </xf>
    <xf numFmtId="1" fontId="78" fillId="13" borderId="69" xfId="0" applyNumberFormat="1" applyFont="1" applyFill="1" applyBorder="1" applyAlignment="1">
      <alignment horizontal="left" vertical="top" wrapText="1"/>
    </xf>
    <xf numFmtId="0" fontId="78" fillId="13" borderId="110" xfId="0" applyFont="1" applyFill="1" applyBorder="1" applyAlignment="1">
      <alignment horizontal="left" vertical="top" wrapText="1"/>
    </xf>
    <xf numFmtId="0" fontId="78" fillId="13" borderId="111" xfId="0" applyFont="1" applyFill="1" applyBorder="1" applyAlignment="1">
      <alignment horizontal="left" vertical="top" wrapText="1"/>
    </xf>
    <xf numFmtId="0" fontId="4" fillId="29" borderId="0" xfId="0" applyFont="1" applyFill="1" applyAlignment="1">
      <alignment horizontal="left" vertical="top" wrapText="1"/>
    </xf>
    <xf numFmtId="0" fontId="5" fillId="13" borderId="61" xfId="0" applyFont="1" applyFill="1" applyBorder="1" applyAlignment="1">
      <alignment horizontal="left" vertical="top" wrapText="1"/>
    </xf>
    <xf numFmtId="0" fontId="39" fillId="13" borderId="50" xfId="0" applyFont="1" applyFill="1" applyBorder="1" applyAlignment="1">
      <alignment horizontal="left" vertical="center" wrapText="1"/>
    </xf>
    <xf numFmtId="0" fontId="5" fillId="13" borderId="51" xfId="0" applyFont="1" applyFill="1" applyBorder="1" applyAlignment="1">
      <alignment horizontal="left" vertical="top" wrapText="1"/>
    </xf>
    <xf numFmtId="0" fontId="69" fillId="13" borderId="50" xfId="14" applyFont="1" applyFill="1" applyBorder="1" applyAlignment="1" applyProtection="1">
      <alignment horizontal="left" vertical="top" wrapText="1"/>
    </xf>
    <xf numFmtId="0" fontId="5" fillId="13" borderId="50" xfId="0" applyFont="1" applyFill="1" applyBorder="1" applyAlignment="1">
      <alignment horizontal="left" vertical="top" wrapText="1"/>
    </xf>
    <xf numFmtId="0" fontId="48" fillId="13" borderId="50" xfId="0" applyFont="1" applyFill="1" applyBorder="1" applyAlignment="1">
      <alignment horizontal="left" vertical="top" wrapText="1"/>
    </xf>
    <xf numFmtId="0" fontId="78" fillId="29" borderId="70" xfId="0" applyFont="1" applyFill="1" applyBorder="1" applyAlignment="1">
      <alignment horizontal="left" vertical="center" wrapText="1"/>
    </xf>
    <xf numFmtId="0" fontId="78" fillId="29" borderId="110" xfId="0" applyFont="1" applyFill="1" applyBorder="1" applyAlignment="1">
      <alignment horizontal="left" vertical="top"/>
    </xf>
    <xf numFmtId="0" fontId="4" fillId="13" borderId="12" xfId="0" applyFont="1" applyFill="1" applyBorder="1" applyAlignment="1">
      <alignment horizontal="left" wrapText="1"/>
    </xf>
    <xf numFmtId="14" fontId="90" fillId="29" borderId="113" xfId="0" applyNumberFormat="1" applyFont="1" applyFill="1" applyBorder="1" applyAlignment="1">
      <alignment horizontal="left"/>
    </xf>
    <xf numFmtId="14" fontId="90" fillId="29" borderId="112" xfId="0" applyNumberFormat="1" applyFont="1" applyFill="1" applyBorder="1" applyAlignment="1">
      <alignment horizontal="left"/>
    </xf>
    <xf numFmtId="0" fontId="75" fillId="13" borderId="31" xfId="19" applyFont="1" applyFill="1" applyBorder="1" applyAlignment="1">
      <alignment horizontal="left" wrapText="1"/>
    </xf>
    <xf numFmtId="0" fontId="4" fillId="13" borderId="51" xfId="19" applyFont="1" applyFill="1" applyBorder="1" applyAlignment="1">
      <alignment horizontal="left" wrapText="1"/>
    </xf>
    <xf numFmtId="0" fontId="10" fillId="13" borderId="0" xfId="19" applyFont="1" applyFill="1" applyAlignment="1">
      <alignment horizontal="left" vertical="center"/>
    </xf>
    <xf numFmtId="0" fontId="28" fillId="13" borderId="12" xfId="19" applyFont="1" applyFill="1" applyBorder="1" applyAlignment="1">
      <alignment horizontal="left" wrapText="1"/>
    </xf>
    <xf numFmtId="0" fontId="4" fillId="13" borderId="19" xfId="19" applyFont="1" applyFill="1" applyBorder="1" applyAlignment="1">
      <alignment horizontal="left" vertical="center"/>
    </xf>
    <xf numFmtId="0" fontId="95" fillId="20" borderId="64" xfId="14" applyFont="1" applyFill="1" applyBorder="1" applyAlignment="1" applyProtection="1">
      <alignment horizontal="left" vertical="top" wrapText="1"/>
    </xf>
    <xf numFmtId="0" fontId="8" fillId="20" borderId="0" xfId="14" applyFill="1" applyAlignment="1" applyProtection="1">
      <alignment horizontal="left" vertical="top" wrapText="1"/>
    </xf>
    <xf numFmtId="0" fontId="31" fillId="13" borderId="0" xfId="0" applyFont="1" applyFill="1"/>
    <xf numFmtId="0" fontId="30" fillId="14" borderId="0" xfId="0" applyFont="1" applyFill="1"/>
    <xf numFmtId="0" fontId="31" fillId="14" borderId="0" xfId="0" applyFont="1" applyFill="1"/>
    <xf numFmtId="0" fontId="2" fillId="25" borderId="10" xfId="0" applyFont="1" applyFill="1" applyBorder="1" applyAlignment="1" applyProtection="1">
      <alignment horizontal="center" vertical="top"/>
      <protection locked="0"/>
    </xf>
    <xf numFmtId="0" fontId="2" fillId="13" borderId="0" xfId="0" applyFont="1" applyFill="1" applyAlignment="1">
      <alignment horizontal="center"/>
    </xf>
    <xf numFmtId="0" fontId="33" fillId="33" borderId="72" xfId="0" applyFont="1" applyFill="1" applyBorder="1" applyAlignment="1" applyProtection="1">
      <alignment horizontal="left" vertical="top"/>
      <protection locked="0"/>
    </xf>
    <xf numFmtId="166" fontId="2" fillId="29" borderId="0" xfId="0" applyNumberFormat="1" applyFont="1" applyFill="1" applyAlignment="1" applyProtection="1">
      <alignment horizontal="center" vertical="center"/>
      <protection locked="0"/>
    </xf>
    <xf numFmtId="0" fontId="2" fillId="29" borderId="0" xfId="0" applyFont="1" applyFill="1" applyAlignment="1">
      <alignment horizontal="right" vertical="center"/>
    </xf>
    <xf numFmtId="0" fontId="2" fillId="29" borderId="0" xfId="0" applyFont="1" applyFill="1" applyAlignment="1" applyProtection="1">
      <alignment horizontal="center" vertical="center"/>
      <protection locked="0"/>
    </xf>
    <xf numFmtId="0" fontId="7" fillId="13" borderId="13" xfId="0" applyFont="1" applyFill="1" applyBorder="1" applyAlignment="1">
      <alignment horizontal="left" vertical="center"/>
    </xf>
    <xf numFmtId="0" fontId="8" fillId="13" borderId="50" xfId="14" applyFill="1" applyBorder="1" applyAlignment="1" applyProtection="1">
      <alignment horizontal="left" vertical="top" wrapText="1"/>
    </xf>
    <xf numFmtId="0" fontId="2" fillId="13" borderId="0" xfId="0" applyFont="1" applyFill="1" applyAlignment="1">
      <alignment horizontal="left" vertical="top" wrapText="1"/>
    </xf>
    <xf numFmtId="0" fontId="7" fillId="13" borderId="13" xfId="0" applyFont="1" applyFill="1" applyBorder="1" applyAlignment="1">
      <alignment wrapText="1"/>
    </xf>
    <xf numFmtId="0" fontId="7" fillId="0" borderId="13" xfId="0" applyFont="1" applyBorder="1" applyAlignment="1">
      <alignment horizontal="left" vertical="center"/>
    </xf>
    <xf numFmtId="3" fontId="6" fillId="33" borderId="13" xfId="0" applyNumberFormat="1" applyFont="1" applyFill="1" applyBorder="1" applyAlignment="1" applyProtection="1">
      <alignment horizontal="center" vertical="top"/>
      <protection locked="0"/>
    </xf>
    <xf numFmtId="0" fontId="96" fillId="14" borderId="0" xfId="0" applyFont="1" applyFill="1" applyAlignment="1">
      <alignment horizontal="left" vertical="top" wrapText="1"/>
    </xf>
    <xf numFmtId="0" fontId="3" fillId="37" borderId="0" xfId="0" applyFont="1" applyFill="1" applyAlignment="1">
      <alignment horizontal="left"/>
    </xf>
    <xf numFmtId="0" fontId="3" fillId="17" borderId="0" xfId="0" applyFont="1" applyFill="1" applyAlignment="1">
      <alignment horizontal="left" vertical="center"/>
    </xf>
    <xf numFmtId="0" fontId="2" fillId="29" borderId="0" xfId="0" applyFont="1" applyFill="1" applyAlignment="1">
      <alignment horizontal="right" vertical="center"/>
    </xf>
    <xf numFmtId="0" fontId="3" fillId="17" borderId="0" xfId="0" quotePrefix="1" applyFont="1" applyFill="1" applyAlignment="1">
      <alignment horizontal="left"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2" fillId="29" borderId="0" xfId="0" applyFont="1" applyFill="1" applyAlignment="1">
      <alignment horizontal="center" vertical="center"/>
    </xf>
    <xf numFmtId="0" fontId="0" fillId="13" borderId="0" xfId="0" applyFill="1" applyBorder="1"/>
    <xf numFmtId="0" fontId="0" fillId="29" borderId="32" xfId="0" applyFill="1" applyBorder="1"/>
    <xf numFmtId="0" fontId="2" fillId="29" borderId="72" xfId="19" applyFill="1" applyBorder="1"/>
    <xf numFmtId="0" fontId="0" fillId="0" borderId="0" xfId="0" applyFill="1" applyAlignment="1">
      <alignment horizontal="left"/>
    </xf>
    <xf numFmtId="0" fontId="0" fillId="29" borderId="0" xfId="0" applyFill="1" applyAlignment="1">
      <alignment horizontal="left"/>
    </xf>
    <xf numFmtId="0" fontId="0" fillId="29" borderId="0" xfId="0" applyFill="1" applyAlignment="1">
      <alignment horizontal="left" vertical="center"/>
    </xf>
    <xf numFmtId="0" fontId="2" fillId="13" borderId="0" xfId="0" applyFont="1" applyFill="1" applyAlignment="1">
      <alignment horizontal="left" vertical="center" wrapText="1"/>
    </xf>
    <xf numFmtId="0" fontId="5" fillId="13" borderId="50" xfId="0" quotePrefix="1" applyFont="1" applyFill="1" applyBorder="1" applyAlignment="1">
      <alignment horizontal="left" vertical="top" wrapText="1"/>
    </xf>
    <xf numFmtId="0" fontId="0" fillId="0" borderId="0" xfId="0" quotePrefix="1" applyAlignment="1">
      <alignment wrapText="1"/>
    </xf>
    <xf numFmtId="0" fontId="76" fillId="29" borderId="0" xfId="0" applyFont="1" applyFill="1" applyAlignment="1">
      <alignment vertical="top"/>
    </xf>
    <xf numFmtId="0" fontId="6" fillId="32" borderId="13" xfId="0" applyFont="1" applyFill="1" applyBorder="1" applyAlignment="1">
      <alignment vertical="top"/>
    </xf>
    <xf numFmtId="0" fontId="5" fillId="13" borderId="61" xfId="0" quotePrefix="1" applyFont="1" applyFill="1" applyBorder="1" applyAlignment="1">
      <alignment horizontal="right" vertical="top" wrapText="1"/>
    </xf>
    <xf numFmtId="0" fontId="5" fillId="13" borderId="61" xfId="0" quotePrefix="1" applyFont="1" applyFill="1" applyBorder="1" applyAlignment="1">
      <alignment horizontal="left" vertical="top" wrapText="1"/>
    </xf>
    <xf numFmtId="0" fontId="5" fillId="13" borderId="51" xfId="0" quotePrefix="1" applyFont="1" applyFill="1" applyBorder="1" applyAlignment="1">
      <alignment horizontal="right" vertical="top" wrapText="1"/>
    </xf>
    <xf numFmtId="0" fontId="99" fillId="29" borderId="0" xfId="0" applyFont="1" applyFill="1" applyAlignment="1">
      <alignment vertical="top"/>
    </xf>
    <xf numFmtId="0" fontId="48" fillId="13" borderId="61" xfId="0" quotePrefix="1" applyFont="1" applyFill="1" applyBorder="1" applyAlignment="1">
      <alignment horizontal="right" vertical="top" wrapText="1"/>
    </xf>
    <xf numFmtId="0" fontId="106" fillId="37" borderId="0" xfId="0" applyFont="1" applyFill="1" applyAlignment="1">
      <alignment horizontal="center"/>
    </xf>
    <xf numFmtId="0" fontId="106" fillId="37" borderId="0" xfId="0" applyFont="1" applyFill="1" applyAlignment="1">
      <alignment vertical="center"/>
    </xf>
    <xf numFmtId="0" fontId="4" fillId="29" borderId="0" xfId="0" applyFont="1" applyFill="1" applyAlignment="1">
      <alignment vertical="top"/>
    </xf>
    <xf numFmtId="0" fontId="5" fillId="13" borderId="0" xfId="0" quotePrefix="1" applyFont="1" applyFill="1" applyBorder="1" applyAlignment="1">
      <alignment horizontal="right" vertical="top" wrapText="1"/>
    </xf>
    <xf numFmtId="0" fontId="48" fillId="13" borderId="0" xfId="0" quotePrefix="1" applyFont="1" applyFill="1" applyBorder="1" applyAlignment="1">
      <alignment horizontal="right" vertical="top" wrapText="1"/>
    </xf>
    <xf numFmtId="0" fontId="48" fillId="13" borderId="136" xfId="0" quotePrefix="1" applyFont="1" applyFill="1" applyBorder="1" applyAlignment="1">
      <alignment horizontal="right" vertical="top" wrapText="1"/>
    </xf>
    <xf numFmtId="0" fontId="8" fillId="13" borderId="0" xfId="14" applyFill="1" applyAlignment="1" applyProtection="1">
      <alignment horizontal="left" vertical="top" wrapText="1"/>
    </xf>
    <xf numFmtId="0" fontId="0" fillId="29" borderId="0" xfId="0" applyFill="1" applyAlignment="1">
      <alignment horizontal="left" wrapText="1"/>
    </xf>
    <xf numFmtId="0" fontId="0" fillId="28" borderId="0" xfId="0" applyFill="1" applyAlignment="1">
      <alignment horizontal="left" wrapText="1"/>
    </xf>
    <xf numFmtId="0" fontId="0" fillId="0" borderId="0" xfId="0" applyFill="1" applyAlignment="1">
      <alignment horizontal="center"/>
    </xf>
    <xf numFmtId="173" fontId="0" fillId="25" borderId="108" xfId="0" applyNumberFormat="1" applyFill="1" applyBorder="1" applyAlignment="1" applyProtection="1">
      <alignment horizontal="center" vertical="center"/>
      <protection locked="0"/>
    </xf>
    <xf numFmtId="174" fontId="0" fillId="25" borderId="22" xfId="0" applyNumberFormat="1" applyFill="1" applyBorder="1" applyAlignment="1" applyProtection="1">
      <alignment horizontal="center" vertical="center"/>
      <protection locked="0"/>
    </xf>
    <xf numFmtId="175" fontId="2" fillId="25" borderId="22" xfId="0" applyNumberFormat="1" applyFont="1" applyFill="1" applyBorder="1" applyAlignment="1" applyProtection="1">
      <alignment horizontal="center" vertical="center"/>
      <protection locked="0"/>
    </xf>
    <xf numFmtId="175" fontId="2" fillId="25" borderId="24" xfId="0" applyNumberFormat="1" applyFont="1" applyFill="1" applyBorder="1" applyAlignment="1" applyProtection="1">
      <alignment horizontal="center" vertical="center"/>
      <protection locked="0"/>
    </xf>
    <xf numFmtId="0" fontId="8" fillId="20" borderId="116" xfId="14" applyFill="1" applyBorder="1" applyAlignment="1" applyProtection="1">
      <alignment horizontal="center" vertical="top" wrapText="1"/>
    </xf>
    <xf numFmtId="0" fontId="8" fillId="36" borderId="115" xfId="14" applyFill="1" applyBorder="1" applyAlignment="1" applyProtection="1">
      <alignment horizontal="center" vertical="top" wrapText="1"/>
    </xf>
    <xf numFmtId="0" fontId="106" fillId="37" borderId="61" xfId="0" applyFont="1" applyFill="1" applyBorder="1" applyAlignment="1">
      <alignment horizontal="center" vertical="center" wrapText="1"/>
    </xf>
    <xf numFmtId="0" fontId="59" fillId="29" borderId="0" xfId="14" applyFont="1" applyFill="1" applyAlignment="1" applyProtection="1">
      <alignment horizontal="left" vertical="center"/>
    </xf>
    <xf numFmtId="0" fontId="0" fillId="0" borderId="0" xfId="0" applyAlignment="1">
      <alignment horizontal="left" vertical="center"/>
    </xf>
    <xf numFmtId="0" fontId="8" fillId="20" borderId="115" xfId="14" applyFill="1" applyBorder="1" applyAlignment="1" applyProtection="1">
      <alignment horizontal="center" vertical="top" wrapText="1"/>
    </xf>
    <xf numFmtId="0" fontId="4" fillId="20" borderId="63" xfId="0" applyFont="1" applyFill="1" applyBorder="1" applyAlignment="1">
      <alignment horizontal="center" vertical="center" wrapText="1"/>
    </xf>
    <xf numFmtId="0" fontId="4" fillId="20" borderId="42" xfId="0" applyFont="1" applyFill="1" applyBorder="1" applyAlignment="1">
      <alignment horizontal="center" vertical="center" wrapText="1"/>
    </xf>
    <xf numFmtId="0" fontId="4" fillId="20" borderId="94" xfId="0" applyFont="1" applyFill="1" applyBorder="1" applyAlignment="1">
      <alignment horizontal="center" vertical="center" wrapText="1"/>
    </xf>
    <xf numFmtId="0" fontId="4" fillId="20" borderId="72" xfId="0" applyFont="1" applyFill="1" applyBorder="1" applyAlignment="1">
      <alignment horizontal="center" vertical="center" wrapText="1"/>
    </xf>
    <xf numFmtId="0" fontId="4" fillId="20" borderId="0" xfId="0" applyFont="1" applyFill="1" applyAlignment="1">
      <alignment horizontal="center" vertical="center" wrapText="1"/>
    </xf>
    <xf numFmtId="0" fontId="4" fillId="20" borderId="71" xfId="0" applyFont="1" applyFill="1" applyBorder="1" applyAlignment="1">
      <alignment horizontal="center" vertical="center" wrapText="1"/>
    </xf>
    <xf numFmtId="0" fontId="4" fillId="20" borderId="97" xfId="0" applyFont="1" applyFill="1" applyBorder="1" applyAlignment="1">
      <alignment horizontal="center" vertical="center" wrapText="1"/>
    </xf>
    <xf numFmtId="0" fontId="4" fillId="20" borderId="41" xfId="0" applyFont="1" applyFill="1" applyBorder="1" applyAlignment="1">
      <alignment horizontal="center" vertical="center" wrapText="1"/>
    </xf>
    <xf numFmtId="0" fontId="4" fillId="20" borderId="98" xfId="0" applyFont="1" applyFill="1" applyBorder="1" applyAlignment="1">
      <alignment horizontal="center" vertical="center" wrapText="1"/>
    </xf>
    <xf numFmtId="0" fontId="8" fillId="20" borderId="21" xfId="14" applyFill="1" applyBorder="1" applyAlignment="1" applyProtection="1">
      <alignment horizontal="center" vertical="top" wrapText="1"/>
    </xf>
    <xf numFmtId="0" fontId="8" fillId="29" borderId="0" xfId="14" applyFill="1" applyAlignment="1" applyProtection="1">
      <alignment horizontal="left" vertical="center"/>
    </xf>
    <xf numFmtId="0" fontId="8" fillId="36" borderId="18" xfId="14" applyFill="1" applyBorder="1" applyAlignment="1" applyProtection="1">
      <alignment horizontal="center"/>
    </xf>
    <xf numFmtId="0" fontId="8" fillId="36" borderId="20" xfId="14" applyFill="1" applyBorder="1" applyAlignment="1" applyProtection="1">
      <alignment horizontal="center"/>
    </xf>
    <xf numFmtId="0" fontId="8" fillId="20" borderId="107" xfId="14" applyFill="1" applyBorder="1" applyAlignment="1" applyProtection="1">
      <alignment horizontal="center" vertical="top" wrapText="1"/>
    </xf>
    <xf numFmtId="0" fontId="4" fillId="20" borderId="18" xfId="0" applyFont="1" applyFill="1" applyBorder="1" applyAlignment="1">
      <alignment horizontal="center"/>
    </xf>
    <xf numFmtId="0" fontId="4" fillId="20" borderId="20" xfId="0" applyFont="1" applyFill="1" applyBorder="1" applyAlignment="1">
      <alignment horizontal="center"/>
    </xf>
    <xf numFmtId="0" fontId="8" fillId="20" borderId="18" xfId="14" applyFill="1" applyBorder="1" applyAlignment="1" applyProtection="1">
      <alignment horizontal="center"/>
    </xf>
    <xf numFmtId="0" fontId="8" fillId="20" borderId="20" xfId="14" applyFill="1" applyBorder="1" applyAlignment="1" applyProtection="1">
      <alignment horizontal="center"/>
    </xf>
    <xf numFmtId="0" fontId="8" fillId="36" borderId="116" xfId="14" applyFill="1" applyBorder="1" applyAlignment="1" applyProtection="1">
      <alignment horizontal="center" vertical="top" wrapText="1"/>
    </xf>
    <xf numFmtId="0" fontId="0" fillId="13" borderId="62" xfId="0" applyFill="1" applyBorder="1" applyAlignment="1">
      <alignment vertical="center" wrapText="1"/>
    </xf>
    <xf numFmtId="0" fontId="0" fillId="13" borderId="39" xfId="0" applyFill="1" applyBorder="1" applyAlignment="1">
      <alignment vertical="center" wrapText="1"/>
    </xf>
    <xf numFmtId="0" fontId="0" fillId="13" borderId="117" xfId="0" applyFill="1" applyBorder="1" applyAlignment="1">
      <alignment vertical="center" wrapText="1"/>
    </xf>
    <xf numFmtId="0" fontId="4" fillId="29" borderId="0" xfId="0" applyFont="1" applyFill="1" applyAlignment="1">
      <alignment vertical="top" wrapText="1"/>
    </xf>
    <xf numFmtId="0" fontId="0" fillId="13" borderId="0" xfId="0" applyFill="1" applyAlignment="1">
      <alignment vertical="top" wrapText="1"/>
    </xf>
    <xf numFmtId="0" fontId="0" fillId="13" borderId="42" xfId="0" applyFill="1" applyBorder="1" applyAlignment="1">
      <alignment horizontal="center" vertical="center" wrapText="1"/>
    </xf>
    <xf numFmtId="0" fontId="0" fillId="13" borderId="45" xfId="0" applyFill="1" applyBorder="1" applyAlignment="1">
      <alignment vertical="center" wrapText="1"/>
    </xf>
    <xf numFmtId="0" fontId="0" fillId="13" borderId="36" xfId="0" applyFill="1" applyBorder="1" applyAlignment="1">
      <alignment vertical="center" wrapText="1"/>
    </xf>
    <xf numFmtId="0" fontId="0" fillId="13" borderId="118" xfId="0" applyFill="1" applyBorder="1" applyAlignment="1">
      <alignment vertical="center" wrapText="1"/>
    </xf>
    <xf numFmtId="0" fontId="0" fillId="13" borderId="46" xfId="0" applyFill="1" applyBorder="1" applyAlignment="1">
      <alignment vertical="center" wrapText="1"/>
    </xf>
    <xf numFmtId="0" fontId="0" fillId="13" borderId="26" xfId="0" applyFill="1" applyBorder="1" applyAlignment="1">
      <alignment vertical="center" wrapText="1"/>
    </xf>
    <xf numFmtId="0" fontId="0" fillId="13" borderId="27" xfId="0" applyFill="1" applyBorder="1" applyAlignment="1">
      <alignment vertical="center" wrapText="1"/>
    </xf>
    <xf numFmtId="0" fontId="0" fillId="13" borderId="0" xfId="0" applyFill="1" applyAlignment="1">
      <alignment vertical="center" wrapText="1"/>
    </xf>
    <xf numFmtId="0" fontId="8" fillId="29" borderId="0" xfId="14" applyFill="1" applyBorder="1" applyAlignment="1" applyProtection="1">
      <alignment vertical="center" wrapText="1"/>
    </xf>
    <xf numFmtId="0" fontId="0" fillId="29" borderId="0" xfId="0" applyFill="1" applyAlignment="1">
      <alignment vertical="top" wrapText="1"/>
    </xf>
    <xf numFmtId="0" fontId="104" fillId="29" borderId="0" xfId="0" applyFont="1" applyFill="1" applyAlignment="1">
      <alignment vertical="top" wrapText="1"/>
    </xf>
    <xf numFmtId="0" fontId="0" fillId="20" borderId="13" xfId="0" applyFill="1" applyBorder="1" applyAlignment="1">
      <alignment vertical="top" wrapText="1"/>
    </xf>
    <xf numFmtId="0" fontId="51" fillId="13" borderId="0" xfId="0" applyFont="1" applyFill="1" applyAlignment="1">
      <alignment horizontal="justify" vertical="top" wrapText="1"/>
    </xf>
    <xf numFmtId="0" fontId="2" fillId="13" borderId="0" xfId="0" applyFont="1" applyFill="1" applyAlignment="1">
      <alignment horizontal="justify" vertical="top" wrapText="1"/>
    </xf>
    <xf numFmtId="0" fontId="8" fillId="29" borderId="0" xfId="14" applyFill="1" applyAlignment="1" applyProtection="1">
      <alignment vertical="top" wrapText="1"/>
    </xf>
    <xf numFmtId="0" fontId="4" fillId="24" borderId="18" xfId="0" applyFont="1" applyFill="1" applyBorder="1" applyAlignment="1">
      <alignment horizontal="left" vertical="center" wrapText="1" indent="1"/>
    </xf>
    <xf numFmtId="0" fontId="4" fillId="24" borderId="19" xfId="0" applyFont="1" applyFill="1" applyBorder="1" applyAlignment="1">
      <alignment horizontal="left" vertical="center" wrapText="1" indent="1"/>
    </xf>
    <xf numFmtId="0" fontId="2" fillId="13" borderId="20" xfId="0" applyFont="1" applyFill="1" applyBorder="1" applyAlignment="1">
      <alignment horizontal="left" vertical="center" wrapText="1" indent="1"/>
    </xf>
    <xf numFmtId="0" fontId="57" fillId="13" borderId="0" xfId="0" applyFont="1" applyFill="1" applyAlignment="1">
      <alignment horizontal="left" vertical="top" wrapText="1"/>
    </xf>
    <xf numFmtId="0" fontId="2" fillId="13" borderId="0" xfId="0" applyFont="1" applyFill="1" applyAlignment="1">
      <alignment horizontal="left" vertical="top" wrapText="1"/>
    </xf>
    <xf numFmtId="0" fontId="0" fillId="31" borderId="13" xfId="0" applyFill="1" applyBorder="1" applyAlignment="1">
      <alignment vertical="top" wrapText="1"/>
    </xf>
    <xf numFmtId="164" fontId="0" fillId="18" borderId="13" xfId="0" applyNumberFormat="1" applyFill="1" applyBorder="1" applyAlignment="1">
      <alignment vertical="top" wrapText="1"/>
    </xf>
    <xf numFmtId="0" fontId="2" fillId="13" borderId="13" xfId="0" applyFont="1" applyFill="1" applyBorder="1" applyAlignment="1">
      <alignment vertical="top" wrapText="1"/>
    </xf>
    <xf numFmtId="0" fontId="51" fillId="29" borderId="0" xfId="0" applyFont="1" applyFill="1" applyAlignment="1">
      <alignment horizontal="justify" vertical="top" wrapText="1"/>
    </xf>
    <xf numFmtId="0" fontId="56" fillId="13" borderId="0" xfId="0" applyFont="1" applyFill="1" applyAlignment="1">
      <alignment horizontal="left" vertical="top" wrapText="1"/>
    </xf>
    <xf numFmtId="0" fontId="2" fillId="20" borderId="0" xfId="0" applyFont="1" applyFill="1" applyAlignment="1">
      <alignment vertical="top" wrapText="1"/>
    </xf>
    <xf numFmtId="0" fontId="2" fillId="13" borderId="0" xfId="0" applyFont="1" applyFill="1" applyAlignment="1">
      <alignment vertical="top" wrapText="1"/>
    </xf>
    <xf numFmtId="0" fontId="37" fillId="13" borderId="12" xfId="0" applyFont="1" applyFill="1" applyBorder="1" applyAlignment="1">
      <alignment vertical="top" wrapText="1"/>
    </xf>
    <xf numFmtId="0" fontId="54" fillId="13" borderId="0" xfId="0" applyFont="1" applyFill="1" applyAlignment="1">
      <alignment horizontal="justify" vertical="top" wrapText="1"/>
    </xf>
    <xf numFmtId="0" fontId="0" fillId="25" borderId="13" xfId="0" applyFill="1" applyBorder="1" applyAlignment="1" applyProtection="1">
      <alignment vertical="top" wrapText="1"/>
      <protection locked="0"/>
    </xf>
    <xf numFmtId="0" fontId="2" fillId="13" borderId="13" xfId="0" applyFont="1" applyFill="1" applyBorder="1" applyAlignment="1" applyProtection="1">
      <alignment vertical="top" wrapText="1"/>
      <protection locked="0"/>
    </xf>
    <xf numFmtId="0" fontId="50" fillId="13" borderId="0" xfId="0" applyFont="1" applyFill="1" applyAlignment="1">
      <alignment horizontal="justify" vertical="top" wrapText="1"/>
    </xf>
    <xf numFmtId="0" fontId="0" fillId="27" borderId="13" xfId="0" applyFill="1" applyBorder="1" applyAlignment="1">
      <alignment vertical="top" wrapText="1"/>
    </xf>
    <xf numFmtId="164" fontId="2" fillId="26" borderId="13" xfId="0" applyNumberFormat="1" applyFont="1" applyFill="1" applyBorder="1" applyAlignment="1" applyProtection="1">
      <alignment vertical="top" wrapText="1"/>
      <protection locked="0"/>
    </xf>
    <xf numFmtId="0" fontId="102" fillId="13" borderId="0" xfId="0" applyFont="1" applyFill="1" applyAlignment="1">
      <alignment horizontal="left" vertical="top" wrapText="1"/>
    </xf>
    <xf numFmtId="0" fontId="102" fillId="13" borderId="0" xfId="0" applyFont="1" applyFill="1" applyAlignment="1">
      <alignment vertical="top" wrapText="1"/>
    </xf>
    <xf numFmtId="0" fontId="8" fillId="20" borderId="0" xfId="14" applyFill="1" applyAlignment="1" applyProtection="1">
      <alignment vertical="top" wrapText="1"/>
    </xf>
    <xf numFmtId="0" fontId="8" fillId="13" borderId="0" xfId="14" applyFill="1" applyAlignment="1" applyProtection="1">
      <alignment vertical="top" wrapText="1"/>
    </xf>
    <xf numFmtId="0" fontId="55" fillId="13" borderId="0" xfId="0" applyFont="1" applyFill="1" applyAlignment="1">
      <alignment horizontal="left" vertical="top" wrapText="1"/>
    </xf>
    <xf numFmtId="0" fontId="8" fillId="13" borderId="0" xfId="14" applyFill="1" applyAlignment="1" applyProtection="1">
      <alignment horizontal="left"/>
    </xf>
    <xf numFmtId="0" fontId="51" fillId="13" borderId="0" xfId="0" applyFont="1" applyFill="1" applyAlignment="1">
      <alignment horizontal="left"/>
    </xf>
    <xf numFmtId="0" fontId="0" fillId="0" borderId="0" xfId="0" applyAlignment="1">
      <alignment horizontal="left"/>
    </xf>
    <xf numFmtId="0" fontId="8" fillId="20" borderId="64" xfId="14" applyFill="1" applyBorder="1" applyAlignment="1" applyProtection="1">
      <alignment horizontal="center" vertical="top" wrapText="1"/>
    </xf>
    <xf numFmtId="0" fontId="8" fillId="20" borderId="0" xfId="14" applyFill="1" applyAlignment="1" applyProtection="1">
      <alignment horizontal="center" vertical="top" wrapText="1"/>
    </xf>
    <xf numFmtId="0" fontId="51" fillId="13" borderId="0" xfId="0" applyFont="1" applyFill="1" applyAlignment="1">
      <alignment horizontal="left" wrapText="1"/>
    </xf>
    <xf numFmtId="0" fontId="85" fillId="13" borderId="0" xfId="0" applyFont="1" applyFill="1" applyAlignment="1">
      <alignment horizontal="justify" vertical="top" wrapText="1"/>
    </xf>
    <xf numFmtId="0" fontId="53" fillId="13" borderId="0" xfId="0" applyFont="1" applyFill="1" applyAlignment="1">
      <alignment horizontal="left" vertical="top" wrapText="1" indent="2"/>
    </xf>
    <xf numFmtId="0" fontId="8" fillId="13" borderId="0" xfId="14" applyFill="1" applyAlignment="1" applyProtection="1">
      <alignment horizontal="left" vertical="top" wrapText="1"/>
    </xf>
    <xf numFmtId="0" fontId="27" fillId="13" borderId="0" xfId="14" applyFont="1" applyFill="1" applyAlignment="1" applyProtection="1">
      <alignment horizontal="left" vertical="top" wrapText="1"/>
    </xf>
    <xf numFmtId="0" fontId="50" fillId="13" borderId="0" xfId="0" applyFont="1" applyFill="1" applyAlignment="1">
      <alignment horizontal="left" vertical="top" wrapText="1"/>
    </xf>
    <xf numFmtId="0" fontId="103" fillId="14" borderId="0" xfId="0" applyFont="1" applyFill="1" applyAlignment="1">
      <alignment horizontal="left" vertical="top" wrapText="1"/>
    </xf>
    <xf numFmtId="0" fontId="103" fillId="0" borderId="0" xfId="0" applyFont="1" applyAlignment="1">
      <alignment vertical="top" wrapText="1"/>
    </xf>
    <xf numFmtId="0" fontId="10" fillId="13" borderId="0" xfId="0" applyFont="1" applyFill="1" applyAlignment="1">
      <alignment vertical="top" wrapText="1"/>
    </xf>
    <xf numFmtId="0" fontId="8" fillId="0" borderId="0" xfId="14" applyAlignment="1" applyProtection="1"/>
    <xf numFmtId="0" fontId="50" fillId="13" borderId="0" xfId="0" applyFont="1" applyFill="1" applyAlignment="1">
      <alignment vertical="top" wrapText="1"/>
    </xf>
    <xf numFmtId="0" fontId="105" fillId="20" borderId="18" xfId="14" applyFont="1" applyFill="1" applyBorder="1" applyAlignment="1" applyProtection="1">
      <alignment horizontal="center"/>
    </xf>
    <xf numFmtId="0" fontId="105" fillId="20" borderId="20" xfId="14" applyFont="1" applyFill="1" applyBorder="1" applyAlignment="1" applyProtection="1">
      <alignment horizontal="center"/>
    </xf>
    <xf numFmtId="0" fontId="4" fillId="20" borderId="19" xfId="0" applyFont="1" applyFill="1" applyBorder="1" applyAlignment="1">
      <alignment horizontal="center"/>
    </xf>
    <xf numFmtId="0" fontId="4" fillId="20" borderId="63" xfId="0" applyFont="1" applyFill="1" applyBorder="1" applyAlignment="1">
      <alignment horizontal="center" vertical="top" wrapText="1"/>
    </xf>
    <xf numFmtId="0" fontId="4" fillId="20" borderId="42" xfId="0" applyFont="1" applyFill="1" applyBorder="1" applyAlignment="1">
      <alignment horizontal="center" vertical="top" wrapText="1"/>
    </xf>
    <xf numFmtId="0" fontId="0" fillId="0" borderId="94" xfId="0" applyBorder="1" applyAlignment="1">
      <alignment horizontal="center" vertical="top" wrapText="1"/>
    </xf>
    <xf numFmtId="0" fontId="0" fillId="0" borderId="72" xfId="0" applyBorder="1" applyAlignment="1">
      <alignment horizontal="center" vertical="top" wrapText="1"/>
    </xf>
    <xf numFmtId="0" fontId="0" fillId="0" borderId="0" xfId="0" applyAlignment="1">
      <alignment horizontal="center" vertical="top" wrapText="1"/>
    </xf>
    <xf numFmtId="0" fontId="0" fillId="0" borderId="71" xfId="0" applyBorder="1" applyAlignment="1">
      <alignment horizontal="center" vertical="top" wrapText="1"/>
    </xf>
    <xf numFmtId="0" fontId="0" fillId="0" borderId="97" xfId="0" applyBorder="1" applyAlignment="1">
      <alignment horizontal="center" vertical="top" wrapText="1"/>
    </xf>
    <xf numFmtId="0" fontId="0" fillId="0" borderId="41" xfId="0" applyBorder="1" applyAlignment="1">
      <alignment horizontal="center" vertical="top" wrapText="1"/>
    </xf>
    <xf numFmtId="0" fontId="0" fillId="0" borderId="98" xfId="0" applyBorder="1" applyAlignment="1">
      <alignment horizontal="center" vertical="top" wrapText="1"/>
    </xf>
    <xf numFmtId="0" fontId="8" fillId="20" borderId="104" xfId="14" applyFill="1" applyBorder="1" applyAlignment="1" applyProtection="1">
      <alignment horizontal="center" vertical="top" wrapText="1"/>
    </xf>
    <xf numFmtId="0" fontId="2" fillId="13" borderId="51" xfId="0" applyFont="1" applyFill="1" applyBorder="1" applyAlignment="1">
      <alignment wrapText="1"/>
    </xf>
    <xf numFmtId="0" fontId="0" fillId="29" borderId="51" xfId="0" applyFill="1" applyBorder="1" applyAlignment="1">
      <alignment wrapText="1"/>
    </xf>
    <xf numFmtId="164" fontId="0" fillId="26" borderId="25" xfId="0" applyNumberFormat="1" applyFill="1" applyBorder="1" applyAlignment="1" applyProtection="1">
      <alignment horizontal="center" vertical="top" wrapText="1"/>
      <protection locked="0"/>
    </xf>
    <xf numFmtId="164" fontId="0" fillId="26" borderId="26" xfId="0" applyNumberFormat="1" applyFill="1" applyBorder="1" applyAlignment="1" applyProtection="1">
      <alignment horizontal="center" vertical="top" wrapText="1"/>
      <protection locked="0"/>
    </xf>
    <xf numFmtId="164" fontId="0" fillId="26" borderId="27" xfId="0" applyNumberFormat="1" applyFill="1" applyBorder="1" applyAlignment="1" applyProtection="1">
      <alignment horizontal="center" vertical="top" wrapText="1"/>
      <protection locked="0"/>
    </xf>
    <xf numFmtId="0" fontId="8" fillId="20" borderId="89" xfId="14" applyFill="1" applyBorder="1" applyAlignment="1" applyProtection="1">
      <alignment horizontal="center" vertical="top" wrapText="1"/>
    </xf>
    <xf numFmtId="0" fontId="8" fillId="20" borderId="125" xfId="14" applyFill="1" applyBorder="1" applyAlignment="1" applyProtection="1">
      <alignment horizontal="center" vertical="top" wrapText="1"/>
    </xf>
    <xf numFmtId="0" fontId="8" fillId="20" borderId="124" xfId="14" applyFill="1" applyBorder="1" applyAlignment="1" applyProtection="1">
      <alignment horizontal="center" vertical="top" wrapText="1"/>
    </xf>
    <xf numFmtId="0" fontId="8" fillId="20" borderId="126" xfId="14" applyFill="1" applyBorder="1" applyAlignment="1" applyProtection="1">
      <alignment horizontal="center" vertical="top" wrapText="1"/>
    </xf>
    <xf numFmtId="0" fontId="99" fillId="31" borderId="0" xfId="0" applyFont="1" applyFill="1" applyAlignment="1">
      <alignment horizontal="left" vertical="top" wrapText="1"/>
    </xf>
    <xf numFmtId="0" fontId="99" fillId="31" borderId="33" xfId="0" applyFont="1" applyFill="1" applyBorder="1" applyAlignment="1"/>
    <xf numFmtId="0" fontId="33" fillId="25" borderId="25" xfId="0" applyFont="1" applyFill="1" applyBorder="1" applyAlignment="1" applyProtection="1">
      <alignment horizontal="left" vertical="top" wrapText="1"/>
      <protection locked="0"/>
    </xf>
    <xf numFmtId="0" fontId="33" fillId="25" borderId="26" xfId="0" applyFont="1" applyFill="1" applyBorder="1" applyAlignment="1" applyProtection="1">
      <alignment horizontal="left" vertical="top" wrapText="1"/>
      <protection locked="0"/>
    </xf>
    <xf numFmtId="0" fontId="33" fillId="25" borderId="27" xfId="0" applyFont="1" applyFill="1" applyBorder="1" applyAlignment="1" applyProtection="1">
      <alignment horizontal="left" vertical="top" wrapText="1"/>
      <protection locked="0"/>
    </xf>
    <xf numFmtId="0" fontId="0" fillId="25" borderId="26" xfId="0" applyFill="1"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2" fillId="25" borderId="25" xfId="0" applyFont="1" applyFill="1" applyBorder="1" applyAlignment="1" applyProtection="1">
      <alignment horizontal="left" vertical="top" wrapText="1"/>
      <protection locked="0"/>
    </xf>
    <xf numFmtId="0" fontId="2" fillId="25" borderId="26" xfId="0" applyFont="1" applyFill="1" applyBorder="1" applyAlignment="1" applyProtection="1">
      <alignment horizontal="left" vertical="top" wrapText="1"/>
      <protection locked="0"/>
    </xf>
    <xf numFmtId="0" fontId="2" fillId="25" borderId="27" xfId="0" applyFont="1" applyFill="1" applyBorder="1" applyAlignment="1" applyProtection="1">
      <alignment horizontal="left" vertical="top" wrapText="1"/>
      <protection locked="0"/>
    </xf>
    <xf numFmtId="0" fontId="38" fillId="13" borderId="0" xfId="0" applyFont="1" applyFill="1" applyAlignment="1">
      <alignment horizontal="left" vertical="top" wrapText="1"/>
    </xf>
    <xf numFmtId="0" fontId="5" fillId="13" borderId="0" xfId="0" applyFont="1" applyFill="1" applyAlignment="1">
      <alignment horizontal="left" vertical="top" wrapText="1"/>
    </xf>
    <xf numFmtId="0" fontId="105" fillId="20" borderId="127" xfId="14" applyFont="1" applyFill="1" applyBorder="1" applyAlignment="1" applyProtection="1">
      <alignment horizontal="center" vertical="top" wrapText="1"/>
    </xf>
    <xf numFmtId="0" fontId="105" fillId="20" borderId="123" xfId="14" applyFont="1" applyFill="1" applyBorder="1" applyAlignment="1" applyProtection="1">
      <alignment horizontal="center" vertical="top" wrapText="1"/>
    </xf>
    <xf numFmtId="0" fontId="8" fillId="20" borderId="127" xfId="14" applyFill="1" applyBorder="1" applyAlignment="1" applyProtection="1">
      <alignment horizontal="center" vertical="top" wrapText="1"/>
    </xf>
    <xf numFmtId="0" fontId="8" fillId="20" borderId="123" xfId="14" applyFill="1" applyBorder="1" applyAlignment="1" applyProtection="1">
      <alignment horizontal="center" vertical="top" wrapText="1"/>
    </xf>
    <xf numFmtId="0" fontId="105" fillId="36" borderId="115" xfId="14" applyFont="1" applyFill="1" applyBorder="1" applyAlignment="1" applyProtection="1">
      <alignment horizontal="center" vertical="top" wrapText="1"/>
    </xf>
    <xf numFmtId="0" fontId="8" fillId="20" borderId="120" xfId="14" applyFill="1" applyBorder="1" applyAlignment="1" applyProtection="1">
      <alignment horizontal="center" vertical="top" wrapText="1"/>
    </xf>
    <xf numFmtId="0" fontId="4" fillId="13" borderId="0" xfId="0" applyFont="1" applyFill="1" applyAlignment="1">
      <alignment wrapText="1"/>
    </xf>
    <xf numFmtId="0" fontId="0" fillId="29" borderId="0" xfId="0" applyFill="1" applyAlignment="1">
      <alignment wrapText="1"/>
    </xf>
    <xf numFmtId="0" fontId="24" fillId="13" borderId="51" xfId="0" applyFont="1" applyFill="1" applyBorder="1" applyAlignment="1">
      <alignment horizontal="left" vertical="top" wrapText="1"/>
    </xf>
    <xf numFmtId="0" fontId="0" fillId="13" borderId="51" xfId="0" applyFill="1" applyBorder="1" applyAlignment="1"/>
    <xf numFmtId="0" fontId="3" fillId="17" borderId="0" xfId="0" applyFont="1" applyFill="1" applyAlignment="1">
      <alignment horizontal="left" vertical="center"/>
    </xf>
    <xf numFmtId="164" fontId="0" fillId="26" borderId="13" xfId="0" applyNumberFormat="1" applyFill="1" applyBorder="1" applyAlignment="1" applyProtection="1">
      <alignment vertical="top" wrapText="1"/>
      <protection locked="0"/>
    </xf>
    <xf numFmtId="0" fontId="34" fillId="31" borderId="0" xfId="0" applyFont="1" applyFill="1" applyAlignment="1">
      <alignment vertical="top" wrapText="1"/>
    </xf>
    <xf numFmtId="0" fontId="28" fillId="31" borderId="0" xfId="0" applyFont="1" applyFill="1" applyAlignment="1">
      <alignment vertical="top" wrapText="1"/>
    </xf>
    <xf numFmtId="0" fontId="73" fillId="29" borderId="13" xfId="0" applyFont="1" applyFill="1" applyBorder="1" applyAlignment="1" applyProtection="1">
      <alignment horizontal="center" vertical="center"/>
    </xf>
    <xf numFmtId="0" fontId="97" fillId="29" borderId="0" xfId="0" applyFont="1" applyFill="1" applyAlignment="1">
      <alignment horizontal="left" vertical="top" wrapText="1"/>
    </xf>
    <xf numFmtId="0" fontId="98" fillId="29" borderId="0" xfId="0" applyFont="1" applyFill="1" applyAlignment="1">
      <alignment horizontal="left" vertical="top" wrapText="1"/>
    </xf>
    <xf numFmtId="0" fontId="97" fillId="13" borderId="0" xfId="0" applyFont="1" applyFill="1" applyAlignment="1">
      <alignment horizontal="left" vertical="center" wrapText="1"/>
    </xf>
    <xf numFmtId="0" fontId="98" fillId="0" borderId="0" xfId="0" applyFont="1" applyAlignment="1">
      <alignment horizontal="left" vertical="center" wrapText="1"/>
    </xf>
    <xf numFmtId="0" fontId="34" fillId="20" borderId="0" xfId="0" applyFont="1" applyFill="1" applyAlignment="1">
      <alignment vertical="top" wrapText="1"/>
    </xf>
    <xf numFmtId="0" fontId="28" fillId="13" borderId="0" xfId="0" applyFont="1" applyFill="1" applyAlignment="1">
      <alignment vertical="top" wrapText="1"/>
    </xf>
    <xf numFmtId="0" fontId="0" fillId="0" borderId="0" xfId="0" applyAlignment="1">
      <alignment vertical="top" wrapText="1"/>
    </xf>
    <xf numFmtId="0" fontId="8" fillId="20" borderId="122" xfId="14" applyFill="1" applyBorder="1" applyAlignment="1" applyProtection="1">
      <alignment horizontal="center" vertical="top" wrapText="1"/>
    </xf>
    <xf numFmtId="0" fontId="3" fillId="17" borderId="0" xfId="0" applyFont="1" applyFill="1" applyAlignment="1">
      <alignment horizontal="left"/>
    </xf>
    <xf numFmtId="0" fontId="2" fillId="13" borderId="51" xfId="0" applyFont="1" applyFill="1" applyBorder="1" applyAlignment="1">
      <alignment horizontal="left" wrapText="1"/>
    </xf>
    <xf numFmtId="0" fontId="2" fillId="13" borderId="119" xfId="0" applyFont="1" applyFill="1" applyBorder="1" applyAlignment="1">
      <alignment horizontal="left" wrapText="1"/>
    </xf>
    <xf numFmtId="49" fontId="2" fillId="25" borderId="110" xfId="0" applyNumberFormat="1" applyFont="1" applyFill="1" applyBorder="1" applyAlignment="1" applyProtection="1">
      <alignment horizontal="left" vertical="top" wrapText="1"/>
      <protection locked="0"/>
    </xf>
    <xf numFmtId="49" fontId="2" fillId="25" borderId="113" xfId="0" applyNumberFormat="1" applyFont="1" applyFill="1" applyBorder="1" applyAlignment="1" applyProtection="1">
      <alignment horizontal="left" vertical="top" wrapText="1"/>
      <protection locked="0"/>
    </xf>
    <xf numFmtId="49" fontId="2" fillId="25" borderId="121" xfId="0" applyNumberFormat="1" applyFont="1" applyFill="1" applyBorder="1" applyAlignment="1" applyProtection="1">
      <alignment horizontal="left" vertical="top" wrapText="1"/>
      <protection locked="0"/>
    </xf>
    <xf numFmtId="0" fontId="6" fillId="26" borderId="114" xfId="0" applyFont="1" applyFill="1" applyBorder="1" applyAlignment="1" applyProtection="1">
      <alignment horizontal="left" vertical="top" wrapText="1"/>
      <protection locked="0"/>
    </xf>
    <xf numFmtId="0" fontId="6" fillId="26" borderId="51" xfId="0" applyFont="1" applyFill="1" applyBorder="1" applyAlignment="1" applyProtection="1">
      <alignment horizontal="left" vertical="top" wrapText="1"/>
      <protection locked="0"/>
    </xf>
    <xf numFmtId="0" fontId="2" fillId="13" borderId="51" xfId="0" applyFont="1" applyFill="1"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0" fillId="0" borderId="119" xfId="0" applyBorder="1" applyAlignment="1" applyProtection="1">
      <alignment horizontal="left" vertical="top" wrapText="1"/>
      <protection locked="0"/>
    </xf>
    <xf numFmtId="0" fontId="6" fillId="26" borderId="111" xfId="0" applyFont="1" applyFill="1" applyBorder="1" applyAlignment="1" applyProtection="1">
      <alignment horizontal="left" vertical="top" wrapText="1"/>
      <protection locked="0"/>
    </xf>
    <xf numFmtId="0" fontId="6" fillId="26" borderId="112" xfId="0" applyFont="1" applyFill="1" applyBorder="1" applyAlignment="1" applyProtection="1">
      <alignment horizontal="left" vertical="top" wrapText="1"/>
      <protection locked="0"/>
    </xf>
    <xf numFmtId="0" fontId="2" fillId="13" borderId="112" xfId="0" applyFont="1" applyFill="1" applyBorder="1" applyAlignment="1" applyProtection="1">
      <alignment horizontal="left" vertical="top" wrapText="1"/>
      <protection locked="0"/>
    </xf>
    <xf numFmtId="0" fontId="0" fillId="0" borderId="112"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6" fillId="26" borderId="134" xfId="0" applyFont="1" applyFill="1" applyBorder="1" applyAlignment="1" applyProtection="1">
      <alignment horizontal="left" vertical="top" wrapText="1"/>
      <protection locked="0"/>
    </xf>
    <xf numFmtId="0" fontId="6" fillId="26" borderId="50" xfId="0" applyFont="1" applyFill="1" applyBorder="1" applyAlignment="1" applyProtection="1">
      <alignment horizontal="left" vertical="top" wrapText="1"/>
      <protection locked="0"/>
    </xf>
    <xf numFmtId="0" fontId="2" fillId="13" borderId="50" xfId="0" applyFont="1"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6" fillId="26" borderId="110" xfId="0" applyFont="1" applyFill="1" applyBorder="1" applyAlignment="1" applyProtection="1">
      <alignment horizontal="left" vertical="top" wrapText="1"/>
      <protection locked="0"/>
    </xf>
    <xf numFmtId="0" fontId="6" fillId="26" borderId="113" xfId="0" applyFont="1" applyFill="1" applyBorder="1" applyAlignment="1" applyProtection="1">
      <alignment horizontal="left" vertical="top" wrapText="1"/>
      <protection locked="0"/>
    </xf>
    <xf numFmtId="0" fontId="2" fillId="13" borderId="113" xfId="0" applyFont="1" applyFill="1" applyBorder="1" applyAlignment="1" applyProtection="1">
      <alignment horizontal="left" vertical="top" wrapText="1"/>
      <protection locked="0"/>
    </xf>
    <xf numFmtId="0" fontId="0" fillId="0" borderId="113"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49" fontId="2" fillId="25" borderId="114" xfId="0" applyNumberFormat="1" applyFont="1" applyFill="1" applyBorder="1" applyAlignment="1" applyProtection="1">
      <alignment horizontal="left" vertical="top" wrapText="1"/>
      <protection locked="0"/>
    </xf>
    <xf numFmtId="49" fontId="2" fillId="25" borderId="51" xfId="0" applyNumberFormat="1" applyFont="1" applyFill="1" applyBorder="1" applyAlignment="1" applyProtection="1">
      <alignment horizontal="left" vertical="top" wrapText="1"/>
      <protection locked="0"/>
    </xf>
    <xf numFmtId="49" fontId="2" fillId="25" borderId="119" xfId="0" applyNumberFormat="1" applyFont="1" applyFill="1" applyBorder="1" applyAlignment="1" applyProtection="1">
      <alignment horizontal="left" vertical="top" wrapText="1"/>
      <protection locked="0"/>
    </xf>
    <xf numFmtId="0" fontId="11" fillId="13" borderId="0" xfId="0" applyFont="1" applyFill="1" applyAlignment="1">
      <alignment horizontal="left" vertical="top" wrapText="1"/>
    </xf>
    <xf numFmtId="0" fontId="4" fillId="13" borderId="0" xfId="0" applyFont="1" applyFill="1" applyAlignment="1">
      <alignment horizontal="left" vertical="top" wrapText="1"/>
    </xf>
    <xf numFmtId="49" fontId="2" fillId="25" borderId="111" xfId="0" applyNumberFormat="1" applyFont="1" applyFill="1" applyBorder="1" applyAlignment="1" applyProtection="1">
      <alignment horizontal="left" vertical="top" wrapText="1"/>
      <protection locked="0"/>
    </xf>
    <xf numFmtId="49" fontId="2" fillId="25" borderId="112" xfId="0" applyNumberFormat="1" applyFont="1" applyFill="1" applyBorder="1" applyAlignment="1" applyProtection="1">
      <alignment horizontal="left" vertical="top" wrapText="1"/>
      <protection locked="0"/>
    </xf>
    <xf numFmtId="49" fontId="2" fillId="25" borderId="120" xfId="0" applyNumberFormat="1" applyFont="1" applyFill="1" applyBorder="1" applyAlignment="1" applyProtection="1">
      <alignment horizontal="left" vertical="top" wrapText="1"/>
      <protection locked="0"/>
    </xf>
    <xf numFmtId="0" fontId="4" fillId="13" borderId="0" xfId="0" applyFont="1" applyFill="1" applyAlignment="1">
      <alignment horizontal="left" vertical="top"/>
    </xf>
    <xf numFmtId="0" fontId="2" fillId="32" borderId="25" xfId="0" applyFont="1" applyFill="1" applyBorder="1" applyAlignment="1">
      <alignment horizontal="left" vertical="top"/>
    </xf>
    <xf numFmtId="0" fontId="2" fillId="32" borderId="26" xfId="0" applyFont="1" applyFill="1" applyBorder="1" applyAlignment="1">
      <alignment horizontal="left" vertical="top"/>
    </xf>
    <xf numFmtId="0" fontId="2" fillId="32" borderId="27" xfId="0" applyFont="1" applyFill="1" applyBorder="1" applyAlignment="1">
      <alignment horizontal="left" vertical="top"/>
    </xf>
    <xf numFmtId="164" fontId="0" fillId="0" borderId="12" xfId="0" applyNumberFormat="1" applyBorder="1" applyAlignment="1" applyProtection="1">
      <alignment horizontal="center" vertical="top" wrapText="1"/>
      <protection locked="0"/>
    </xf>
    <xf numFmtId="164" fontId="0" fillId="26" borderId="34" xfId="0" applyNumberFormat="1" applyFill="1" applyBorder="1" applyAlignment="1" applyProtection="1">
      <alignment horizontal="center" vertical="top" wrapText="1"/>
      <protection locked="0"/>
    </xf>
    <xf numFmtId="164" fontId="0" fillId="26" borderId="12" xfId="0" applyNumberFormat="1" applyFill="1" applyBorder="1" applyAlignment="1" applyProtection="1">
      <alignment horizontal="center" vertical="top" wrapText="1"/>
      <protection locked="0"/>
    </xf>
    <xf numFmtId="164" fontId="0" fillId="26" borderId="35" xfId="0" applyNumberFormat="1" applyFill="1" applyBorder="1" applyAlignment="1" applyProtection="1">
      <alignment horizontal="center" vertical="top" wrapText="1"/>
      <protection locked="0"/>
    </xf>
    <xf numFmtId="49" fontId="2" fillId="25" borderId="25" xfId="0" applyNumberFormat="1" applyFont="1" applyFill="1" applyBorder="1" applyAlignment="1" applyProtection="1">
      <alignment horizontal="left" vertical="top"/>
      <protection locked="0"/>
    </xf>
    <xf numFmtId="49" fontId="2" fillId="25" borderId="26" xfId="0" applyNumberFormat="1" applyFont="1" applyFill="1" applyBorder="1" applyAlignment="1" applyProtection="1">
      <alignment horizontal="left" vertical="top"/>
      <protection locked="0"/>
    </xf>
    <xf numFmtId="49" fontId="2" fillId="25" borderId="27" xfId="0" applyNumberFormat="1" applyFont="1" applyFill="1" applyBorder="1" applyAlignment="1" applyProtection="1">
      <alignment horizontal="left" vertical="top"/>
      <protection locked="0"/>
    </xf>
    <xf numFmtId="49" fontId="2" fillId="25" borderId="29" xfId="0" applyNumberFormat="1" applyFont="1" applyFill="1" applyBorder="1" applyAlignment="1" applyProtection="1">
      <alignment horizontal="left" vertical="top"/>
      <protection locked="0"/>
    </xf>
    <xf numFmtId="49" fontId="2" fillId="25" borderId="64" xfId="0" applyNumberFormat="1" applyFont="1" applyFill="1" applyBorder="1" applyAlignment="1" applyProtection="1">
      <alignment horizontal="left" vertical="top"/>
      <protection locked="0"/>
    </xf>
    <xf numFmtId="49" fontId="2" fillId="25" borderId="30" xfId="0" applyNumberFormat="1" applyFont="1" applyFill="1" applyBorder="1" applyAlignment="1" applyProtection="1">
      <alignment horizontal="left" vertical="top"/>
      <protection locked="0"/>
    </xf>
    <xf numFmtId="0" fontId="2" fillId="25" borderId="25" xfId="0" applyFont="1" applyFill="1" applyBorder="1" applyAlignment="1" applyProtection="1">
      <alignment horizontal="left" vertical="top"/>
      <protection locked="0"/>
    </xf>
    <xf numFmtId="0" fontId="2" fillId="25" borderId="26" xfId="0" applyFont="1" applyFill="1" applyBorder="1" applyAlignment="1" applyProtection="1">
      <alignment horizontal="left" vertical="top"/>
      <protection locked="0"/>
    </xf>
    <xf numFmtId="0" fontId="2" fillId="25" borderId="27" xfId="0" applyFont="1" applyFill="1" applyBorder="1" applyAlignment="1" applyProtection="1">
      <alignment horizontal="left" vertical="top"/>
      <protection locked="0"/>
    </xf>
    <xf numFmtId="49" fontId="2" fillId="25" borderId="32" xfId="0" applyNumberFormat="1" applyFont="1" applyFill="1" applyBorder="1" applyAlignment="1" applyProtection="1">
      <alignment horizontal="left" vertical="top"/>
      <protection locked="0"/>
    </xf>
    <xf numFmtId="49" fontId="2" fillId="25" borderId="0" xfId="0" applyNumberFormat="1" applyFont="1" applyFill="1" applyAlignment="1" applyProtection="1">
      <alignment horizontal="left" vertical="top"/>
      <protection locked="0"/>
    </xf>
    <xf numFmtId="49" fontId="2" fillId="25" borderId="33" xfId="0" applyNumberFormat="1" applyFont="1" applyFill="1" applyBorder="1" applyAlignment="1" applyProtection="1">
      <alignment horizontal="left" vertical="top"/>
      <protection locked="0"/>
    </xf>
    <xf numFmtId="49" fontId="2" fillId="25" borderId="34" xfId="0" applyNumberFormat="1" applyFont="1" applyFill="1" applyBorder="1" applyAlignment="1" applyProtection="1">
      <alignment horizontal="left" vertical="top"/>
      <protection locked="0"/>
    </xf>
    <xf numFmtId="49" fontId="2" fillId="25" borderId="12" xfId="0" applyNumberFormat="1" applyFont="1" applyFill="1" applyBorder="1" applyAlignment="1" applyProtection="1">
      <alignment horizontal="left" vertical="top"/>
      <protection locked="0"/>
    </xf>
    <xf numFmtId="49" fontId="2" fillId="25" borderId="35" xfId="0" applyNumberFormat="1" applyFont="1" applyFill="1" applyBorder="1" applyAlignment="1" applyProtection="1">
      <alignment horizontal="left" vertical="top"/>
      <protection locked="0"/>
    </xf>
    <xf numFmtId="0" fontId="52" fillId="13" borderId="0" xfId="0" applyFont="1" applyFill="1" applyAlignment="1">
      <alignment horizontal="left" vertical="top" wrapText="1"/>
    </xf>
    <xf numFmtId="1" fontId="6" fillId="25" borderId="13" xfId="0" applyNumberFormat="1" applyFont="1" applyFill="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6" fillId="18" borderId="25" xfId="0" applyFont="1" applyFill="1" applyBorder="1" applyAlignment="1">
      <alignment vertical="top" wrapText="1"/>
    </xf>
    <xf numFmtId="0" fontId="6" fillId="18" borderId="26" xfId="0" applyFont="1" applyFill="1" applyBorder="1" applyAlignment="1">
      <alignment vertical="top" wrapText="1"/>
    </xf>
    <xf numFmtId="0" fontId="6" fillId="18" borderId="27" xfId="0" applyFont="1" applyFill="1" applyBorder="1" applyAlignment="1">
      <alignment vertical="top" wrapText="1"/>
    </xf>
    <xf numFmtId="0" fontId="6" fillId="25" borderId="13" xfId="0" applyFont="1" applyFill="1" applyBorder="1" applyAlignment="1" applyProtection="1">
      <alignment vertical="top" wrapText="1"/>
      <protection locked="0"/>
    </xf>
    <xf numFmtId="0" fontId="6" fillId="34" borderId="13" xfId="0" applyFont="1" applyFill="1" applyBorder="1" applyAlignment="1" applyProtection="1">
      <protection locked="0"/>
    </xf>
    <xf numFmtId="0" fontId="6" fillId="25" borderId="13" xfId="0" applyFont="1" applyFill="1" applyBorder="1" applyAlignment="1" applyProtection="1">
      <alignment shrinkToFit="1"/>
      <protection locked="0"/>
    </xf>
    <xf numFmtId="0" fontId="6" fillId="25" borderId="25" xfId="0" applyFont="1" applyFill="1" applyBorder="1" applyAlignment="1" applyProtection="1">
      <alignment horizontal="left" vertical="top" wrapText="1"/>
      <protection locked="0"/>
    </xf>
    <xf numFmtId="0" fontId="48" fillId="13" borderId="0" xfId="0" applyFont="1" applyFill="1" applyAlignment="1">
      <alignment horizontal="left" vertical="top" wrapText="1"/>
    </xf>
    <xf numFmtId="0" fontId="0" fillId="13" borderId="0" xfId="0" applyFill="1" applyAlignment="1">
      <alignment horizontal="left" vertical="top" wrapText="1"/>
    </xf>
    <xf numFmtId="0" fontId="7" fillId="13" borderId="25" xfId="0" applyFont="1" applyFill="1" applyBorder="1" applyAlignment="1">
      <alignment horizontal="left" vertical="top" wrapText="1"/>
    </xf>
    <xf numFmtId="0" fontId="7" fillId="13" borderId="26" xfId="0" applyFont="1" applyFill="1" applyBorder="1" applyAlignment="1">
      <alignment horizontal="left" vertical="top" wrapText="1"/>
    </xf>
    <xf numFmtId="0" fontId="7" fillId="13" borderId="27" xfId="0" applyFont="1" applyFill="1" applyBorder="1" applyAlignment="1">
      <alignment horizontal="left" vertical="top" wrapText="1"/>
    </xf>
    <xf numFmtId="0" fontId="4" fillId="29" borderId="0" xfId="0" applyFont="1" applyFill="1" applyAlignment="1">
      <alignment horizontal="left" vertical="top" wrapText="1"/>
    </xf>
    <xf numFmtId="0" fontId="78" fillId="13" borderId="110" xfId="0" applyFont="1" applyFill="1" applyBorder="1" applyAlignment="1">
      <alignment horizontal="left" vertical="top" wrapText="1"/>
    </xf>
    <xf numFmtId="0" fontId="0" fillId="0" borderId="113" xfId="0" applyBorder="1" applyAlignment="1">
      <alignment horizontal="left" vertical="top" wrapText="1"/>
    </xf>
    <xf numFmtId="0" fontId="0" fillId="0" borderId="121" xfId="0" applyBorder="1" applyAlignment="1">
      <alignment horizontal="left" vertical="top" wrapText="1"/>
    </xf>
    <xf numFmtId="0" fontId="5" fillId="13" borderId="0" xfId="0" applyFont="1" applyFill="1" applyAlignment="1">
      <alignment vertical="top" wrapText="1"/>
    </xf>
    <xf numFmtId="0" fontId="6" fillId="25" borderId="13" xfId="0" applyFont="1" applyFill="1" applyBorder="1" applyAlignment="1" applyProtection="1">
      <alignment horizontal="left" vertical="top" wrapText="1"/>
      <protection locked="0"/>
    </xf>
    <xf numFmtId="0" fontId="78" fillId="13" borderId="111" xfId="0" applyFont="1" applyFill="1" applyBorder="1" applyAlignment="1">
      <alignment horizontal="left" vertical="top" wrapText="1"/>
    </xf>
    <xf numFmtId="0" fontId="0" fillId="0" borderId="112" xfId="0" applyBorder="1" applyAlignment="1">
      <alignment horizontal="left" vertical="top" wrapText="1"/>
    </xf>
    <xf numFmtId="0" fontId="0" fillId="0" borderId="120" xfId="0" applyBorder="1" applyAlignment="1">
      <alignment horizontal="left" vertical="top" wrapText="1"/>
    </xf>
    <xf numFmtId="0" fontId="0" fillId="0" borderId="26" xfId="0" applyBorder="1" applyAlignment="1">
      <alignment horizontal="left" vertical="top" wrapText="1"/>
    </xf>
    <xf numFmtId="0" fontId="10" fillId="13" borderId="0" xfId="0" applyFont="1" applyFill="1" applyAlignment="1">
      <alignment horizontal="left" vertical="center" wrapText="1"/>
    </xf>
    <xf numFmtId="0" fontId="2" fillId="20" borderId="42" xfId="0" applyFont="1" applyFill="1" applyBorder="1" applyAlignment="1">
      <alignment horizontal="center" vertical="center" wrapText="1"/>
    </xf>
    <xf numFmtId="0" fontId="2" fillId="20" borderId="94" xfId="0" applyFont="1" applyFill="1" applyBorder="1" applyAlignment="1">
      <alignment horizontal="center" vertical="center" wrapText="1"/>
    </xf>
    <xf numFmtId="0" fontId="0" fillId="20" borderId="72" xfId="0" applyFill="1" applyBorder="1" applyAlignment="1">
      <alignment horizontal="center" vertical="center" wrapText="1"/>
    </xf>
    <xf numFmtId="0" fontId="0" fillId="20" borderId="0" xfId="0" applyFill="1" applyAlignment="1">
      <alignment horizontal="center" vertical="center" wrapText="1"/>
    </xf>
    <xf numFmtId="0" fontId="0" fillId="20" borderId="71" xfId="0" applyFill="1" applyBorder="1" applyAlignment="1">
      <alignment horizontal="center" vertical="center" wrapText="1"/>
    </xf>
    <xf numFmtId="0" fontId="0" fillId="20" borderId="97" xfId="0" applyFill="1" applyBorder="1" applyAlignment="1">
      <alignment horizontal="center" vertical="center" wrapText="1"/>
    </xf>
    <xf numFmtId="0" fontId="0" fillId="20" borderId="41" xfId="0" applyFill="1" applyBorder="1" applyAlignment="1">
      <alignment horizontal="center" vertical="center" wrapText="1"/>
    </xf>
    <xf numFmtId="0" fontId="0" fillId="20" borderId="98" xfId="0" applyFill="1" applyBorder="1" applyAlignment="1">
      <alignment horizontal="center" vertical="center" wrapText="1"/>
    </xf>
    <xf numFmtId="0" fontId="78" fillId="13" borderId="113" xfId="0" applyFont="1" applyFill="1" applyBorder="1" applyAlignment="1">
      <alignment horizontal="left" vertical="top" wrapText="1"/>
    </xf>
    <xf numFmtId="0" fontId="78" fillId="13" borderId="121" xfId="0" applyFont="1" applyFill="1" applyBorder="1" applyAlignment="1">
      <alignment horizontal="left" vertical="top" wrapText="1"/>
    </xf>
    <xf numFmtId="0" fontId="6" fillId="0" borderId="112" xfId="0" applyFont="1" applyBorder="1" applyAlignment="1">
      <alignment horizontal="left" vertical="top" wrapText="1"/>
    </xf>
    <xf numFmtId="0" fontId="6" fillId="0" borderId="120" xfId="0" applyFont="1" applyBorder="1" applyAlignment="1">
      <alignment horizontal="left" vertical="top" wrapText="1"/>
    </xf>
    <xf numFmtId="0" fontId="78" fillId="13" borderId="69" xfId="0" applyFont="1" applyFill="1" applyBorder="1" applyAlignment="1">
      <alignment vertical="top" wrapText="1"/>
    </xf>
    <xf numFmtId="0" fontId="78" fillId="13" borderId="70" xfId="0" applyFont="1" applyFill="1" applyBorder="1" applyAlignment="1">
      <alignment vertical="top" wrapText="1"/>
    </xf>
    <xf numFmtId="0" fontId="7" fillId="13" borderId="13" xfId="0" applyFont="1" applyFill="1" applyBorder="1" applyAlignment="1">
      <alignment horizontal="left" vertical="top" wrapText="1"/>
    </xf>
    <xf numFmtId="0" fontId="78" fillId="13" borderId="69" xfId="0" applyFont="1" applyFill="1" applyBorder="1" applyAlignment="1"/>
    <xf numFmtId="0" fontId="78" fillId="13" borderId="111" xfId="0" applyFont="1" applyFill="1" applyBorder="1" applyAlignment="1">
      <alignment wrapText="1"/>
    </xf>
    <xf numFmtId="0" fontId="78" fillId="13" borderId="120" xfId="0" applyFont="1" applyFill="1" applyBorder="1" applyAlignment="1">
      <alignment wrapText="1"/>
    </xf>
    <xf numFmtId="1" fontId="78" fillId="13" borderId="70" xfId="0" applyNumberFormat="1" applyFont="1" applyFill="1" applyBorder="1" applyAlignment="1">
      <alignment horizontal="left" vertical="top" wrapText="1"/>
    </xf>
    <xf numFmtId="0" fontId="84" fillId="0" borderId="70" xfId="0" applyFont="1" applyBorder="1" applyAlignment="1">
      <alignment horizontal="left" vertical="top" wrapText="1"/>
    </xf>
    <xf numFmtId="0" fontId="78" fillId="13" borderId="110" xfId="0" applyFont="1" applyFill="1" applyBorder="1" applyAlignment="1">
      <alignment vertical="top" wrapText="1"/>
    </xf>
    <xf numFmtId="0" fontId="78" fillId="13" borderId="113" xfId="0" applyFont="1" applyFill="1" applyBorder="1" applyAlignment="1">
      <alignment vertical="top" wrapText="1"/>
    </xf>
    <xf numFmtId="0" fontId="78" fillId="13" borderId="121" xfId="0" applyFont="1" applyFill="1" applyBorder="1" applyAlignment="1">
      <alignment vertical="top" wrapText="1"/>
    </xf>
    <xf numFmtId="0" fontId="78" fillId="13" borderId="111" xfId="0" applyFont="1" applyFill="1" applyBorder="1" applyAlignment="1">
      <alignment vertical="top" wrapText="1"/>
    </xf>
    <xf numFmtId="0" fontId="78" fillId="13" borderId="112" xfId="0" applyFont="1" applyFill="1" applyBorder="1" applyAlignment="1">
      <alignment vertical="top" wrapText="1"/>
    </xf>
    <xf numFmtId="0" fontId="78" fillId="13" borderId="120" xfId="0" applyFont="1" applyFill="1" applyBorder="1" applyAlignment="1">
      <alignment vertical="top" wrapText="1"/>
    </xf>
    <xf numFmtId="0" fontId="6" fillId="0" borderId="13" xfId="0" applyFont="1" applyBorder="1" applyAlignment="1">
      <alignment horizontal="left" vertical="top" wrapText="1"/>
    </xf>
    <xf numFmtId="1" fontId="78" fillId="13" borderId="69" xfId="0" applyNumberFormat="1" applyFont="1" applyFill="1" applyBorder="1" applyAlignment="1">
      <alignment horizontal="left" vertical="top" wrapText="1"/>
    </xf>
    <xf numFmtId="0" fontId="84" fillId="0" borderId="69" xfId="0" applyFont="1" applyBorder="1" applyAlignment="1">
      <alignment horizontal="left" vertical="top" wrapText="1"/>
    </xf>
    <xf numFmtId="0" fontId="4" fillId="13" borderId="0" xfId="0" applyFont="1" applyFill="1" applyAlignment="1">
      <alignment horizontal="left" vertical="center"/>
    </xf>
    <xf numFmtId="0" fontId="5" fillId="13" borderId="0" xfId="0" applyFont="1" applyFill="1" applyAlignment="1">
      <alignment horizontal="left" vertical="top" wrapText="1" indent="1"/>
    </xf>
    <xf numFmtId="0" fontId="78" fillId="13" borderId="8" xfId="0" applyFont="1" applyFill="1" applyBorder="1" applyAlignment="1">
      <alignment vertical="top" wrapText="1"/>
    </xf>
    <xf numFmtId="0" fontId="78" fillId="13" borderId="114" xfId="0" applyFont="1" applyFill="1" applyBorder="1" applyAlignment="1">
      <alignment wrapText="1"/>
    </xf>
    <xf numFmtId="0" fontId="78" fillId="13" borderId="119" xfId="0" applyFont="1" applyFill="1" applyBorder="1" applyAlignment="1">
      <alignment wrapText="1"/>
    </xf>
    <xf numFmtId="0" fontId="2" fillId="13" borderId="0" xfId="0" applyFont="1" applyFill="1" applyBorder="1" applyAlignment="1">
      <alignment horizontal="left" vertical="center" wrapText="1"/>
    </xf>
    <xf numFmtId="0" fontId="40" fillId="25" borderId="18" xfId="0" applyFont="1" applyFill="1" applyBorder="1" applyAlignment="1" applyProtection="1">
      <alignment horizontal="left" vertical="center" wrapText="1"/>
      <protection locked="0"/>
    </xf>
    <xf numFmtId="0" fontId="40" fillId="25" borderId="19" xfId="0" applyFont="1" applyFill="1" applyBorder="1" applyAlignment="1" applyProtection="1">
      <alignment horizontal="left" vertical="center" wrapText="1"/>
      <protection locked="0"/>
    </xf>
    <xf numFmtId="0" fontId="40" fillId="25" borderId="20" xfId="0" applyFont="1" applyFill="1" applyBorder="1" applyAlignment="1" applyProtection="1">
      <alignment horizontal="left" vertical="center" wrapText="1"/>
      <protection locked="0"/>
    </xf>
    <xf numFmtId="0" fontId="2" fillId="18" borderId="92" xfId="0" applyFont="1" applyFill="1" applyBorder="1" applyAlignment="1">
      <alignment horizontal="left" vertical="center"/>
    </xf>
    <xf numFmtId="0" fontId="0" fillId="0" borderId="128" xfId="0" applyBorder="1" applyAlignment="1">
      <alignment vertical="center"/>
    </xf>
    <xf numFmtId="0" fontId="2" fillId="18" borderId="51" xfId="0" applyFont="1" applyFill="1" applyBorder="1" applyAlignment="1">
      <alignment horizontal="left" vertical="center"/>
    </xf>
    <xf numFmtId="0" fontId="2" fillId="34" borderId="25" xfId="0" applyFont="1" applyFill="1" applyBorder="1" applyAlignment="1" applyProtection="1">
      <alignment horizontal="left" vertical="center"/>
      <protection locked="0"/>
    </xf>
    <xf numFmtId="0" fontId="2" fillId="34" borderId="27" xfId="0" applyFont="1" applyFill="1" applyBorder="1" applyAlignment="1" applyProtection="1">
      <alignment horizontal="left" vertical="center"/>
      <protection locked="0"/>
    </xf>
    <xf numFmtId="0" fontId="2" fillId="25" borderId="18" xfId="0" applyFont="1" applyFill="1" applyBorder="1" applyAlignment="1" applyProtection="1">
      <alignment horizontal="left" vertical="top"/>
      <protection locked="0"/>
    </xf>
    <xf numFmtId="0" fontId="2" fillId="25" borderId="20" xfId="0" applyFont="1" applyFill="1" applyBorder="1" applyAlignment="1" applyProtection="1">
      <alignment horizontal="left" vertical="top"/>
      <protection locked="0"/>
    </xf>
    <xf numFmtId="0" fontId="0" fillId="18" borderId="52" xfId="0" applyFill="1" applyBorder="1" applyAlignment="1">
      <alignment horizontal="left" vertical="center"/>
    </xf>
    <xf numFmtId="0" fontId="0" fillId="18" borderId="53" xfId="0" applyFill="1" applyBorder="1" applyAlignment="1">
      <alignment horizontal="left" vertical="center"/>
    </xf>
    <xf numFmtId="0" fontId="0" fillId="18" borderId="54" xfId="0" applyFill="1" applyBorder="1" applyAlignment="1">
      <alignment horizontal="left" vertical="center"/>
    </xf>
    <xf numFmtId="0" fontId="2" fillId="18" borderId="130" xfId="0" applyFont="1" applyFill="1" applyBorder="1" applyAlignment="1">
      <alignment horizontal="left" vertical="top"/>
    </xf>
    <xf numFmtId="0" fontId="2" fillId="18" borderId="50" xfId="0" applyFont="1" applyFill="1" applyBorder="1" applyAlignment="1">
      <alignment horizontal="left" vertical="top"/>
    </xf>
    <xf numFmtId="0" fontId="2" fillId="18" borderId="131" xfId="0" applyFont="1" applyFill="1" applyBorder="1" applyAlignment="1">
      <alignment horizontal="left" vertical="top"/>
    </xf>
    <xf numFmtId="0" fontId="6" fillId="13" borderId="12" xfId="0" applyFont="1" applyFill="1" applyBorder="1" applyAlignment="1">
      <alignment horizontal="center"/>
    </xf>
    <xf numFmtId="0" fontId="2" fillId="13" borderId="0" xfId="0" applyFont="1" applyFill="1" applyAlignment="1">
      <alignment horizontal="right" vertical="center"/>
    </xf>
    <xf numFmtId="0" fontId="2" fillId="13" borderId="33" xfId="0" applyFont="1" applyFill="1" applyBorder="1" applyAlignment="1">
      <alignment horizontal="right" vertical="center"/>
    </xf>
    <xf numFmtId="0" fontId="2" fillId="13" borderId="0" xfId="0" applyFont="1" applyFill="1" applyAlignment="1">
      <alignment horizontal="left" vertical="center" wrapText="1"/>
    </xf>
    <xf numFmtId="0" fontId="2" fillId="13" borderId="33" xfId="0" applyFont="1" applyFill="1" applyBorder="1" applyAlignment="1">
      <alignment horizontal="left" vertical="center" wrapText="1"/>
    </xf>
    <xf numFmtId="0" fontId="0" fillId="18" borderId="27" xfId="0" applyFill="1" applyBorder="1" applyAlignment="1">
      <alignment horizontal="left" vertical="top"/>
    </xf>
    <xf numFmtId="0" fontId="0" fillId="18" borderId="13" xfId="0" applyFill="1" applyBorder="1" applyAlignment="1">
      <alignment horizontal="left" vertical="top"/>
    </xf>
    <xf numFmtId="0" fontId="23" fillId="38" borderId="13" xfId="0" applyFont="1" applyFill="1" applyBorder="1" applyAlignment="1">
      <alignment horizontal="center" vertical="center"/>
    </xf>
    <xf numFmtId="0" fontId="4" fillId="13" borderId="50" xfId="0" applyFont="1" applyFill="1" applyBorder="1" applyAlignment="1">
      <alignment horizontal="center" vertical="center"/>
    </xf>
    <xf numFmtId="0" fontId="4" fillId="13" borderId="41" xfId="0" applyFont="1" applyFill="1" applyBorder="1" applyAlignment="1">
      <alignment horizontal="center" vertical="center"/>
    </xf>
    <xf numFmtId="167" fontId="2" fillId="25" borderId="18" xfId="0" applyNumberFormat="1" applyFont="1" applyFill="1" applyBorder="1" applyAlignment="1" applyProtection="1">
      <alignment horizontal="center" vertical="center" shrinkToFit="1"/>
      <protection locked="0"/>
    </xf>
    <xf numFmtId="167" fontId="2" fillId="25" borderId="20" xfId="0" applyNumberFormat="1" applyFont="1" applyFill="1" applyBorder="1" applyAlignment="1" applyProtection="1">
      <alignment horizontal="center" vertical="center" shrinkToFit="1"/>
      <protection locked="0"/>
    </xf>
    <xf numFmtId="0" fontId="2" fillId="29" borderId="0" xfId="0" applyFont="1" applyFill="1" applyAlignment="1">
      <alignment horizontal="right" vertical="center"/>
    </xf>
    <xf numFmtId="0" fontId="2" fillId="26" borderId="25" xfId="0" applyFont="1" applyFill="1" applyBorder="1" applyAlignment="1" applyProtection="1">
      <alignment horizontal="left" vertical="top" wrapText="1"/>
      <protection locked="0"/>
    </xf>
    <xf numFmtId="0" fontId="2" fillId="26" borderId="26" xfId="0" applyFont="1" applyFill="1" applyBorder="1" applyAlignment="1" applyProtection="1">
      <alignment horizontal="left" vertical="top" wrapText="1"/>
      <protection locked="0"/>
    </xf>
    <xf numFmtId="0" fontId="2" fillId="26" borderId="27" xfId="0" applyFont="1" applyFill="1" applyBorder="1" applyAlignment="1" applyProtection="1">
      <alignment horizontal="left" vertical="top" wrapText="1"/>
      <protection locked="0"/>
    </xf>
    <xf numFmtId="0" fontId="48" fillId="13" borderId="61" xfId="0" quotePrefix="1" applyFont="1" applyFill="1" applyBorder="1" applyAlignment="1">
      <alignment horizontal="right" vertical="top" wrapText="1"/>
    </xf>
    <xf numFmtId="0" fontId="0" fillId="0" borderId="0" xfId="0" applyAlignment="1">
      <alignment horizontal="right" vertical="top" wrapText="1"/>
    </xf>
    <xf numFmtId="0" fontId="5" fillId="13" borderId="50" xfId="0" applyFont="1" applyFill="1" applyBorder="1" applyAlignment="1">
      <alignment horizontal="left" vertical="top" wrapText="1"/>
    </xf>
    <xf numFmtId="0" fontId="5" fillId="13" borderId="61" xfId="0" applyFont="1" applyFill="1" applyBorder="1" applyAlignment="1">
      <alignment horizontal="left" vertical="top" wrapText="1"/>
    </xf>
    <xf numFmtId="0" fontId="5" fillId="13" borderId="0" xfId="0" applyFont="1" applyFill="1" applyBorder="1" applyAlignment="1">
      <alignment horizontal="left" vertical="top" wrapText="1"/>
    </xf>
    <xf numFmtId="0" fontId="48" fillId="13" borderId="61" xfId="0" applyFont="1" applyFill="1" applyBorder="1" applyAlignment="1">
      <alignment horizontal="left" vertical="top" wrapText="1"/>
    </xf>
    <xf numFmtId="0" fontId="48" fillId="13" borderId="50" xfId="0" applyFont="1" applyFill="1" applyBorder="1" applyAlignment="1">
      <alignment horizontal="left" vertical="top" wrapText="1"/>
    </xf>
    <xf numFmtId="0" fontId="5" fillId="13" borderId="51" xfId="0" applyFont="1" applyFill="1" applyBorder="1" applyAlignment="1">
      <alignment horizontal="left" vertical="top" wrapText="1"/>
    </xf>
    <xf numFmtId="0" fontId="48" fillId="13" borderId="0" xfId="0" quotePrefix="1" applyFont="1" applyFill="1" applyAlignment="1">
      <alignment horizontal="right" vertical="top" wrapText="1"/>
    </xf>
    <xf numFmtId="0" fontId="48" fillId="13" borderId="0" xfId="0" quotePrefix="1" applyFont="1" applyFill="1" applyBorder="1" applyAlignment="1">
      <alignment horizontal="right" vertical="top" wrapText="1"/>
    </xf>
    <xf numFmtId="0" fontId="5" fillId="13" borderId="136" xfId="0" applyFont="1" applyFill="1" applyBorder="1" applyAlignment="1">
      <alignment horizontal="left" vertical="top" wrapText="1"/>
    </xf>
    <xf numFmtId="0" fontId="107" fillId="13" borderId="0" xfId="0" applyFont="1" applyFill="1" applyAlignment="1">
      <alignment horizontal="left" vertical="top" wrapText="1"/>
    </xf>
    <xf numFmtId="0" fontId="8" fillId="20" borderId="129" xfId="14" applyFill="1" applyBorder="1" applyAlignment="1" applyProtection="1">
      <alignment horizontal="left" vertical="top" wrapText="1"/>
    </xf>
    <xf numFmtId="0" fontId="0" fillId="0" borderId="104" xfId="0" applyBorder="1" applyAlignment="1">
      <alignment horizontal="left" vertical="top" wrapText="1"/>
    </xf>
    <xf numFmtId="0" fontId="8" fillId="20" borderId="124" xfId="14" applyFill="1" applyBorder="1" applyAlignment="1" applyProtection="1">
      <alignment horizontal="left" vertical="top" wrapText="1"/>
    </xf>
    <xf numFmtId="0" fontId="0" fillId="0" borderId="125" xfId="0" applyBorder="1" applyAlignment="1">
      <alignment horizontal="left" vertical="top" wrapText="1"/>
    </xf>
    <xf numFmtId="0" fontId="8" fillId="20" borderId="104" xfId="14" applyFill="1" applyBorder="1" applyAlignment="1" applyProtection="1">
      <alignment horizontal="left" vertical="top" wrapText="1"/>
    </xf>
    <xf numFmtId="0" fontId="5" fillId="13" borderId="61" xfId="0" quotePrefix="1" applyFont="1" applyFill="1" applyBorder="1" applyAlignment="1">
      <alignment horizontal="right" vertical="top" wrapText="1"/>
    </xf>
    <xf numFmtId="0" fontId="0" fillId="0" borderId="50" xfId="0" applyBorder="1" applyAlignment="1">
      <alignment horizontal="right" vertical="top" wrapText="1"/>
    </xf>
    <xf numFmtId="0" fontId="69" fillId="13" borderId="50" xfId="14" applyFont="1" applyFill="1" applyBorder="1" applyAlignment="1" applyProtection="1">
      <alignment horizontal="left" vertical="top" wrapText="1"/>
    </xf>
    <xf numFmtId="0" fontId="69" fillId="13" borderId="0" xfId="14" applyFont="1" applyFill="1" applyBorder="1" applyAlignment="1" applyProtection="1">
      <alignment horizontal="left" vertical="top" wrapText="1"/>
    </xf>
    <xf numFmtId="0" fontId="2" fillId="13" borderId="0" xfId="0" applyFont="1" applyFill="1" applyBorder="1" applyAlignment="1">
      <alignment vertical="center" wrapText="1"/>
    </xf>
    <xf numFmtId="0" fontId="2" fillId="0" borderId="33" xfId="0" applyFont="1" applyBorder="1" applyAlignment="1">
      <alignment wrapText="1"/>
    </xf>
    <xf numFmtId="0" fontId="39" fillId="13" borderId="50" xfId="0" applyFont="1" applyFill="1" applyBorder="1" applyAlignment="1">
      <alignment horizontal="left" vertical="center" wrapText="1"/>
    </xf>
    <xf numFmtId="0" fontId="7" fillId="13" borderId="13" xfId="0" applyFont="1" applyFill="1" applyBorder="1" applyAlignment="1">
      <alignment horizontal="left" vertical="center"/>
    </xf>
    <xf numFmtId="0" fontId="78" fillId="29" borderId="110" xfId="0" applyFont="1" applyFill="1" applyBorder="1" applyAlignment="1">
      <alignment horizontal="left" vertical="top"/>
    </xf>
    <xf numFmtId="0" fontId="78" fillId="29" borderId="113" xfId="0" applyFont="1" applyFill="1" applyBorder="1" applyAlignment="1">
      <alignment horizontal="left" vertical="top"/>
    </xf>
    <xf numFmtId="0" fontId="78" fillId="29" borderId="121" xfId="0" applyFont="1" applyFill="1" applyBorder="1" applyAlignment="1">
      <alignment horizontal="left" vertical="top"/>
    </xf>
    <xf numFmtId="0" fontId="100" fillId="13" borderId="50" xfId="0" applyFont="1" applyFill="1" applyBorder="1" applyAlignment="1">
      <alignment horizontal="left" vertical="center" wrapText="1"/>
    </xf>
    <xf numFmtId="0" fontId="6" fillId="34" borderId="25" xfId="0" applyFont="1" applyFill="1" applyBorder="1" applyAlignment="1" applyProtection="1">
      <alignment vertical="top"/>
      <protection locked="0"/>
    </xf>
    <xf numFmtId="0" fontId="6" fillId="34" borderId="26" xfId="0" applyFont="1" applyFill="1" applyBorder="1" applyAlignment="1" applyProtection="1">
      <alignment vertical="top"/>
      <protection locked="0"/>
    </xf>
    <xf numFmtId="0" fontId="6" fillId="34" borderId="27" xfId="0" applyFont="1" applyFill="1" applyBorder="1" applyAlignment="1" applyProtection="1">
      <alignment vertical="top"/>
      <protection locked="0"/>
    </xf>
    <xf numFmtId="0" fontId="7" fillId="13" borderId="13" xfId="0" applyFont="1" applyFill="1" applyBorder="1" applyAlignment="1">
      <alignment vertical="center"/>
    </xf>
    <xf numFmtId="0" fontId="6" fillId="34" borderId="25" xfId="0" applyFont="1" applyFill="1" applyBorder="1" applyAlignment="1" applyProtection="1">
      <alignment horizontal="left" vertical="top"/>
      <protection locked="0"/>
    </xf>
    <xf numFmtId="0" fontId="6" fillId="34" borderId="26" xfId="0" applyFont="1" applyFill="1" applyBorder="1" applyAlignment="1" applyProtection="1">
      <alignment horizontal="left" vertical="top"/>
      <protection locked="0"/>
    </xf>
    <xf numFmtId="0" fontId="6" fillId="34" borderId="27" xfId="0" applyFont="1" applyFill="1" applyBorder="1" applyAlignment="1" applyProtection="1">
      <alignment horizontal="left" vertical="top"/>
      <protection locked="0"/>
    </xf>
    <xf numFmtId="0" fontId="78" fillId="29" borderId="111" xfId="0" applyFont="1" applyFill="1" applyBorder="1" applyAlignment="1">
      <alignment vertical="top"/>
    </xf>
    <xf numFmtId="0" fontId="78" fillId="29" borderId="112" xfId="0" applyFont="1" applyFill="1" applyBorder="1" applyAlignment="1">
      <alignment vertical="top"/>
    </xf>
    <xf numFmtId="0" fontId="78" fillId="29" borderId="120" xfId="0" applyFont="1" applyFill="1" applyBorder="1" applyAlignment="1">
      <alignment vertical="top"/>
    </xf>
    <xf numFmtId="0" fontId="78" fillId="29" borderId="69" xfId="0" applyFont="1" applyFill="1" applyBorder="1" applyAlignment="1">
      <alignment horizontal="left" vertical="center" wrapText="1"/>
    </xf>
    <xf numFmtId="0" fontId="6" fillId="25" borderId="13" xfId="0" applyFont="1" applyFill="1" applyBorder="1" applyAlignment="1" applyProtection="1">
      <alignment horizontal="left" vertical="center"/>
      <protection locked="0"/>
    </xf>
    <xf numFmtId="0" fontId="7" fillId="13" borderId="13" xfId="0" applyFont="1" applyFill="1" applyBorder="1" applyAlignment="1">
      <alignment horizontal="left" vertical="top"/>
    </xf>
    <xf numFmtId="0" fontId="0" fillId="0" borderId="0" xfId="0" applyAlignment="1">
      <alignment horizontal="left" vertical="top"/>
    </xf>
    <xf numFmtId="0" fontId="38" fillId="13" borderId="61" xfId="0" applyFont="1" applyFill="1" applyBorder="1" applyAlignment="1">
      <alignment horizontal="left" vertical="top" wrapText="1"/>
    </xf>
    <xf numFmtId="0" fontId="6" fillId="32" borderId="13" xfId="0" applyFont="1" applyFill="1" applyBorder="1" applyAlignment="1">
      <alignment vertical="top"/>
    </xf>
    <xf numFmtId="0" fontId="7" fillId="13" borderId="13" xfId="0" applyFont="1" applyFill="1" applyBorder="1" applyAlignment="1">
      <alignment horizontal="left"/>
    </xf>
    <xf numFmtId="0" fontId="78" fillId="29" borderId="69" xfId="0" applyFont="1" applyFill="1" applyBorder="1" applyAlignment="1">
      <alignment horizontal="left" vertical="top"/>
    </xf>
    <xf numFmtId="0" fontId="78" fillId="29" borderId="70" xfId="0" applyFont="1" applyFill="1" applyBorder="1" applyAlignment="1">
      <alignment vertical="top"/>
    </xf>
    <xf numFmtId="0" fontId="78" fillId="29" borderId="70" xfId="0" applyFont="1" applyFill="1" applyBorder="1" applyAlignment="1">
      <alignment horizontal="left" vertical="top" wrapText="1"/>
    </xf>
    <xf numFmtId="0" fontId="8" fillId="20" borderId="129" xfId="14" applyFill="1" applyBorder="1" applyAlignment="1" applyProtection="1">
      <alignment horizontal="center" vertical="top" wrapText="1"/>
    </xf>
    <xf numFmtId="0" fontId="48" fillId="13" borderId="50" xfId="0" quotePrefix="1" applyFont="1" applyFill="1" applyBorder="1" applyAlignment="1">
      <alignment horizontal="right" vertical="top" wrapText="1"/>
    </xf>
    <xf numFmtId="0" fontId="4" fillId="13" borderId="12" xfId="0" applyFont="1" applyFill="1" applyBorder="1" applyAlignment="1">
      <alignment horizontal="left"/>
    </xf>
    <xf numFmtId="0" fontId="4" fillId="13" borderId="12" xfId="0" applyFont="1" applyFill="1" applyBorder="1" applyAlignment="1">
      <alignment horizontal="left" wrapText="1"/>
    </xf>
    <xf numFmtId="0" fontId="2" fillId="33" borderId="13" xfId="0" applyFont="1" applyFill="1" applyBorder="1" applyAlignment="1" applyProtection="1">
      <alignment horizontal="left" vertical="center" wrapText="1"/>
      <protection locked="0"/>
    </xf>
    <xf numFmtId="0" fontId="2" fillId="33" borderId="13" xfId="0" applyFont="1" applyFill="1" applyBorder="1" applyAlignment="1" applyProtection="1">
      <alignment horizontal="left" vertical="center"/>
      <protection locked="0"/>
    </xf>
    <xf numFmtId="0" fontId="2" fillId="33" borderId="25" xfId="0" applyFont="1" applyFill="1" applyBorder="1" applyAlignment="1" applyProtection="1">
      <alignment horizontal="left" vertical="center"/>
      <protection locked="0"/>
    </xf>
    <xf numFmtId="0" fontId="106" fillId="37" borderId="61" xfId="0" applyFont="1" applyFill="1" applyBorder="1" applyAlignment="1">
      <alignment horizontal="center" vertical="center"/>
    </xf>
    <xf numFmtId="3" fontId="6" fillId="13" borderId="111" xfId="0" applyNumberFormat="1" applyFont="1" applyFill="1" applyBorder="1" applyAlignment="1">
      <alignment horizontal="center" vertical="top"/>
    </xf>
    <xf numFmtId="3" fontId="6" fillId="13" borderId="120" xfId="0" applyNumberFormat="1" applyFont="1" applyFill="1" applyBorder="1" applyAlignment="1">
      <alignment horizontal="center" vertical="top"/>
    </xf>
    <xf numFmtId="3" fontId="6" fillId="32" borderId="70" xfId="0" applyNumberFormat="1" applyFont="1" applyFill="1" applyBorder="1" applyAlignment="1">
      <alignment horizontal="center" vertical="top"/>
    </xf>
    <xf numFmtId="0" fontId="94" fillId="0" borderId="29" xfId="0" applyFont="1" applyBorder="1" applyAlignment="1">
      <alignment horizontal="center" vertical="center"/>
    </xf>
    <xf numFmtId="0" fontId="94" fillId="0" borderId="34" xfId="0" applyFont="1" applyBorder="1" applyAlignment="1">
      <alignment horizontal="center" vertical="center"/>
    </xf>
    <xf numFmtId="14" fontId="94" fillId="29" borderId="113" xfId="0" applyNumberFormat="1" applyFont="1" applyFill="1" applyBorder="1" applyAlignment="1">
      <alignment horizontal="left"/>
    </xf>
    <xf numFmtId="14" fontId="94" fillId="29" borderId="121" xfId="0" applyNumberFormat="1" applyFont="1" applyFill="1" applyBorder="1" applyAlignment="1">
      <alignment horizontal="left"/>
    </xf>
    <xf numFmtId="3" fontId="6" fillId="33" borderId="69" xfId="0" applyNumberFormat="1" applyFont="1" applyFill="1" applyBorder="1" applyAlignment="1" applyProtection="1">
      <alignment horizontal="center" vertical="top"/>
      <protection locked="0"/>
    </xf>
    <xf numFmtId="3" fontId="6" fillId="13" borderId="69" xfId="0" applyNumberFormat="1" applyFont="1" applyFill="1" applyBorder="1" applyAlignment="1">
      <alignment horizontal="center" vertical="top"/>
    </xf>
    <xf numFmtId="3" fontId="6" fillId="32" borderId="69" xfId="0" applyNumberFormat="1" applyFont="1" applyFill="1" applyBorder="1" applyAlignment="1">
      <alignment horizontal="center" vertical="top"/>
    </xf>
    <xf numFmtId="3" fontId="6" fillId="32" borderId="121" xfId="0" applyNumberFormat="1" applyFont="1" applyFill="1" applyBorder="1" applyAlignment="1">
      <alignment horizontal="center" vertical="top"/>
    </xf>
    <xf numFmtId="14" fontId="94" fillId="29" borderId="112" xfId="0" applyNumberFormat="1" applyFont="1" applyFill="1" applyBorder="1" applyAlignment="1">
      <alignment horizontal="left"/>
    </xf>
    <xf numFmtId="14" fontId="94" fillId="29" borderId="120" xfId="0" applyNumberFormat="1" applyFont="1" applyFill="1" applyBorder="1" applyAlignment="1">
      <alignment horizontal="left"/>
    </xf>
    <xf numFmtId="3" fontId="6" fillId="13" borderId="70" xfId="0" applyNumberFormat="1" applyFont="1" applyFill="1" applyBorder="1" applyAlignment="1">
      <alignment horizontal="center" vertical="top"/>
    </xf>
    <xf numFmtId="3" fontId="6" fillId="33" borderId="70" xfId="0" applyNumberFormat="1" applyFont="1" applyFill="1" applyBorder="1" applyAlignment="1" applyProtection="1">
      <alignment horizontal="center" vertical="top"/>
      <protection locked="0"/>
    </xf>
    <xf numFmtId="0" fontId="6" fillId="13" borderId="34" xfId="0" applyFont="1" applyFill="1" applyBorder="1" applyAlignment="1">
      <alignment horizontal="center" vertical="top" wrapText="1"/>
    </xf>
    <xf numFmtId="0" fontId="6" fillId="13" borderId="12" xfId="0" applyFont="1" applyFill="1" applyBorder="1" applyAlignment="1">
      <alignment horizontal="center" vertical="top" wrapText="1"/>
    </xf>
    <xf numFmtId="0" fontId="6" fillId="13" borderId="35" xfId="0" applyFont="1" applyFill="1" applyBorder="1" applyAlignment="1">
      <alignment horizontal="center" vertical="top" wrapText="1"/>
    </xf>
    <xf numFmtId="0" fontId="6" fillId="33" borderId="13" xfId="0" applyFont="1" applyFill="1" applyBorder="1" applyAlignment="1" applyProtection="1">
      <alignment horizontal="left" vertical="top"/>
      <protection locked="0"/>
    </xf>
    <xf numFmtId="0" fontId="24" fillId="13" borderId="29" xfId="0" applyFont="1" applyFill="1" applyBorder="1" applyAlignment="1">
      <alignment horizontal="center" vertical="top" wrapText="1"/>
    </xf>
    <xf numFmtId="0" fontId="24" fillId="13" borderId="64" xfId="0" applyFont="1" applyFill="1" applyBorder="1" applyAlignment="1">
      <alignment horizontal="center" vertical="top" wrapText="1"/>
    </xf>
    <xf numFmtId="0" fontId="24" fillId="13" borderId="30" xfId="0" applyFont="1" applyFill="1" applyBorder="1" applyAlignment="1">
      <alignment horizontal="center" vertical="top" wrapText="1"/>
    </xf>
    <xf numFmtId="3" fontId="90" fillId="29" borderId="69" xfId="0" applyNumberFormat="1" applyFont="1" applyFill="1" applyBorder="1" applyAlignment="1">
      <alignment horizontal="center" vertical="top"/>
    </xf>
    <xf numFmtId="14" fontId="90" fillId="29" borderId="112" xfId="0" applyNumberFormat="1" applyFont="1" applyFill="1" applyBorder="1" applyAlignment="1">
      <alignment horizontal="left"/>
    </xf>
    <xf numFmtId="14" fontId="90" fillId="29" borderId="120" xfId="0" applyNumberFormat="1" applyFont="1" applyFill="1" applyBorder="1" applyAlignment="1">
      <alignment horizontal="left"/>
    </xf>
    <xf numFmtId="3" fontId="90" fillId="29" borderId="70" xfId="0" applyNumberFormat="1" applyFont="1" applyFill="1" applyBorder="1" applyAlignment="1">
      <alignment horizontal="center" vertical="top"/>
    </xf>
    <xf numFmtId="3" fontId="90" fillId="29" borderId="111" xfId="0" applyNumberFormat="1" applyFont="1" applyFill="1" applyBorder="1" applyAlignment="1">
      <alignment horizontal="center" vertical="top"/>
    </xf>
    <xf numFmtId="3" fontId="90" fillId="29" borderId="120" xfId="0" applyNumberFormat="1" applyFont="1" applyFill="1" applyBorder="1" applyAlignment="1">
      <alignment horizontal="center" vertical="top"/>
    </xf>
    <xf numFmtId="0" fontId="90" fillId="29" borderId="29" xfId="0" applyFont="1" applyFill="1" applyBorder="1" applyAlignment="1">
      <alignment horizontal="center" vertical="center"/>
    </xf>
    <xf numFmtId="0" fontId="90" fillId="29" borderId="34" xfId="0" applyFont="1" applyFill="1" applyBorder="1" applyAlignment="1">
      <alignment horizontal="center" vertical="center"/>
    </xf>
    <xf numFmtId="14" fontId="90" fillId="29" borderId="113" xfId="0" applyNumberFormat="1" applyFont="1" applyFill="1" applyBorder="1" applyAlignment="1">
      <alignment horizontal="left"/>
    </xf>
    <xf numFmtId="14" fontId="90" fillId="29" borderId="121" xfId="0" applyNumberFormat="1" applyFont="1" applyFill="1" applyBorder="1" applyAlignment="1">
      <alignment horizontal="left"/>
    </xf>
    <xf numFmtId="0" fontId="93" fillId="29" borderId="29" xfId="0" applyFont="1" applyFill="1" applyBorder="1" applyAlignment="1">
      <alignment horizontal="center" vertical="top" wrapText="1"/>
    </xf>
    <xf numFmtId="0" fontId="93" fillId="29" borderId="64" xfId="0" applyFont="1" applyFill="1" applyBorder="1" applyAlignment="1">
      <alignment horizontal="center" vertical="top" wrapText="1"/>
    </xf>
    <xf numFmtId="0" fontId="93" fillId="29" borderId="30" xfId="0" applyFont="1" applyFill="1" applyBorder="1" applyAlignment="1">
      <alignment horizontal="center" vertical="top" wrapText="1"/>
    </xf>
    <xf numFmtId="0" fontId="90" fillId="13" borderId="12" xfId="0" applyFont="1" applyFill="1" applyBorder="1" applyAlignment="1">
      <alignment horizontal="center" vertical="top" wrapText="1"/>
    </xf>
    <xf numFmtId="0" fontId="90" fillId="13" borderId="35" xfId="0" applyFont="1" applyFill="1" applyBorder="1" applyAlignment="1">
      <alignment horizontal="center" vertical="top" wrapText="1"/>
    </xf>
    <xf numFmtId="3" fontId="90" fillId="29" borderId="121" xfId="0" applyNumberFormat="1" applyFont="1" applyFill="1" applyBorder="1" applyAlignment="1">
      <alignment horizontal="center" vertical="top"/>
    </xf>
    <xf numFmtId="0" fontId="93" fillId="13" borderId="29" xfId="0" applyFont="1" applyFill="1" applyBorder="1" applyAlignment="1">
      <alignment horizontal="center" vertical="top" wrapText="1"/>
    </xf>
    <xf numFmtId="0" fontId="93" fillId="13" borderId="30" xfId="0" applyFont="1" applyFill="1" applyBorder="1" applyAlignment="1">
      <alignment horizontal="center" vertical="top" wrapText="1"/>
    </xf>
    <xf numFmtId="0" fontId="93" fillId="13" borderId="64" xfId="0" applyFont="1" applyFill="1" applyBorder="1" applyAlignment="1">
      <alignment horizontal="center" vertical="top" wrapText="1"/>
    </xf>
    <xf numFmtId="0" fontId="90" fillId="13" borderId="34" xfId="0" applyFont="1" applyFill="1" applyBorder="1" applyAlignment="1">
      <alignment horizontal="center" vertical="top" wrapText="1"/>
    </xf>
    <xf numFmtId="0" fontId="90" fillId="29" borderId="34" xfId="0" applyFont="1" applyFill="1" applyBorder="1" applyAlignment="1">
      <alignment horizontal="center" vertical="top" wrapText="1"/>
    </xf>
    <xf numFmtId="0" fontId="90" fillId="29" borderId="12" xfId="0" applyFont="1" applyFill="1" applyBorder="1" applyAlignment="1">
      <alignment horizontal="center" vertical="top" wrapText="1"/>
    </xf>
    <xf numFmtId="0" fontId="90" fillId="29" borderId="35" xfId="0" applyFont="1" applyFill="1" applyBorder="1" applyAlignment="1">
      <alignment horizontal="center" vertical="top" wrapText="1"/>
    </xf>
    <xf numFmtId="0" fontId="8" fillId="20" borderId="132" xfId="14" applyFill="1" applyBorder="1" applyAlignment="1" applyProtection="1">
      <alignment horizontal="center" vertical="top" wrapText="1"/>
    </xf>
    <xf numFmtId="0" fontId="8" fillId="20" borderId="107" xfId="14" applyFill="1" applyBorder="1" applyAlignment="1" applyProtection="1"/>
    <xf numFmtId="0" fontId="8" fillId="20" borderId="116" xfId="14" applyFill="1" applyBorder="1" applyAlignment="1" applyProtection="1"/>
    <xf numFmtId="0" fontId="8" fillId="20" borderId="124" xfId="14" quotePrefix="1" applyFill="1" applyBorder="1" applyAlignment="1" applyProtection="1">
      <alignment horizontal="center"/>
    </xf>
    <xf numFmtId="0" fontId="8" fillId="20" borderId="125" xfId="14" applyFill="1" applyBorder="1" applyAlignment="1" applyProtection="1">
      <alignment horizontal="center"/>
    </xf>
    <xf numFmtId="0" fontId="8" fillId="20" borderId="133" xfId="14" applyFill="1" applyBorder="1" applyAlignment="1" applyProtection="1">
      <alignment horizontal="center" vertical="top" wrapText="1"/>
    </xf>
    <xf numFmtId="0" fontId="0" fillId="26" borderId="29" xfId="0" applyFill="1" applyBorder="1" applyAlignment="1" applyProtection="1">
      <alignment vertical="top" wrapText="1"/>
      <protection locked="0"/>
    </xf>
    <xf numFmtId="0" fontId="2" fillId="13" borderId="64" xfId="0" applyFont="1" applyFill="1" applyBorder="1" applyAlignment="1" applyProtection="1">
      <alignment vertical="top" wrapText="1"/>
      <protection locked="0"/>
    </xf>
    <xf numFmtId="0" fontId="2" fillId="13" borderId="30" xfId="0" applyFont="1" applyFill="1"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0" xfId="0" applyAlignment="1" applyProtection="1">
      <alignment vertical="top" wrapText="1"/>
      <protection locked="0"/>
    </xf>
    <xf numFmtId="0" fontId="0" fillId="0" borderId="33" xfId="0" applyBorder="1" applyAlignment="1" applyProtection="1">
      <alignment vertical="top" wrapText="1"/>
      <protection locked="0"/>
    </xf>
    <xf numFmtId="0" fontId="0" fillId="0" borderId="34"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35" xfId="0" applyBorder="1" applyAlignment="1" applyProtection="1">
      <alignment vertical="top" wrapText="1"/>
      <protection locked="0"/>
    </xf>
    <xf numFmtId="0" fontId="3" fillId="17" borderId="0" xfId="0" applyFont="1" applyFill="1" applyAlignment="1">
      <alignment vertical="top" wrapText="1"/>
    </xf>
    <xf numFmtId="0" fontId="4" fillId="13" borderId="13" xfId="0" applyFont="1" applyFill="1" applyBorder="1" applyAlignment="1">
      <alignment horizontal="left" vertical="top" wrapText="1"/>
    </xf>
    <xf numFmtId="0" fontId="6" fillId="33" borderId="13" xfId="0" applyFont="1" applyFill="1" applyBorder="1" applyAlignment="1" applyProtection="1">
      <alignment horizontal="left" vertical="top" wrapText="1" shrinkToFit="1"/>
      <protection locked="0"/>
    </xf>
    <xf numFmtId="0" fontId="6" fillId="33" borderId="13" xfId="0" applyFont="1" applyFill="1" applyBorder="1" applyAlignment="1" applyProtection="1">
      <alignment horizontal="left" vertical="top" wrapText="1"/>
      <protection locked="0"/>
    </xf>
    <xf numFmtId="0" fontId="10" fillId="13" borderId="0" xfId="19" applyFont="1" applyFill="1" applyAlignment="1">
      <alignment horizontal="left" vertical="center"/>
    </xf>
    <xf numFmtId="0" fontId="10" fillId="13" borderId="71" xfId="19" applyFont="1" applyFill="1" applyBorder="1" applyAlignment="1">
      <alignment horizontal="left" vertical="center"/>
    </xf>
    <xf numFmtId="0" fontId="28" fillId="13" borderId="12" xfId="19" applyFont="1" applyFill="1" applyBorder="1" applyAlignment="1">
      <alignment horizontal="left" wrapText="1"/>
    </xf>
    <xf numFmtId="0" fontId="28" fillId="13" borderId="35" xfId="19" applyFont="1" applyFill="1" applyBorder="1" applyAlignment="1">
      <alignment horizontal="left" wrapText="1"/>
    </xf>
    <xf numFmtId="0" fontId="10" fillId="18" borderId="52" xfId="19" applyFont="1" applyFill="1" applyBorder="1" applyAlignment="1">
      <alignment horizontal="center" vertical="center"/>
    </xf>
    <xf numFmtId="0" fontId="10" fillId="18" borderId="54" xfId="19" applyFont="1" applyFill="1" applyBorder="1" applyAlignment="1">
      <alignment horizontal="center" vertical="center"/>
    </xf>
    <xf numFmtId="0" fontId="4" fillId="13" borderId="51" xfId="19" applyFont="1" applyFill="1" applyBorder="1" applyAlignment="1">
      <alignment horizontal="left" wrapText="1"/>
    </xf>
    <xf numFmtId="0" fontId="4" fillId="13" borderId="119" xfId="19" applyFont="1" applyFill="1" applyBorder="1" applyAlignment="1">
      <alignment horizontal="left" wrapText="1"/>
    </xf>
    <xf numFmtId="0" fontId="2" fillId="18" borderId="110" xfId="19" applyFill="1" applyBorder="1" applyAlignment="1">
      <alignment horizontal="left" vertical="top"/>
    </xf>
    <xf numFmtId="0" fontId="2" fillId="18" borderId="113" xfId="19" applyFill="1" applyBorder="1" applyAlignment="1">
      <alignment horizontal="left" vertical="top"/>
    </xf>
    <xf numFmtId="0" fontId="2" fillId="18" borderId="121" xfId="19" applyFill="1" applyBorder="1" applyAlignment="1">
      <alignment horizontal="left" vertical="top"/>
    </xf>
    <xf numFmtId="0" fontId="4" fillId="13" borderId="19" xfId="19" applyFont="1" applyFill="1" applyBorder="1" applyAlignment="1">
      <alignment horizontal="left" vertical="center"/>
    </xf>
    <xf numFmtId="0" fontId="4" fillId="13" borderId="20" xfId="19" applyFont="1" applyFill="1" applyBorder="1" applyAlignment="1">
      <alignment horizontal="left" vertical="center"/>
    </xf>
    <xf numFmtId="0" fontId="6" fillId="32" borderId="13" xfId="19" applyFont="1" applyFill="1" applyBorder="1" applyAlignment="1"/>
    <xf numFmtId="0" fontId="75" fillId="13" borderId="31" xfId="19" applyFont="1" applyFill="1" applyBorder="1" applyAlignment="1">
      <alignment horizontal="left" wrapText="1"/>
    </xf>
    <xf numFmtId="0" fontId="0" fillId="0" borderId="65" xfId="0" applyBorder="1" applyAlignment="1">
      <alignment horizontal="left" wrapText="1"/>
    </xf>
    <xf numFmtId="0" fontId="2" fillId="18" borderId="114" xfId="19" applyFill="1" applyBorder="1" applyAlignment="1">
      <alignment horizontal="left" vertical="top"/>
    </xf>
    <xf numFmtId="0" fontId="2" fillId="18" borderId="51" xfId="19" applyFill="1" applyBorder="1" applyAlignment="1">
      <alignment horizontal="left" vertical="top"/>
    </xf>
    <xf numFmtId="0" fontId="2" fillId="18" borderId="119" xfId="19" applyFill="1" applyBorder="1" applyAlignment="1">
      <alignment horizontal="left" vertical="top"/>
    </xf>
    <xf numFmtId="0" fontId="4" fillId="20" borderId="18" xfId="19" applyFont="1" applyFill="1" applyBorder="1" applyAlignment="1">
      <alignment horizontal="center"/>
    </xf>
    <xf numFmtId="0" fontId="4" fillId="20" borderId="20" xfId="19" applyFont="1" applyFill="1" applyBorder="1" applyAlignment="1">
      <alignment horizontal="center"/>
    </xf>
    <xf numFmtId="0" fontId="2" fillId="13" borderId="26" xfId="19" applyFill="1" applyBorder="1" applyAlignment="1">
      <alignment horizontal="left" indent="1"/>
    </xf>
    <xf numFmtId="0" fontId="2" fillId="13" borderId="27" xfId="19" applyFill="1" applyBorder="1" applyAlignment="1">
      <alignment horizontal="left" indent="1"/>
    </xf>
    <xf numFmtId="0" fontId="3" fillId="17" borderId="0" xfId="19" applyFont="1" applyFill="1" applyAlignment="1">
      <alignment horizontal="left" vertical="center"/>
    </xf>
    <xf numFmtId="0" fontId="75" fillId="13" borderId="0" xfId="19" applyFont="1" applyFill="1" applyAlignment="1">
      <alignment horizontal="left" wrapText="1"/>
    </xf>
    <xf numFmtId="0" fontId="75" fillId="13" borderId="33" xfId="19" applyFont="1" applyFill="1" applyBorder="1" applyAlignment="1">
      <alignment horizontal="left" wrapText="1"/>
    </xf>
    <xf numFmtId="0" fontId="75" fillId="13" borderId="12" xfId="19" applyFont="1" applyFill="1" applyBorder="1" applyAlignment="1">
      <alignment horizontal="left" wrapText="1"/>
    </xf>
    <xf numFmtId="0" fontId="75" fillId="13" borderId="35" xfId="19" applyFont="1" applyFill="1" applyBorder="1" applyAlignment="1">
      <alignment horizontal="left" wrapText="1"/>
    </xf>
    <xf numFmtId="0" fontId="4" fillId="20" borderId="63" xfId="19" applyFont="1" applyFill="1" applyBorder="1" applyAlignment="1">
      <alignment horizontal="center" vertical="center" wrapText="1"/>
    </xf>
    <xf numFmtId="0" fontId="2" fillId="20" borderId="42" xfId="19" applyFill="1" applyBorder="1" applyAlignment="1">
      <alignment horizontal="center" vertical="center" wrapText="1"/>
    </xf>
    <xf numFmtId="0" fontId="2" fillId="20" borderId="94" xfId="19" applyFill="1" applyBorder="1" applyAlignment="1">
      <alignment horizontal="center" vertical="center" wrapText="1"/>
    </xf>
    <xf numFmtId="0" fontId="2" fillId="20" borderId="72" xfId="19" applyFill="1" applyBorder="1" applyAlignment="1">
      <alignment horizontal="center" vertical="center" wrapText="1"/>
    </xf>
    <xf numFmtId="0" fontId="2" fillId="20" borderId="0" xfId="19" applyFill="1" applyAlignment="1">
      <alignment horizontal="center" vertical="center" wrapText="1"/>
    </xf>
    <xf numFmtId="0" fontId="2" fillId="20" borderId="71" xfId="19" applyFill="1" applyBorder="1" applyAlignment="1">
      <alignment horizontal="center" vertical="center" wrapText="1"/>
    </xf>
    <xf numFmtId="0" fontId="2" fillId="20" borderId="97" xfId="19" applyFill="1" applyBorder="1" applyAlignment="1">
      <alignment horizontal="center" vertical="center" wrapText="1"/>
    </xf>
    <xf numFmtId="0" fontId="2" fillId="20" borderId="41" xfId="19" applyFill="1" applyBorder="1" applyAlignment="1">
      <alignment horizontal="center" vertical="center" wrapText="1"/>
    </xf>
    <xf numFmtId="0" fontId="2" fillId="20" borderId="98" xfId="19" applyFill="1" applyBorder="1" applyAlignment="1">
      <alignment horizontal="center" vertical="center" wrapText="1"/>
    </xf>
    <xf numFmtId="0" fontId="2" fillId="18" borderId="111" xfId="19" applyFill="1" applyBorder="1" applyAlignment="1">
      <alignment horizontal="left" vertical="top"/>
    </xf>
    <xf numFmtId="0" fontId="2" fillId="18" borderId="112" xfId="19" applyFill="1" applyBorder="1" applyAlignment="1">
      <alignment horizontal="left" vertical="top"/>
    </xf>
    <xf numFmtId="0" fontId="2" fillId="18" borderId="120" xfId="19" applyFill="1" applyBorder="1" applyAlignment="1">
      <alignment horizontal="left" vertical="top"/>
    </xf>
    <xf numFmtId="164" fontId="10" fillId="18" borderId="18" xfId="19" applyNumberFormat="1" applyFont="1" applyFill="1" applyBorder="1" applyAlignment="1">
      <alignment horizontal="right" vertical="center"/>
    </xf>
    <xf numFmtId="164" fontId="10" fillId="18" borderId="19" xfId="19" applyNumberFormat="1" applyFont="1" applyFill="1" applyBorder="1" applyAlignment="1">
      <alignment horizontal="right" vertical="center"/>
    </xf>
    <xf numFmtId="0" fontId="0" fillId="35" borderId="25" xfId="0" applyFill="1" applyBorder="1" applyAlignment="1">
      <alignment horizontal="center"/>
    </xf>
    <xf numFmtId="0" fontId="0" fillId="35" borderId="27" xfId="0" applyFill="1" applyBorder="1" applyAlignment="1">
      <alignment horizontal="center"/>
    </xf>
    <xf numFmtId="0" fontId="2" fillId="35" borderId="13" xfId="0" applyFont="1" applyFill="1" applyBorder="1" applyAlignment="1">
      <alignment horizontal="center"/>
    </xf>
    <xf numFmtId="0" fontId="66" fillId="17" borderId="72" xfId="0" applyFont="1" applyFill="1" applyBorder="1" applyAlignment="1">
      <alignment horizontal="center" vertical="center"/>
    </xf>
    <xf numFmtId="0" fontId="66" fillId="17" borderId="0" xfId="0" applyFont="1" applyFill="1" applyAlignment="1">
      <alignment horizontal="center" vertical="center"/>
    </xf>
    <xf numFmtId="0" fontId="66" fillId="17" borderId="71" xfId="0" applyFont="1" applyFill="1" applyBorder="1" applyAlignment="1">
      <alignment horizontal="center" vertical="center"/>
    </xf>
    <xf numFmtId="0" fontId="68" fillId="17" borderId="97" xfId="0" applyFont="1" applyFill="1" applyBorder="1" applyAlignment="1">
      <alignment horizontal="center"/>
    </xf>
    <xf numFmtId="0" fontId="68" fillId="17" borderId="41" xfId="0" applyFont="1" applyFill="1" applyBorder="1" applyAlignment="1">
      <alignment horizontal="center"/>
    </xf>
    <xf numFmtId="0" fontId="68" fillId="17" borderId="98" xfId="0" applyFont="1" applyFill="1" applyBorder="1" applyAlignment="1">
      <alignment horizontal="center"/>
    </xf>
    <xf numFmtId="0" fontId="66" fillId="17" borderId="18" xfId="0" applyFont="1" applyFill="1" applyBorder="1" applyAlignment="1">
      <alignment horizontal="center" vertical="center"/>
    </xf>
    <xf numFmtId="0" fontId="66" fillId="17" borderId="19" xfId="0" applyFont="1" applyFill="1" applyBorder="1" applyAlignment="1">
      <alignment horizontal="center" vertical="center"/>
    </xf>
    <xf numFmtId="0" fontId="66" fillId="17" borderId="20" xfId="0" applyFont="1" applyFill="1" applyBorder="1" applyAlignment="1">
      <alignment horizontal="center" vertical="center"/>
    </xf>
    <xf numFmtId="0" fontId="68" fillId="17" borderId="18" xfId="0" applyFont="1" applyFill="1" applyBorder="1" applyAlignment="1">
      <alignment horizontal="center"/>
    </xf>
    <xf numFmtId="0" fontId="68" fillId="17" borderId="19" xfId="0" applyFont="1" applyFill="1" applyBorder="1" applyAlignment="1">
      <alignment horizontal="center"/>
    </xf>
    <xf numFmtId="0" fontId="68" fillId="17" borderId="20" xfId="0" applyFont="1" applyFill="1" applyBorder="1" applyAlignment="1">
      <alignment horizontal="center"/>
    </xf>
    <xf numFmtId="0" fontId="24" fillId="13" borderId="34" xfId="0" applyFont="1" applyFill="1" applyBorder="1" applyAlignment="1">
      <alignment horizontal="center" vertical="top" wrapText="1"/>
    </xf>
    <xf numFmtId="0" fontId="24" fillId="13" borderId="43" xfId="0" applyFont="1" applyFill="1" applyBorder="1" applyAlignment="1">
      <alignment horizontal="center"/>
    </xf>
    <xf numFmtId="0" fontId="24" fillId="13" borderId="118" xfId="0" applyFont="1" applyFill="1" applyBorder="1" applyAlignment="1">
      <alignment horizontal="center"/>
    </xf>
    <xf numFmtId="0" fontId="24" fillId="13" borderId="43" xfId="0" applyFont="1" applyFill="1" applyBorder="1" applyAlignment="1">
      <alignment horizontal="center" wrapText="1"/>
    </xf>
    <xf numFmtId="0" fontId="24" fillId="13" borderId="118" xfId="0" applyFont="1" applyFill="1" applyBorder="1" applyAlignment="1">
      <alignment horizontal="center" wrapText="1"/>
    </xf>
    <xf numFmtId="0" fontId="24" fillId="13" borderId="12" xfId="0" applyFont="1" applyFill="1" applyBorder="1" applyAlignment="1">
      <alignment horizontal="center" vertical="top" wrapText="1"/>
    </xf>
    <xf numFmtId="0" fontId="24" fillId="13" borderId="35" xfId="0" applyFont="1" applyFill="1" applyBorder="1" applyAlignment="1">
      <alignment horizontal="center" vertical="top" wrapText="1"/>
    </xf>
    <xf numFmtId="0" fontId="33" fillId="33" borderId="46" xfId="0" applyFont="1" applyFill="1" applyBorder="1" applyAlignment="1" applyProtection="1">
      <alignment horizontal="left" vertical="top"/>
    </xf>
    <xf numFmtId="0" fontId="33" fillId="33" borderId="13" xfId="0" applyFont="1" applyFill="1" applyBorder="1" applyAlignment="1" applyProtection="1">
      <alignment horizontal="center" vertical="top"/>
    </xf>
    <xf numFmtId="0" fontId="33" fillId="32" borderId="27" xfId="0" applyFont="1" applyFill="1" applyBorder="1" applyAlignment="1" applyProtection="1">
      <alignment horizontal="left" vertical="top"/>
    </xf>
    <xf numFmtId="0" fontId="33" fillId="33" borderId="13" xfId="0" applyFont="1" applyFill="1" applyBorder="1" applyAlignment="1" applyProtection="1">
      <alignment horizontal="left" vertical="top"/>
    </xf>
    <xf numFmtId="0" fontId="33" fillId="32" borderId="26" xfId="0" applyFont="1" applyFill="1" applyBorder="1" applyAlignment="1" applyProtection="1">
      <alignment horizontal="left" vertical="top"/>
    </xf>
    <xf numFmtId="0" fontId="33" fillId="13" borderId="46" xfId="0" applyFont="1" applyFill="1" applyBorder="1" applyAlignment="1" applyProtection="1">
      <alignment horizontal="left" vertical="top"/>
    </xf>
    <xf numFmtId="0" fontId="33" fillId="13" borderId="46" xfId="0" applyFont="1" applyFill="1" applyBorder="1" applyAlignment="1" applyProtection="1">
      <alignment horizontal="center"/>
    </xf>
    <xf numFmtId="0" fontId="33" fillId="13" borderId="13" xfId="0" applyFont="1" applyFill="1" applyBorder="1" applyAlignment="1" applyProtection="1">
      <alignment horizontal="center" vertical="top" wrapText="1"/>
    </xf>
    <xf numFmtId="0" fontId="33" fillId="13" borderId="13" xfId="0" applyFont="1" applyFill="1" applyBorder="1" applyAlignment="1" applyProtection="1">
      <alignment horizontal="center"/>
    </xf>
    <xf numFmtId="0" fontId="33" fillId="29" borderId="78" xfId="0" applyFont="1" applyFill="1" applyBorder="1" applyAlignment="1" applyProtection="1">
      <alignment horizontal="center"/>
    </xf>
    <xf numFmtId="0" fontId="33" fillId="33" borderId="48" xfId="0" applyFont="1" applyFill="1" applyBorder="1" applyAlignment="1" applyProtection="1">
      <alignment horizontal="center"/>
    </xf>
    <xf numFmtId="0" fontId="33" fillId="33" borderId="77" xfId="0" applyFont="1" applyFill="1" applyBorder="1" applyAlignment="1" applyProtection="1">
      <alignment horizontal="center"/>
    </xf>
    <xf numFmtId="0" fontId="33" fillId="33" borderId="13" xfId="0" applyFont="1" applyFill="1" applyBorder="1" applyAlignment="1" applyProtection="1">
      <alignment horizontal="center"/>
    </xf>
    <xf numFmtId="0" fontId="33" fillId="33" borderId="78" xfId="0" applyFont="1" applyFill="1" applyBorder="1" applyAlignment="1" applyProtection="1">
      <alignment horizontal="center"/>
    </xf>
    <xf numFmtId="10" fontId="33" fillId="33" borderId="78" xfId="0" applyNumberFormat="1" applyFont="1" applyFill="1" applyBorder="1" applyAlignment="1" applyProtection="1">
      <alignment horizontal="center"/>
    </xf>
    <xf numFmtId="0" fontId="33" fillId="39" borderId="46" xfId="0" applyFont="1" applyFill="1" applyBorder="1" applyAlignment="1" applyProtection="1">
      <alignment horizontal="left" vertical="top"/>
    </xf>
    <xf numFmtId="0" fontId="33" fillId="39" borderId="46" xfId="0" applyFont="1" applyFill="1" applyBorder="1" applyAlignment="1" applyProtection="1">
      <alignment horizontal="center"/>
    </xf>
    <xf numFmtId="0" fontId="33" fillId="39" borderId="13" xfId="0" applyFont="1" applyFill="1" applyBorder="1" applyAlignment="1" applyProtection="1">
      <alignment horizontal="center" vertical="top" wrapText="1"/>
    </xf>
    <xf numFmtId="0" fontId="33" fillId="39" borderId="13" xfId="0" applyFont="1" applyFill="1" applyBorder="1" applyAlignment="1" applyProtection="1">
      <alignment horizontal="center"/>
    </xf>
    <xf numFmtId="0" fontId="33" fillId="39" borderId="78" xfId="0" applyFont="1" applyFill="1" applyBorder="1" applyAlignment="1" applyProtection="1">
      <alignment horizontal="center"/>
    </xf>
    <xf numFmtId="9" fontId="33" fillId="33" borderId="78" xfId="0" applyNumberFormat="1" applyFont="1" applyFill="1" applyBorder="1" applyAlignment="1" applyProtection="1">
      <alignment horizontal="center"/>
    </xf>
    <xf numFmtId="9" fontId="33" fillId="39" borderId="78" xfId="0" applyNumberFormat="1" applyFont="1" applyFill="1" applyBorder="1" applyAlignment="1" applyProtection="1">
      <alignment horizontal="center"/>
    </xf>
    <xf numFmtId="9" fontId="33" fillId="29" borderId="78" xfId="0" applyNumberFormat="1" applyFont="1" applyFill="1" applyBorder="1" applyAlignment="1" applyProtection="1">
      <alignment horizontal="center"/>
    </xf>
    <xf numFmtId="9" fontId="33" fillId="33" borderId="78" xfId="18" applyFont="1" applyFill="1" applyBorder="1" applyAlignment="1" applyProtection="1">
      <alignment horizontal="center"/>
    </xf>
    <xf numFmtId="0" fontId="33" fillId="33" borderId="13" xfId="0" applyFont="1" applyFill="1" applyBorder="1" applyAlignment="1" applyProtection="1">
      <alignment horizontal="center" vertical="top" wrapText="1"/>
    </xf>
    <xf numFmtId="0" fontId="33" fillId="29" borderId="46" xfId="0" applyFont="1" applyFill="1" applyBorder="1" applyAlignment="1" applyProtection="1">
      <alignment horizontal="center"/>
    </xf>
    <xf numFmtId="0" fontId="33" fillId="29" borderId="13" xfId="0" applyFont="1" applyFill="1" applyBorder="1" applyAlignment="1" applyProtection="1">
      <alignment horizontal="center" vertical="top" wrapText="1"/>
    </xf>
    <xf numFmtId="0" fontId="33" fillId="29" borderId="13" xfId="0" applyFont="1" applyFill="1" applyBorder="1" applyAlignment="1" applyProtection="1">
      <alignment horizontal="center"/>
    </xf>
    <xf numFmtId="9" fontId="33" fillId="33" borderId="13" xfId="0" applyNumberFormat="1" applyFont="1" applyFill="1" applyBorder="1" applyAlignment="1" applyProtection="1">
      <alignment horizontal="center"/>
    </xf>
    <xf numFmtId="0" fontId="33" fillId="29" borderId="46" xfId="0" applyFont="1" applyFill="1" applyBorder="1" applyAlignment="1" applyProtection="1">
      <alignment horizontal="left" vertical="top"/>
    </xf>
  </cellXfs>
  <cellStyles count="22">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Hyperlinkki" xfId="14" builtinId="8"/>
    <cellStyle name="Linked Cell" xfId="15" xr:uid="{00000000-0005-0000-0000-00000E000000}"/>
    <cellStyle name="Neutral" xfId="16" xr:uid="{00000000-0005-0000-0000-00000F000000}"/>
    <cellStyle name="Normaali" xfId="0" builtinId="0"/>
    <cellStyle name="Note" xfId="17" xr:uid="{00000000-0005-0000-0000-000010000000}"/>
    <cellStyle name="Prosenttia" xfId="18" builtinId="5"/>
    <cellStyle name="Standard 2" xfId="19" xr:uid="{00000000-0005-0000-0000-000013000000}"/>
    <cellStyle name="Standard_Outline NIMs template 10-09-30" xfId="20" xr:uid="{00000000-0005-0000-0000-000014000000}"/>
    <cellStyle name="Title" xfId="21" xr:uid="{00000000-0005-0000-0000-000015000000}"/>
  </cellStyles>
  <dxfs count="435">
    <dxf>
      <fill>
        <patternFill patternType="solid">
          <bgColor rgb="FFFFC000"/>
        </patternFill>
      </fill>
    </dxf>
    <dxf>
      <border>
        <top style="thin">
          <color indexed="64"/>
        </top>
      </border>
    </dxf>
    <dxf>
      <fill>
        <patternFill>
          <bgColor theme="1" tint="0.24994659260841701"/>
        </patternFill>
      </fill>
    </dxf>
    <dxf>
      <border>
        <top style="thin">
          <color indexed="64"/>
        </top>
      </border>
    </dxf>
    <dxf>
      <fill>
        <patternFill>
          <bgColor theme="1" tint="0.24994659260841701"/>
        </patternFill>
      </fill>
    </dxf>
    <dxf>
      <border>
        <top style="thin">
          <color indexed="64"/>
        </top>
      </border>
    </dxf>
    <dxf>
      <border>
        <top style="thin">
          <color indexed="64"/>
        </top>
      </border>
    </dxf>
    <dxf>
      <fill>
        <patternFill>
          <bgColor rgb="FF7030A0"/>
        </patternFill>
      </fill>
    </dxf>
    <dxf>
      <fill>
        <patternFill>
          <bgColor rgb="FF7030A0"/>
        </patternFill>
      </fill>
    </dxf>
    <dxf>
      <fill>
        <patternFill>
          <bgColor rgb="FF7030A0"/>
        </patternFill>
      </fill>
    </dxf>
    <dxf>
      <border>
        <top style="thin">
          <color indexed="64"/>
        </top>
      </border>
    </dxf>
    <dxf>
      <border>
        <top style="thin">
          <color indexed="64"/>
        </top>
      </border>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theme="1" tint="0.24994659260841701"/>
        </patternFill>
      </fill>
    </dxf>
    <dxf>
      <border>
        <top style="thin">
          <color indexed="64"/>
        </top>
      </border>
    </dxf>
    <dxf>
      <border>
        <top style="thin">
          <color indexed="64"/>
        </top>
      </border>
    </dxf>
    <dxf>
      <border>
        <top style="thin">
          <color indexed="64"/>
        </top>
      </border>
    </dxf>
    <dxf>
      <fill>
        <patternFill>
          <bgColor rgb="FFFF0000"/>
        </patternFill>
      </fill>
    </dxf>
    <dxf>
      <font>
        <color theme="1"/>
      </font>
      <fill>
        <patternFill>
          <bgColor theme="1" tint="0.14996795556505021"/>
        </patternFill>
      </fill>
    </dxf>
    <dxf>
      <fill>
        <patternFill>
          <bgColor rgb="FFFF0000"/>
        </patternFill>
      </fill>
    </dxf>
    <dxf>
      <font>
        <color theme="1"/>
      </font>
      <fill>
        <patternFill>
          <bgColor theme="1" tint="0.14996795556505021"/>
        </patternFill>
      </fill>
    </dxf>
    <dxf>
      <fill>
        <patternFill patternType="lightUp">
          <bgColor indexed="65"/>
        </patternFill>
      </fill>
    </dxf>
    <dxf>
      <border>
        <top style="thin">
          <color indexed="64"/>
        </top>
      </border>
    </dxf>
    <dxf>
      <fill>
        <patternFill>
          <bgColor rgb="FF7030A0"/>
        </patternFill>
      </fill>
    </dxf>
    <dxf>
      <fill>
        <patternFill>
          <bgColor theme="9"/>
        </patternFill>
      </fill>
    </dxf>
    <dxf>
      <fill>
        <patternFill>
          <bgColor rgb="FF7030A0"/>
        </patternFill>
      </fill>
    </dxf>
    <dxf>
      <fill>
        <patternFill>
          <bgColor theme="1" tint="0.24994659260841701"/>
        </patternFill>
      </fill>
    </dxf>
    <dxf>
      <border>
        <top style="thin">
          <color indexed="64"/>
        </top>
      </border>
    </dxf>
    <dxf>
      <border>
        <top style="thin">
          <color indexed="64"/>
        </top>
      </border>
    </dxf>
    <dxf>
      <font>
        <color theme="1"/>
      </font>
      <fill>
        <patternFill>
          <bgColor theme="1" tint="0.14996795556505021"/>
        </patternFill>
      </fill>
    </dxf>
    <dxf>
      <fill>
        <patternFill>
          <bgColor rgb="FFFF0000"/>
        </patternFill>
      </fill>
    </dxf>
    <dxf>
      <fill>
        <patternFill>
          <bgColor theme="1" tint="0.24994659260841701"/>
        </patternFill>
      </fill>
    </dxf>
    <dxf>
      <font>
        <color indexed="8"/>
      </font>
      <fill>
        <patternFill>
          <bgColor indexed="63"/>
        </patternFill>
      </fill>
    </dxf>
    <dxf>
      <fill>
        <patternFill>
          <bgColor indexed="10"/>
        </patternFill>
      </fill>
    </dxf>
    <dxf>
      <font>
        <color theme="0" tint="-0.499984740745262"/>
      </font>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ont>
        <color auto="1"/>
      </font>
      <fill>
        <patternFill>
          <bgColor rgb="FFFFFFCC"/>
        </patternFill>
      </fill>
    </dxf>
    <dxf>
      <fill>
        <patternFill patternType="lightUp">
          <bgColor indexed="65"/>
        </patternFill>
      </fill>
    </dxf>
  </dxfs>
  <tableStyles count="0" defaultTableStyle="TableStyleMedium9" defaultPivotStyle="PivotStyleLight16"/>
  <colors>
    <mruColors>
      <color rgb="FFFFFFCC"/>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energiavirasto.fi/polttoaineen-paastokauppa" TargetMode="External"/><Relationship Id="rId3" Type="http://schemas.openxmlformats.org/officeDocument/2006/relationships/hyperlink" Target="https://climate.ec.europa.eu/eu-action/eu-emissions-trading-system-eu-ets_en" TargetMode="External"/><Relationship Id="rId7" Type="http://schemas.openxmlformats.org/officeDocument/2006/relationships/hyperlink" Target="https://ets2.energiavirasto.fi/" TargetMode="External"/><Relationship Id="rId2" Type="http://schemas.openxmlformats.org/officeDocument/2006/relationships/hyperlink" Target="https://climate.ec.europa.eu/eu-action/eu-emissions-trading-system-eu-ets/monitoring-reporting-and-verification-eu-ets-emissions_en" TargetMode="External"/><Relationship Id="rId1" Type="http://schemas.openxmlformats.org/officeDocument/2006/relationships/hyperlink" Target="https://eur-lex.europa.eu/eli/reg_impl/2018/2066/oj" TargetMode="External"/><Relationship Id="rId6" Type="http://schemas.openxmlformats.org/officeDocument/2006/relationships/hyperlink" Target="https://eur-lex.europa.eu/eli/reg_impl/2018/2066/oj" TargetMode="External"/><Relationship Id="rId5" Type="http://schemas.openxmlformats.org/officeDocument/2006/relationships/hyperlink" Target="https://climate.ec.europa.eu/eu-action/eu-emissions-trading-system-eu-ets/ets2-buildings-road-transport-and-additional-sectors_en" TargetMode="External"/><Relationship Id="rId10" Type="http://schemas.openxmlformats.org/officeDocument/2006/relationships/printerSettings" Target="../printerSettings/printerSettings12.bin"/><Relationship Id="rId4" Type="http://schemas.openxmlformats.org/officeDocument/2006/relationships/hyperlink" Target="https://climate.ec.europa.eu/eu-action/eu-emissions-trading-system-eu-ets_en" TargetMode="External"/><Relationship Id="rId9" Type="http://schemas.openxmlformats.org/officeDocument/2006/relationships/hyperlink" Target="mailto:ETS2@energiavirasto.fi"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https://climate.ec.europa.eu/eu-action/eu-emissions-trading-system-eu-ets_en" TargetMode="External"/><Relationship Id="rId13" Type="http://schemas.openxmlformats.org/officeDocument/2006/relationships/printerSettings" Target="../printerSettings/printerSettings2.bin"/><Relationship Id="rId3" Type="http://schemas.openxmlformats.org/officeDocument/2006/relationships/hyperlink" Target="http://ec.europa.eu/clima/documentation/ets/docs/decision_benchmarking_15_dec_en.pdf." TargetMode="External"/><Relationship Id="rId7" Type="http://schemas.openxmlformats.org/officeDocument/2006/relationships/hyperlink" Target="https://eur-lex.europa.eu/eli/reg_impl/2018/2066" TargetMode="External"/><Relationship Id="rId12" Type="http://schemas.openxmlformats.org/officeDocument/2006/relationships/hyperlink" Target="https://energiavirasto.fi/polttoaineen-paastokauppa" TargetMode="External"/><Relationship Id="rId2" Type="http://schemas.openxmlformats.org/officeDocument/2006/relationships/hyperlink" Target="https://climate.ec.europa.eu/eu-action/eu-emissions-trading-system-eu-ets/monitoring-reporting-and-verification-eu-ets-emissions_en"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eli/reg_impl/2018/2066/oj" TargetMode="External"/><Relationship Id="rId11" Type="http://schemas.openxmlformats.org/officeDocument/2006/relationships/hyperlink" Target="https://energiavirasto.fi/polttoaineen-paastokauppa" TargetMode="External"/><Relationship Id="rId5" Type="http://schemas.openxmlformats.org/officeDocument/2006/relationships/hyperlink" Target="https://climate.ec.europa.eu/eu-action/eu-emissions-trading-system-eu-ets/monitoring-reporting-and-verification-eu-ets-emissions_en" TargetMode="External"/><Relationship Id="rId10" Type="http://schemas.openxmlformats.org/officeDocument/2006/relationships/hyperlink" Target="https://energiavirasto.fi/polttoaineen-paastokauppa" TargetMode="External"/><Relationship Id="rId4" Type="http://schemas.openxmlformats.org/officeDocument/2006/relationships/hyperlink" Target="https://eur-lex.europa.eu/eli/dir/2003/87/2024-03-01" TargetMode="External"/><Relationship Id="rId9" Type="http://schemas.openxmlformats.org/officeDocument/2006/relationships/hyperlink" Target="https://ets2.energiavirasto.f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0">
    <tabColor indexed="9"/>
    <pageSetUpPr fitToPage="1"/>
  </sheetPr>
  <dimension ref="A1:T67"/>
  <sheetViews>
    <sheetView topLeftCell="B1" workbookViewId="0">
      <pane ySplit="4" topLeftCell="A19" activePane="bottomLeft" state="frozen"/>
      <selection pane="bottomLeft" activeCell="D32" sqref="D32:K32"/>
    </sheetView>
  </sheetViews>
  <sheetFormatPr defaultColWidth="9.1796875" defaultRowHeight="12.5" x14ac:dyDescent="0.25"/>
  <cols>
    <col min="1" max="1" width="2.7265625" style="277" hidden="1" customWidth="1"/>
    <col min="2" max="4" width="4.7265625" style="21" customWidth="1"/>
    <col min="5" max="7" width="12.7265625" style="21" customWidth="1"/>
    <col min="8" max="8" width="15.1796875" style="21" customWidth="1"/>
    <col min="9" max="14" width="12.7265625" style="21" customWidth="1"/>
    <col min="15" max="15" width="2.7265625" style="288" customWidth="1"/>
    <col min="16" max="16" width="9.1796875" style="21"/>
    <col min="17" max="20" width="11.453125" style="277" hidden="1" customWidth="1"/>
    <col min="21" max="16384" width="9.1796875" style="21"/>
  </cols>
  <sheetData>
    <row r="1" spans="1:20" s="277" customFormat="1" ht="13" hidden="1" thickBot="1" x14ac:dyDescent="0.3">
      <c r="A1" s="245" t="s">
        <v>0</v>
      </c>
      <c r="O1" s="287"/>
      <c r="P1" s="245"/>
      <c r="Q1" s="245" t="s">
        <v>0</v>
      </c>
      <c r="R1" s="245" t="s">
        <v>0</v>
      </c>
      <c r="S1" s="245" t="s">
        <v>0</v>
      </c>
      <c r="T1" s="245" t="s">
        <v>0</v>
      </c>
    </row>
    <row r="2" spans="1:20" ht="13.5" thickBot="1" x14ac:dyDescent="0.35">
      <c r="B2" s="859" t="str">
        <f>Translations!$B$167</f>
        <v>a. Sisällysluettelo</v>
      </c>
      <c r="C2" s="860"/>
      <c r="D2" s="861"/>
      <c r="E2" s="873" t="str">
        <f>Translations!$B$13</f>
        <v>Navigointialue:</v>
      </c>
      <c r="F2" s="874"/>
      <c r="G2" s="875" t="str">
        <f>Translations!$B$14</f>
        <v>Sisällysluettelo</v>
      </c>
      <c r="H2" s="876"/>
      <c r="I2" s="875"/>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P2" s="267"/>
      <c r="Q2" s="245" t="s">
        <v>1</v>
      </c>
      <c r="R2" s="246" t="str">
        <f>ADDRESS(ROW($B$6),COLUMN($B$6)) &amp; ":" &amp; ADDRESS(MATCH("PRINT",$P:$P,0),COLUMN($O$6))</f>
        <v>$B$6:$O$67</v>
      </c>
      <c r="S2" s="245" t="s">
        <v>2</v>
      </c>
      <c r="T2" s="247" t="str">
        <f ca="1">IF(ISERROR(CELL("filename",U2)),"a_Contents",MID(CELL("filename",U2),FIND("]",CELL("filename",U2))+1,1024))</f>
        <v>ei koske 2024</v>
      </c>
    </row>
    <row r="3" spans="1:20" x14ac:dyDescent="0.25">
      <c r="B3" s="862"/>
      <c r="C3" s="863"/>
      <c r="D3" s="864"/>
      <c r="E3" s="872"/>
      <c r="F3" s="853"/>
      <c r="G3" s="853" t="str">
        <f>IFERROR(HYPERLINK("#"&amp;ADDRESS(ROW($A$1)+MATCH(Q3,$A:$A,0)-1,3),INDEX($Q:$Q,MATCH(Q3,$A:$A,0))),"")</f>
        <v/>
      </c>
      <c r="H3" s="853"/>
      <c r="I3" s="853" t="str">
        <f>IFERROR(HYPERLINK("#"&amp;ADDRESS(ROW($A$1)+MATCH(S3,$A:$A,0)-1,3),INDEX($Q:$Q,MATCH(S3,$A:$A,0))),"")</f>
        <v/>
      </c>
      <c r="J3" s="853"/>
      <c r="K3" s="853" t="str">
        <f>IFERROR(HYPERLINK("#"&amp;ADDRESS(ROW($A$1)+MATCH(U3,$A:$A,0)-1,3),INDEX($Q:$Q,MATCH(U3,$A:$A,0))),"")</f>
        <v/>
      </c>
      <c r="L3" s="853"/>
      <c r="M3" s="877" t="str">
        <f>IFERROR(HYPERLINK("#"&amp;ADDRESS(ROW($A$1)+MATCH(W3,$A:$A,0)-1,3),INDEX($Q:$Q,MATCH(W3,$A:$A,0))),"")</f>
        <v/>
      </c>
      <c r="N3" s="877"/>
      <c r="P3" s="267"/>
      <c r="Q3" s="245"/>
      <c r="R3" s="245"/>
      <c r="S3" s="245"/>
      <c r="T3" s="245"/>
    </row>
    <row r="4" spans="1:20" ht="13" thickBot="1" x14ac:dyDescent="0.3">
      <c r="B4" s="865"/>
      <c r="C4" s="866"/>
      <c r="D4" s="867"/>
      <c r="E4" s="868"/>
      <c r="F4" s="858"/>
      <c r="G4" s="858" t="str">
        <f>IFERROR(HYPERLINK("#"&amp;ADDRESS(ROW($A$1)+MATCH(Q4,$A:$A,0)-1,3),INDEX($Q:$Q,MATCH(Q4,$A:$A,0))),"")</f>
        <v/>
      </c>
      <c r="H4" s="858"/>
      <c r="I4" s="858" t="str">
        <f>IFERROR(HYPERLINK("#"&amp;ADDRESS(ROW($A$1)+MATCH(S4,$A:$A,0)-1,3),INDEX($Q:$Q,MATCH(S4,$A:$A,0))),"")</f>
        <v/>
      </c>
      <c r="J4" s="858"/>
      <c r="K4" s="858" t="str">
        <f>IFERROR(HYPERLINK("#"&amp;ADDRESS(ROW($A$1)+MATCH(U4,$A:$A,0)-1,3),INDEX($Q:$Q,MATCH(U4,$A:$A,0))),"")</f>
        <v/>
      </c>
      <c r="L4" s="858"/>
      <c r="M4" s="854" t="str">
        <f>IFERROR(HYPERLINK("#"&amp;ADDRESS(ROW($A$1)+MATCH(W4,$A:$A,0)-1,3),INDEX($Q:$Q,MATCH(W4,$A:$A,0))),"")</f>
        <v/>
      </c>
      <c r="N4" s="854"/>
      <c r="P4" s="267"/>
      <c r="Q4" s="245"/>
      <c r="R4" s="245"/>
      <c r="S4" s="245"/>
      <c r="T4" s="245"/>
    </row>
    <row r="5" spans="1:20" ht="55" customHeight="1" x14ac:dyDescent="0.25">
      <c r="E5" s="855" t="s">
        <v>1772</v>
      </c>
      <c r="F5" s="855"/>
      <c r="G5" s="855"/>
      <c r="H5" s="855"/>
      <c r="P5" s="267"/>
      <c r="Q5" s="245"/>
      <c r="R5" s="245"/>
      <c r="S5" s="245"/>
      <c r="T5" s="245"/>
    </row>
    <row r="6" spans="1:20" ht="35.25" customHeight="1" x14ac:dyDescent="0.25">
      <c r="B6" s="233"/>
      <c r="C6" s="234" t="str">
        <f>Translations!$B$268</f>
        <v>SÄÄNNELLYN YHTEISÖN PÄÄSTÖSELVITYS 2024</v>
      </c>
      <c r="D6" s="233"/>
      <c r="E6" s="233"/>
      <c r="F6" s="233"/>
      <c r="G6" s="233"/>
      <c r="H6" s="233"/>
      <c r="I6" s="233"/>
      <c r="J6" s="233"/>
      <c r="P6" s="285"/>
      <c r="Q6" s="268"/>
      <c r="R6" s="268"/>
      <c r="S6" s="268"/>
      <c r="T6" s="268"/>
    </row>
    <row r="7" spans="1:20" ht="13" x14ac:dyDescent="0.25">
      <c r="B7" s="233"/>
      <c r="C7" s="235"/>
      <c r="D7" s="233"/>
      <c r="E7" s="233"/>
      <c r="F7" s="233"/>
      <c r="G7" s="233"/>
      <c r="H7" s="233"/>
      <c r="I7" s="233"/>
      <c r="J7" s="233"/>
      <c r="P7" s="267"/>
      <c r="Q7" s="245"/>
      <c r="R7" s="245"/>
      <c r="S7" s="245"/>
      <c r="T7" s="245"/>
    </row>
    <row r="8" spans="1:20" ht="15.5" x14ac:dyDescent="0.25">
      <c r="B8" s="236"/>
      <c r="C8" s="237" t="str">
        <f>Translations!$B$168</f>
        <v>SISÄLLYSLUETTELO</v>
      </c>
      <c r="D8" s="236"/>
      <c r="E8" s="236"/>
      <c r="F8" s="236"/>
      <c r="G8" s="236"/>
      <c r="H8" s="236"/>
      <c r="I8" s="236"/>
      <c r="J8" s="236"/>
      <c r="K8" s="22"/>
      <c r="P8" s="286"/>
      <c r="Q8" s="245"/>
      <c r="R8" s="245"/>
      <c r="S8" s="245"/>
      <c r="T8" s="245"/>
    </row>
    <row r="9" spans="1:20" x14ac:dyDescent="0.25">
      <c r="B9" s="236"/>
      <c r="C9" s="236"/>
      <c r="D9" s="236"/>
      <c r="E9" s="236"/>
      <c r="F9" s="236"/>
      <c r="G9" s="236"/>
      <c r="H9" s="236"/>
      <c r="I9" s="236"/>
      <c r="J9" s="236"/>
      <c r="K9" s="22"/>
      <c r="P9" s="267"/>
      <c r="Q9" s="245"/>
      <c r="R9" s="245"/>
      <c r="S9" s="245"/>
      <c r="T9" s="245"/>
    </row>
    <row r="10" spans="1:20" ht="13" x14ac:dyDescent="0.25">
      <c r="B10" s="236"/>
      <c r="C10" s="272"/>
      <c r="D10" s="856" t="str">
        <f ca="1">HYPERLINK("#"&amp;R10,INDIRECT(R10))</f>
        <v>SISÄLLYSLUETTELO</v>
      </c>
      <c r="E10" s="857"/>
      <c r="F10" s="857"/>
      <c r="G10" s="857"/>
      <c r="H10" s="857"/>
      <c r="I10" s="857"/>
      <c r="J10" s="857"/>
      <c r="K10" s="857"/>
      <c r="P10" s="286"/>
      <c r="Q10" s="245"/>
      <c r="R10" s="269" t="str">
        <f ca="1">ADDRESS(8,3,,,S10)</f>
        <v>'ei koske 2024'!$C$8</v>
      </c>
      <c r="S10" s="270" t="str">
        <f ca="1">$T$2</f>
        <v>ei koske 2024</v>
      </c>
      <c r="T10" s="270">
        <v>1</v>
      </c>
    </row>
    <row r="11" spans="1:20" ht="5.15" customHeight="1" x14ac:dyDescent="0.25">
      <c r="B11" s="236"/>
      <c r="C11" s="267"/>
      <c r="D11" s="267"/>
      <c r="E11" s="267"/>
      <c r="F11" s="267"/>
      <c r="G11" s="267"/>
      <c r="H11" s="267"/>
      <c r="I11" s="267"/>
      <c r="J11" s="267"/>
      <c r="K11" s="267"/>
      <c r="P11" s="267"/>
      <c r="Q11" s="245"/>
      <c r="R11" s="245"/>
      <c r="S11" s="245"/>
      <c r="T11" s="245"/>
    </row>
    <row r="12" spans="1:20" ht="13" x14ac:dyDescent="0.25">
      <c r="B12" s="236"/>
      <c r="C12" s="272"/>
      <c r="D12" s="856" t="str">
        <f ca="1">HYPERLINK("#"&amp;R12,INDIRECT(R12))</f>
        <v xml:space="preserve">Lomakepohjaa koskevat komission ohjeet ja ehdot </v>
      </c>
      <c r="E12" s="857"/>
      <c r="F12" s="857"/>
      <c r="G12" s="857"/>
      <c r="H12" s="857"/>
      <c r="I12" s="857"/>
      <c r="J12" s="857"/>
      <c r="K12" s="857"/>
      <c r="P12" s="286"/>
      <c r="Q12" s="245"/>
      <c r="R12" s="269" t="str">
        <f ca="1">ADDRESS(6,4,,,S12)</f>
        <v>'Ohjeet ja ehdot'!$D$6</v>
      </c>
      <c r="S12" s="270" t="str">
        <f ca="1">'Ohjeet ja ehdot'!$T$2</f>
        <v>Ohjeet ja ehdot</v>
      </c>
      <c r="T12" s="270">
        <f>MAX($T$4:T11)+1</f>
        <v>2</v>
      </c>
    </row>
    <row r="13" spans="1:20" ht="5.15" customHeight="1" x14ac:dyDescent="0.25">
      <c r="B13" s="233"/>
      <c r="C13" s="267"/>
      <c r="D13" s="267"/>
      <c r="E13" s="267"/>
      <c r="F13" s="267"/>
      <c r="G13" s="267"/>
      <c r="H13" s="267"/>
      <c r="I13" s="267"/>
      <c r="J13" s="267"/>
      <c r="K13" s="267"/>
      <c r="P13" s="267"/>
      <c r="Q13" s="245"/>
      <c r="R13" s="245"/>
      <c r="S13" s="245"/>
      <c r="T13" s="245"/>
    </row>
    <row r="14" spans="1:20" ht="13" x14ac:dyDescent="0.25">
      <c r="B14" s="233"/>
      <c r="C14" s="272"/>
      <c r="D14" s="856" t="str">
        <f ca="1">HYPERLINK("#"&amp;R14,INDIRECT(R14))</f>
        <v>A. Säännellyn yhteisön tiedot</v>
      </c>
      <c r="E14" s="857"/>
      <c r="F14" s="857"/>
      <c r="G14" s="857"/>
      <c r="H14" s="857"/>
      <c r="I14" s="857"/>
      <c r="J14" s="857"/>
      <c r="K14" s="857"/>
      <c r="P14" s="267"/>
      <c r="Q14" s="245"/>
      <c r="R14" s="269" t="str">
        <f ca="1">ADDRESS(6,3,,,S14)</f>
        <v>'A_Säännellyn yhteisön tiedot'!$C$6</v>
      </c>
      <c r="S14" s="270" t="str">
        <f ca="1">'A_Säännellyn yhteisön tiedot'!$T$2</f>
        <v>A_Säännellyn yhteisön tiedot</v>
      </c>
      <c r="T14" s="270">
        <f>MAX($T$4:T13)+1</f>
        <v>3</v>
      </c>
    </row>
    <row r="15" spans="1:20" ht="13" x14ac:dyDescent="0.25">
      <c r="B15" s="233"/>
      <c r="C15" s="272"/>
      <c r="D15" s="273">
        <v>1</v>
      </c>
      <c r="E15" s="869" t="e">
        <f ca="1">HYPERLINK("#"&amp;R15,INDIRECT(R15))</f>
        <v>#N/A</v>
      </c>
      <c r="F15" s="869"/>
      <c r="G15" s="869"/>
      <c r="H15" s="869"/>
      <c r="I15" s="869"/>
      <c r="J15" s="869"/>
      <c r="K15" s="869"/>
      <c r="L15" s="869"/>
      <c r="M15" s="869"/>
      <c r="N15" s="869"/>
      <c r="P15" s="267"/>
      <c r="Q15" s="245"/>
      <c r="R15" s="271" t="e">
        <f ca="1">ADDRESS(MATCH(D15,INDIRECT("'"&amp; S15 &amp; "'!A:A"),0),4,,,S15)</f>
        <v>#N/A</v>
      </c>
      <c r="S15" s="245" t="str">
        <f ca="1">S14</f>
        <v>A_Säännellyn yhteisön tiedot</v>
      </c>
      <c r="T15" s="245"/>
    </row>
    <row r="16" spans="1:20" ht="13" x14ac:dyDescent="0.25">
      <c r="B16" s="236"/>
      <c r="C16" s="272"/>
      <c r="D16" s="273">
        <v>2</v>
      </c>
      <c r="E16" s="869" t="str">
        <f ca="1">HYPERLINK("#"&amp;R16,INDIRECT(R16))</f>
        <v>Säännellyn yhteisön tiedot</v>
      </c>
      <c r="F16" s="857"/>
      <c r="G16" s="857"/>
      <c r="H16" s="857"/>
      <c r="I16" s="857"/>
      <c r="J16" s="857"/>
      <c r="K16" s="857"/>
      <c r="L16" s="857"/>
      <c r="M16" s="857"/>
      <c r="N16" s="857"/>
      <c r="P16" s="267"/>
      <c r="Q16" s="245"/>
      <c r="R16" s="271" t="str">
        <f ca="1">ADDRESS(MATCH(D16,INDIRECT("'"&amp; S16 &amp; "'!A:A"),0),4,,,S16)</f>
        <v>'A_Säännellyn yhteisön tiedot'!$D$24</v>
      </c>
      <c r="S16" s="245" t="str">
        <f ca="1">S15</f>
        <v>A_Säännellyn yhteisön tiedot</v>
      </c>
      <c r="T16" s="245"/>
    </row>
    <row r="17" spans="2:20" ht="12.75" customHeight="1" x14ac:dyDescent="0.25">
      <c r="B17" s="233"/>
      <c r="C17" s="272"/>
      <c r="D17" s="273">
        <v>3</v>
      </c>
      <c r="E17" s="869" t="str">
        <f ca="1">HYPERLINK("#"&amp;R17,INDIRECT(R17))</f>
        <v xml:space="preserve">Yhteystiedot </v>
      </c>
      <c r="F17" s="857"/>
      <c r="G17" s="857"/>
      <c r="H17" s="857"/>
      <c r="I17" s="857"/>
      <c r="J17" s="857"/>
      <c r="K17" s="857"/>
      <c r="L17" s="857"/>
      <c r="M17" s="857"/>
      <c r="N17" s="857"/>
      <c r="P17" s="267"/>
      <c r="Q17" s="245"/>
      <c r="R17" s="271" t="str">
        <f ca="1">ADDRESS(MATCH(D17,INDIRECT("'"&amp; S17 &amp; "'!A:A"),0),4,,,S17)</f>
        <v>'A_Säännellyn yhteisön tiedot'!$D$45</v>
      </c>
      <c r="S17" s="245" t="str">
        <f ca="1">S16</f>
        <v>A_Säännellyn yhteisön tiedot</v>
      </c>
      <c r="T17" s="245"/>
    </row>
    <row r="18" spans="2:20" ht="12.75" customHeight="1" x14ac:dyDescent="0.25">
      <c r="B18" s="233"/>
      <c r="C18" s="272"/>
      <c r="D18" s="273">
        <v>4</v>
      </c>
      <c r="E18" s="869" t="str">
        <f ca="1">HYPERLINK("#"&amp;R18,INDIRECT(R18))</f>
        <v>Tarkkailu- ja raportointitiedot</v>
      </c>
      <c r="F18" s="857"/>
      <c r="G18" s="857"/>
      <c r="H18" s="857"/>
      <c r="I18" s="857"/>
      <c r="J18" s="857"/>
      <c r="K18" s="857"/>
      <c r="L18" s="857"/>
      <c r="M18" s="857"/>
      <c r="N18" s="857"/>
      <c r="P18" s="267"/>
      <c r="Q18" s="245"/>
      <c r="R18" s="271" t="str">
        <f ca="1">ADDRESS(MATCH(D18,INDIRECT("'"&amp; S18 &amp; "'!A:A"),0),4,,,S18)</f>
        <v>'A_Säännellyn yhteisön tiedot'!$D$68</v>
      </c>
      <c r="S18" s="245" t="str">
        <f ca="1">S16</f>
        <v>A_Säännellyn yhteisön tiedot</v>
      </c>
      <c r="T18" s="245"/>
    </row>
    <row r="19" spans="2:20" ht="12.75" customHeight="1" x14ac:dyDescent="0.25">
      <c r="B19" s="233"/>
      <c r="C19" s="272"/>
      <c r="D19" s="273">
        <v>5</v>
      </c>
      <c r="E19" s="869" t="str">
        <f ca="1">HYPERLINK("#"&amp;R19,INDIRECT(R19))</f>
        <v>Todentajan yhteystiedot</v>
      </c>
      <c r="F19" s="857"/>
      <c r="G19" s="857"/>
      <c r="H19" s="857"/>
      <c r="I19" s="857"/>
      <c r="J19" s="857"/>
      <c r="K19" s="857"/>
      <c r="L19" s="857"/>
      <c r="M19" s="857"/>
      <c r="N19" s="857"/>
      <c r="P19" s="267"/>
      <c r="Q19" s="245"/>
      <c r="R19" s="271" t="str">
        <f ca="1">ADDRESS(MATCH(D19,INDIRECT("'"&amp; S19 &amp; "'!A:A"),0),4,,,S19)</f>
        <v>'A_Säännellyn yhteisön tiedot'!$D$92</v>
      </c>
      <c r="S19" s="245" t="str">
        <f ca="1">S17</f>
        <v>A_Säännellyn yhteisön tiedot</v>
      </c>
      <c r="T19" s="245"/>
    </row>
    <row r="20" spans="2:20" ht="5.15" customHeight="1" x14ac:dyDescent="0.25">
      <c r="B20" s="233"/>
      <c r="C20" s="272"/>
      <c r="D20" s="274"/>
      <c r="E20" s="267"/>
      <c r="F20" s="267"/>
      <c r="G20" s="267"/>
      <c r="H20" s="267"/>
      <c r="I20" s="267"/>
      <c r="J20" s="267"/>
      <c r="K20" s="267"/>
      <c r="P20" s="267"/>
      <c r="Q20" s="245"/>
      <c r="R20" s="245"/>
      <c r="S20" s="245"/>
      <c r="T20" s="245"/>
    </row>
    <row r="21" spans="2:20" ht="13" x14ac:dyDescent="0.25">
      <c r="B21" s="236"/>
      <c r="C21" s="272"/>
      <c r="D21" s="856" t="str">
        <f ca="1">HYPERLINK("#"&amp;R21,INDIRECT(R21))</f>
        <v>B. Polttoainevirtojen tiedot</v>
      </c>
      <c r="E21" s="857"/>
      <c r="F21" s="857"/>
      <c r="G21" s="857"/>
      <c r="H21" s="857"/>
      <c r="I21" s="857"/>
      <c r="J21" s="857"/>
      <c r="K21" s="857"/>
      <c r="P21" s="267"/>
      <c r="Q21" s="245"/>
      <c r="R21" s="269" t="str">
        <f ca="1">ADDRESS(6,3,,,S21)</f>
        <v>'B_Polttoainevirtojen tiedot'!$C$6</v>
      </c>
      <c r="S21" s="270" t="str">
        <f ca="1">'B_Polttoainevirtojen tiedot'!$T$2</f>
        <v>B_Polttoainevirtojen tiedot</v>
      </c>
      <c r="T21" s="270">
        <f>MAX($T$4:T20)+1</f>
        <v>4</v>
      </c>
    </row>
    <row r="22" spans="2:20" ht="13" x14ac:dyDescent="0.25">
      <c r="B22" s="233"/>
      <c r="C22" s="272"/>
      <c r="D22" s="273">
        <v>1</v>
      </c>
      <c r="E22" s="869" t="str">
        <f ca="1">HYPERLINK("#"&amp;R22,INDIRECT(R22))</f>
        <v>Polttoaineiden kulutukseen luovutuksen tavat</v>
      </c>
      <c r="F22" s="857"/>
      <c r="G22" s="857"/>
      <c r="H22" s="857"/>
      <c r="I22" s="857"/>
      <c r="J22" s="857"/>
      <c r="K22" s="857"/>
      <c r="L22" s="857"/>
      <c r="M22" s="857"/>
      <c r="N22" s="857"/>
      <c r="P22" s="267"/>
      <c r="Q22" s="245"/>
      <c r="R22" s="271" t="str">
        <f ca="1">ADDRESS(MATCH(D22,INDIRECT("'"&amp; S22 &amp; "'!A:A"),0),4,,,S22)</f>
        <v>'B_Polttoainevirtojen tiedot'!$D$8</v>
      </c>
      <c r="S22" s="245" t="str">
        <f ca="1">S21</f>
        <v>B_Polttoainevirtojen tiedot</v>
      </c>
      <c r="T22" s="245"/>
    </row>
    <row r="23" spans="2:20" ht="13" x14ac:dyDescent="0.25">
      <c r="B23" s="236"/>
      <c r="C23" s="272"/>
      <c r="D23" s="273">
        <v>2</v>
      </c>
      <c r="E23" s="869" t="str">
        <f ca="1">HYPERLINK("#"&amp;R23,INDIRECT(R23))</f>
        <v>Polttoainevirrat</v>
      </c>
      <c r="F23" s="857"/>
      <c r="G23" s="857"/>
      <c r="H23" s="857"/>
      <c r="I23" s="857"/>
      <c r="J23" s="857"/>
      <c r="K23" s="857"/>
      <c r="L23" s="857"/>
      <c r="M23" s="857"/>
      <c r="N23" s="857"/>
      <c r="P23" s="267"/>
      <c r="Q23" s="245"/>
      <c r="R23" s="271" t="str">
        <f ca="1">ADDRESS(MATCH(D23,INDIRECT("'"&amp; S23 &amp; "'!A:A"),0),4,,,S23)</f>
        <v>'B_Polttoainevirtojen tiedot'!$D$48</v>
      </c>
      <c r="S23" s="245" t="str">
        <f ca="1">S22</f>
        <v>B_Polttoainevirtojen tiedot</v>
      </c>
      <c r="T23" s="245"/>
    </row>
    <row r="24" spans="2:20" ht="5.15" customHeight="1" x14ac:dyDescent="0.25">
      <c r="B24" s="233"/>
      <c r="C24" s="238"/>
      <c r="D24" s="891"/>
      <c r="E24" s="891"/>
      <c r="F24" s="891"/>
      <c r="G24" s="891"/>
      <c r="H24" s="891"/>
      <c r="I24" s="891"/>
      <c r="J24" s="891"/>
      <c r="K24" s="22"/>
      <c r="P24" s="267"/>
      <c r="Q24" s="245"/>
      <c r="R24" s="245"/>
      <c r="S24" s="245"/>
      <c r="T24" s="245"/>
    </row>
    <row r="25" spans="2:20" ht="13" x14ac:dyDescent="0.25">
      <c r="B25" s="239"/>
      <c r="C25" s="272"/>
      <c r="D25" s="856" t="str">
        <f ca="1">HYPERLINK("#"&amp;R25,INDIRECT(R25))</f>
        <v>C. Päästölaskenta</v>
      </c>
      <c r="E25" s="857"/>
      <c r="F25" s="857"/>
      <c r="G25" s="857"/>
      <c r="H25" s="857"/>
      <c r="I25" s="857"/>
      <c r="J25" s="857"/>
      <c r="K25" s="857"/>
      <c r="P25" s="267"/>
      <c r="Q25" s="245"/>
      <c r="R25" s="269" t="str">
        <f ca="1">ADDRESS(8,3,,,S25)</f>
        <v>C_Päästölaskenta!$C$8</v>
      </c>
      <c r="S25" s="270" t="str">
        <f ca="1">C_Päästölaskenta!$T$2</f>
        <v>C_Päästölaskenta</v>
      </c>
      <c r="T25" s="270">
        <f>MAX($T$4:T24)+1</f>
        <v>5</v>
      </c>
    </row>
    <row r="26" spans="2:20" ht="13" x14ac:dyDescent="0.25">
      <c r="B26" s="239"/>
      <c r="C26" s="272"/>
      <c r="D26" s="273">
        <v>1</v>
      </c>
      <c r="E26" s="869" t="str">
        <f ca="1">HYPERLINK("#"&amp;R26,IF(INDIRECT(R26)="",EUconst_NA,INDIRECT(R26)))</f>
        <v>ei sovellettavissa</v>
      </c>
      <c r="F26" s="869"/>
      <c r="G26" s="869"/>
      <c r="H26" s="869"/>
      <c r="I26" s="869"/>
      <c r="J26" s="869"/>
      <c r="K26" s="869"/>
      <c r="P26" s="267"/>
      <c r="Q26" s="245"/>
      <c r="R26" s="271" t="str">
        <f ca="1">ADDRESS(MATCH(D26,INDIRECT("'"&amp; S26 &amp; "'!A:A"),0),COLUMN(C_Päästölaskenta!$E$1),,,S26)</f>
        <v>C_Päästölaskenta!$E$47</v>
      </c>
      <c r="S26" s="245" t="str">
        <f ca="1">S25</f>
        <v>C_Päästölaskenta</v>
      </c>
      <c r="T26" s="245"/>
    </row>
    <row r="27" spans="2:20" ht="13" x14ac:dyDescent="0.25">
      <c r="B27" s="239"/>
      <c r="C27" s="272"/>
      <c r="D27" s="273">
        <v>2</v>
      </c>
      <c r="E27" s="869" t="str">
        <f ca="1">HYPERLINK("#"&amp;R27,IF(INDIRECT(R27)="",EUconst_NA,INDIRECT(R27)))</f>
        <v>ei sovellettavissa</v>
      </c>
      <c r="F27" s="869"/>
      <c r="G27" s="869"/>
      <c r="H27" s="869"/>
      <c r="I27" s="869"/>
      <c r="J27" s="869"/>
      <c r="K27" s="869"/>
      <c r="P27" s="286"/>
      <c r="Q27" s="245"/>
      <c r="R27" s="271" t="str">
        <f ca="1">ADDRESS(MATCH(D27,INDIRECT("'"&amp; S27 &amp; "'!A:A"),0),COLUMN(C_Päästölaskenta!$E$1),,,S27)</f>
        <v>C_Päästölaskenta!$E$71</v>
      </c>
      <c r="S27" s="245" t="str">
        <f ca="1">S26</f>
        <v>C_Päästölaskenta</v>
      </c>
      <c r="T27" s="245"/>
    </row>
    <row r="28" spans="2:20" ht="13" x14ac:dyDescent="0.25">
      <c r="B28" s="239"/>
      <c r="C28" s="272"/>
      <c r="D28" s="273">
        <v>3</v>
      </c>
      <c r="E28" s="869" t="str">
        <f ca="1">HYPERLINK("#"&amp;R28,IF(INDIRECT(R28)="",EUconst_NA,INDIRECT(R28)))</f>
        <v>ei sovellettavissa</v>
      </c>
      <c r="F28" s="869"/>
      <c r="G28" s="869"/>
      <c r="H28" s="869"/>
      <c r="I28" s="869"/>
      <c r="J28" s="869"/>
      <c r="K28" s="869"/>
      <c r="P28" s="267"/>
      <c r="Q28" s="245"/>
      <c r="R28" s="271" t="str">
        <f ca="1">ADDRESS(MATCH(D28,INDIRECT("'"&amp; S28 &amp; "'!A:A"),0),COLUMN(C_Päästölaskenta!$E$1),,,S28)</f>
        <v>C_Päästölaskenta!$E$95</v>
      </c>
      <c r="S28" s="245" t="str">
        <f ca="1">S27</f>
        <v>C_Päästölaskenta</v>
      </c>
      <c r="T28" s="245"/>
    </row>
    <row r="29" spans="2:20" ht="13" x14ac:dyDescent="0.25">
      <c r="B29" s="239"/>
      <c r="C29" s="272"/>
      <c r="D29" s="273">
        <v>4</v>
      </c>
      <c r="E29" s="869" t="str">
        <f ca="1">HYPERLINK("#"&amp;R29,IF(INDIRECT(R29)="",EUconst_NA,INDIRECT(R29)))</f>
        <v>ei sovellettavissa</v>
      </c>
      <c r="F29" s="869"/>
      <c r="G29" s="869"/>
      <c r="H29" s="869"/>
      <c r="I29" s="869"/>
      <c r="J29" s="869"/>
      <c r="K29" s="869"/>
      <c r="P29" s="267"/>
      <c r="Q29" s="245"/>
      <c r="R29" s="271" t="str">
        <f ca="1">ADDRESS(MATCH(D29,INDIRECT("'"&amp; S29 &amp; "'!A:A"),0),COLUMN(C_Päästölaskenta!$E$1),,,S29)</f>
        <v>C_Päästölaskenta!$E$119</v>
      </c>
      <c r="S29" s="245" t="str">
        <f ca="1">S28</f>
        <v>C_Päästölaskenta</v>
      </c>
      <c r="T29" s="245"/>
    </row>
    <row r="30" spans="2:20" ht="13" x14ac:dyDescent="0.25">
      <c r="B30" s="239"/>
      <c r="C30" s="272"/>
      <c r="D30" s="273">
        <v>5</v>
      </c>
      <c r="E30" s="869" t="str">
        <f ca="1">HYPERLINK("#"&amp;R30,IF(INDIRECT(R30)="",EUconst_NA,INDIRECT(R30)))</f>
        <v>ei sovellettavissa</v>
      </c>
      <c r="F30" s="869"/>
      <c r="G30" s="869"/>
      <c r="H30" s="869"/>
      <c r="I30" s="869"/>
      <c r="J30" s="869"/>
      <c r="K30" s="869"/>
      <c r="P30" s="267"/>
      <c r="Q30" s="245"/>
      <c r="R30" s="271" t="str">
        <f ca="1">ADDRESS(MATCH(D30,INDIRECT("'"&amp; S30 &amp; "'!A:A"),0),COLUMN(C_Päästölaskenta!$E$1),,,S30)</f>
        <v>C_Päästölaskenta!$E$143</v>
      </c>
      <c r="S30" s="245" t="str">
        <f ca="1">S29</f>
        <v>C_Päästölaskenta</v>
      </c>
      <c r="T30" s="245"/>
    </row>
    <row r="31" spans="2:20" ht="5.15" customHeight="1" x14ac:dyDescent="0.25">
      <c r="B31" s="239"/>
      <c r="C31" s="233"/>
      <c r="D31" s="233"/>
      <c r="E31" s="233"/>
      <c r="F31" s="233"/>
      <c r="G31" s="233"/>
      <c r="H31" s="233"/>
      <c r="I31" s="233"/>
      <c r="J31" s="233"/>
      <c r="P31" s="267"/>
      <c r="Q31" s="245"/>
      <c r="R31" s="245"/>
      <c r="S31" s="245"/>
      <c r="T31" s="245"/>
    </row>
    <row r="32" spans="2:20" ht="13" x14ac:dyDescent="0.25">
      <c r="B32" s="239"/>
      <c r="C32" s="272"/>
      <c r="D32" s="856" t="str">
        <f ca="1">HYPERLINK("#"&amp;R32,INDIRECT(R32))</f>
        <v>Yleisen, ETS1-päästökaupan soveltamisalassa käytettyjen polttoaineiden päästöjä ei tulisi raportoida ETS2-päästökauppaan säännellyn yhteisön päästöselvityksellä, jotta vältytään päästöjen kaksoislaskennalta. Säänneltyjen yhteisöjen tulee osana päästöselvitystä raportoida tietoja kulutukseen luovuttamistaan polttoaineista, joiden loppukäyttö tapahtuu yleisen, ETS1-päästökaupan soveltamisalaan kuuluvissa toiminnoissa. 
Vuonna 2024 raportoitavien tietojen pohjalta pyritään luomaan menettely, jonka avulla ETS2-päästökaupan säännellyt yhteisöt pystyvät tulevina raportointivuosina määrittämään täsmällisemmin ETS1-päästökaupan soveltamisalassa käytetyn polttoaineen ja varmistamaan, ettei sitä koskevia tietoja raportoida ETS2-päästökauppaa koskevalla päästöselvityksellä. 
Kaksoislaskennan välttämistä koskevasta menettelystä säädetään tarkkailuasetuksen artiklassa 75v. 
Lisätietoja ETS1-päästökaupan soveltamisalasta: https://energiavirasto.fi/paastoluvat</v>
      </c>
      <c r="E32" s="857"/>
      <c r="F32" s="857"/>
      <c r="G32" s="857"/>
      <c r="H32" s="857"/>
      <c r="I32" s="857"/>
      <c r="J32" s="857"/>
      <c r="K32" s="857"/>
      <c r="P32" s="267"/>
      <c r="Q32" s="245"/>
      <c r="R32" s="269" t="str">
        <f ca="1">ADDRESS(6,3,,,S32)</f>
        <v>'D_Kaksoislaskennan välttäminen'!$C$6</v>
      </c>
      <c r="S32" s="270" t="str">
        <f ca="1">'D_Kaksoislaskennan välttäminen'!$T$2</f>
        <v>D_Kaksoislaskennan välttäminen</v>
      </c>
      <c r="T32" s="270">
        <f>MAX($T$4:T31)+1</f>
        <v>6</v>
      </c>
    </row>
    <row r="33" spans="2:20" ht="5.15" hidden="1" customHeight="1" x14ac:dyDescent="0.25">
      <c r="B33" s="239"/>
      <c r="C33" s="233"/>
      <c r="D33" s="233"/>
      <c r="E33" s="233"/>
      <c r="F33" s="233"/>
      <c r="G33" s="233"/>
      <c r="H33" s="233"/>
      <c r="I33" s="233"/>
      <c r="J33" s="233"/>
      <c r="P33" s="267"/>
      <c r="Q33" s="245"/>
      <c r="R33" s="245"/>
      <c r="S33" s="245"/>
      <c r="T33" s="245"/>
    </row>
    <row r="34" spans="2:20" ht="13" hidden="1" x14ac:dyDescent="0.25">
      <c r="B34" s="239"/>
      <c r="C34" s="272"/>
      <c r="D34" s="856" t="str">
        <f ca="1">HYPERLINK("#"&amp;R34,INDIRECT(R34))</f>
        <v>E. Tietoaukot</v>
      </c>
      <c r="E34" s="857"/>
      <c r="F34" s="857"/>
      <c r="G34" s="857"/>
      <c r="H34" s="857"/>
      <c r="I34" s="857"/>
      <c r="J34" s="857"/>
      <c r="K34" s="857"/>
      <c r="P34" s="267"/>
      <c r="Q34" s="245"/>
      <c r="R34" s="269" t="str">
        <f ca="1">ADDRESS(6,3,,,S34)</f>
        <v>'ei 2024 (1)'!$C$6</v>
      </c>
      <c r="S34" s="247" t="str">
        <f ca="1">'ei 2024 (1)'!$T$2</f>
        <v>ei 2024 (1)</v>
      </c>
      <c r="T34" s="270">
        <f>MAX($T$4:T33)+1</f>
        <v>7</v>
      </c>
    </row>
    <row r="35" spans="2:20" ht="5" hidden="1" customHeight="1" x14ac:dyDescent="0.25">
      <c r="B35" s="239"/>
      <c r="C35" s="233"/>
      <c r="D35" s="233"/>
      <c r="E35" s="233"/>
      <c r="F35" s="233"/>
      <c r="G35" s="233"/>
      <c r="H35" s="233"/>
      <c r="I35" s="233"/>
      <c r="J35" s="233"/>
      <c r="P35" s="267"/>
      <c r="Q35" s="245"/>
      <c r="R35" s="245"/>
      <c r="S35" s="245"/>
      <c r="T35" s="245"/>
    </row>
    <row r="36" spans="2:20" ht="13" hidden="1" x14ac:dyDescent="0.25">
      <c r="B36" s="239"/>
      <c r="C36" s="272"/>
      <c r="D36" s="856" t="str">
        <f ca="1">HYPERLINK("#"&amp;R36,INDIRECT(R36))</f>
        <v>F. Työkalu luovutettujen polttoainemäärien määrittämiseksi, jos 75 j artiklan 2 kohta on merkityksellinen</v>
      </c>
      <c r="E36" s="857"/>
      <c r="F36" s="857"/>
      <c r="G36" s="857"/>
      <c r="H36" s="857"/>
      <c r="I36" s="857"/>
      <c r="J36" s="857"/>
      <c r="K36" s="857"/>
      <c r="P36" s="267"/>
      <c r="Q36" s="245"/>
      <c r="R36" s="269" t="str">
        <f ca="1">ADDRESS(6,3,,,S36)</f>
        <v>'ei 2024 (2)'!$C$6</v>
      </c>
      <c r="S36" s="247" t="str">
        <f ca="1">'ei 2024 (2)'!$T$2</f>
        <v>ei 2024 (2)</v>
      </c>
      <c r="T36" s="270">
        <f>MAX($T$4:T33)+1</f>
        <v>7</v>
      </c>
    </row>
    <row r="37" spans="2:20" ht="5.15" customHeight="1" x14ac:dyDescent="0.25">
      <c r="B37" s="239"/>
      <c r="C37" s="233"/>
      <c r="D37" s="233"/>
      <c r="E37" s="233"/>
      <c r="F37" s="233"/>
      <c r="G37" s="233"/>
      <c r="H37" s="233"/>
      <c r="I37" s="233"/>
      <c r="J37" s="233"/>
      <c r="P37" s="267"/>
      <c r="Q37" s="245"/>
      <c r="R37" s="245"/>
      <c r="S37" s="245"/>
      <c r="T37" s="245"/>
    </row>
    <row r="38" spans="2:20" ht="13" x14ac:dyDescent="0.25">
      <c r="B38" s="239"/>
      <c r="C38" s="272"/>
      <c r="D38" s="856" t="str">
        <f ca="1">HYPERLINK("#"&amp;R38,INDIRECT(R38))</f>
        <v>E. Päästöselvitystä koskevat lisätiedot</v>
      </c>
      <c r="E38" s="857"/>
      <c r="F38" s="857"/>
      <c r="G38" s="857"/>
      <c r="H38" s="857"/>
      <c r="I38" s="857"/>
      <c r="J38" s="857"/>
      <c r="K38" s="857"/>
      <c r="P38" s="267"/>
      <c r="Q38" s="245"/>
      <c r="R38" s="269" t="str">
        <f ca="1">ADDRESS(5,2,,,S38)</f>
        <v>E_Lisätiedot!$B$5</v>
      </c>
      <c r="S38" s="247" t="str">
        <f ca="1">E_Lisätiedot!$O$2</f>
        <v>E_Lisätiedot</v>
      </c>
      <c r="T38" s="270">
        <f>MAX($T$4:T35)+1</f>
        <v>8</v>
      </c>
    </row>
    <row r="39" spans="2:20" ht="5.15" customHeight="1" x14ac:dyDescent="0.25">
      <c r="B39" s="239"/>
      <c r="C39" s="233"/>
      <c r="D39" s="233"/>
      <c r="E39" s="233"/>
      <c r="F39" s="233"/>
      <c r="G39" s="233"/>
      <c r="H39" s="233"/>
      <c r="I39" s="233"/>
      <c r="J39" s="233"/>
      <c r="P39" s="267"/>
      <c r="Q39" s="245"/>
      <c r="R39" s="245"/>
      <c r="S39" s="245"/>
      <c r="T39" s="245"/>
    </row>
    <row r="40" spans="2:20" ht="13" x14ac:dyDescent="0.25">
      <c r="B40" s="239"/>
      <c r="C40" s="272"/>
      <c r="D40" s="856" t="str">
        <f ca="1">HYPERLINK("#"&amp;R40,INDIRECT(R40))</f>
        <v>F. Kokonaispäästöt</v>
      </c>
      <c r="E40" s="857"/>
      <c r="F40" s="857"/>
      <c r="G40" s="857"/>
      <c r="H40" s="857"/>
      <c r="I40" s="857"/>
      <c r="J40" s="857"/>
      <c r="K40" s="857"/>
      <c r="P40" s="267"/>
      <c r="Q40" s="245"/>
      <c r="R40" s="269" t="str">
        <f ca="1">ADDRESS(6,3,,,S40)</f>
        <v>F_Kokonaispäästöt!$C$6</v>
      </c>
      <c r="S40" s="247" t="str">
        <f ca="1">F_Kokonaispäästöt!$T$2</f>
        <v>F_Kokonaispäästöt</v>
      </c>
      <c r="T40" s="270">
        <f>MAX($T$4:T39)+1</f>
        <v>9</v>
      </c>
    </row>
    <row r="41" spans="2:20" ht="5.15" customHeight="1" x14ac:dyDescent="0.25">
      <c r="B41" s="239"/>
      <c r="C41" s="233"/>
      <c r="D41" s="233"/>
      <c r="E41" s="233"/>
      <c r="F41" s="233"/>
      <c r="G41" s="233"/>
      <c r="H41" s="233"/>
      <c r="I41" s="233"/>
      <c r="J41" s="233"/>
      <c r="P41" s="267"/>
      <c r="Q41" s="245"/>
      <c r="R41" s="245"/>
      <c r="S41" s="245"/>
      <c r="T41" s="245"/>
    </row>
    <row r="42" spans="2:20" ht="13" x14ac:dyDescent="0.25">
      <c r="B42" s="239"/>
      <c r="C42" s="272"/>
      <c r="D42" s="856" t="str">
        <f ca="1">HYPERLINK("#"&amp;R42,INDIRECT(R42))</f>
        <v>G. Yhteenveto</v>
      </c>
      <c r="E42" s="857"/>
      <c r="F42" s="857"/>
      <c r="G42" s="857"/>
      <c r="H42" s="857"/>
      <c r="I42" s="857"/>
      <c r="J42" s="857"/>
      <c r="K42" s="857"/>
      <c r="P42" s="267"/>
      <c r="Q42" s="245"/>
      <c r="R42" s="269" t="str">
        <f ca="1">ADDRESS(3,3,,,S42)</f>
        <v>G_Yhteenveto!$C$3</v>
      </c>
      <c r="S42" s="247" t="str">
        <f ca="1">G_Yhteenveto!$AK$2</f>
        <v>G_Yhteenveto</v>
      </c>
      <c r="T42" s="270">
        <f>MAX($T$4:T41)+1</f>
        <v>10</v>
      </c>
    </row>
    <row r="43" spans="2:20" ht="25.5" customHeight="1" x14ac:dyDescent="0.25">
      <c r="B43" s="239"/>
      <c r="C43" s="233"/>
      <c r="D43" s="233"/>
      <c r="E43" s="233"/>
      <c r="F43" s="233"/>
      <c r="G43" s="233"/>
      <c r="H43" s="233"/>
      <c r="I43" s="233"/>
      <c r="J43" s="233"/>
      <c r="P43" s="267"/>
      <c r="Q43" s="245"/>
      <c r="R43" s="245"/>
      <c r="S43" s="245"/>
      <c r="T43" s="245"/>
    </row>
    <row r="44" spans="2:20" ht="13.5" thickBot="1" x14ac:dyDescent="0.3">
      <c r="C44" s="50" t="str">
        <f>Translations!$B$4</f>
        <v>Tätä lomaketta koskevat tiedot:</v>
      </c>
      <c r="P44" s="267"/>
      <c r="Q44" s="245"/>
      <c r="R44" s="245"/>
      <c r="S44" s="245"/>
      <c r="T44" s="245"/>
    </row>
    <row r="45" spans="2:20" ht="12.75" customHeight="1" x14ac:dyDescent="0.25">
      <c r="C45" s="22" t="str">
        <f>Translations!$B$169</f>
        <v>Säännellyn yhteisön nimi</v>
      </c>
      <c r="G45" s="116" t="str">
        <f>IF(ISBLANK('A_Säännellyn yhteisön tiedot'!I28),"",'A_Säännellyn yhteisön tiedot'!I28)</f>
        <v/>
      </c>
      <c r="H45" s="117"/>
      <c r="I45" s="117"/>
      <c r="J45" s="118"/>
      <c r="P45" s="267"/>
      <c r="Q45" s="245"/>
      <c r="R45" s="245"/>
      <c r="S45" s="245"/>
      <c r="T45" s="245"/>
    </row>
    <row r="46" spans="2:20" ht="13" x14ac:dyDescent="0.25">
      <c r="C46" s="22" t="str">
        <f>Translations!$B$170</f>
        <v>Säännellyn yhteisön tunniste:</v>
      </c>
      <c r="G46" s="119" t="str">
        <f>IF(ISBLANK('A_Säännellyn yhteisön tiedot'!I29),"",'A_Säännellyn yhteisön tiedot'!I29)</f>
        <v/>
      </c>
      <c r="H46" s="120"/>
      <c r="I46" s="120"/>
      <c r="J46" s="121"/>
      <c r="P46" s="267"/>
      <c r="Q46" s="245"/>
      <c r="R46" s="245"/>
      <c r="S46" s="245"/>
      <c r="T46" s="245"/>
    </row>
    <row r="47" spans="2:20" ht="13.5" thickBot="1" x14ac:dyDescent="0.3">
      <c r="C47" s="22" t="str">
        <f>Translations!$B$269</f>
        <v>Tämän selvityksen versionumero:</v>
      </c>
      <c r="G47" s="240" t="str">
        <f>'A_Säännellyn yhteisön tiedot'!I81</f>
        <v>2024 - 1</v>
      </c>
      <c r="H47" s="122"/>
      <c r="I47" s="122"/>
      <c r="J47" s="123"/>
      <c r="P47" s="267"/>
      <c r="Q47" s="245"/>
      <c r="R47" s="245"/>
      <c r="S47" s="245"/>
      <c r="T47" s="245"/>
    </row>
    <row r="48" spans="2:20" x14ac:dyDescent="0.25">
      <c r="P48" s="267"/>
      <c r="Q48" s="245"/>
      <c r="R48" s="245"/>
      <c r="S48" s="245"/>
      <c r="T48" s="245"/>
    </row>
    <row r="49" spans="3:20" ht="49.5" customHeight="1" x14ac:dyDescent="0.25">
      <c r="C49" s="881" t="str">
        <f>Translations!$B$270</f>
        <v xml:space="preserve">Allekirjoitus, mikäli toimivaltainen viranomainen edellyttää allekirjoitettua paperiversiota vuotuisesta päästöselvityksestä.
Huom! Lomake toimitetaan Energiavirastolle sähköisesti ETS2-asiointijärjestelmän kautta eli lomaketta ei ole tarpeen tulostaa ja allekirjoittaa. </v>
      </c>
      <c r="D49" s="882"/>
      <c r="E49" s="882"/>
      <c r="F49" s="882"/>
      <c r="G49" s="882"/>
      <c r="H49" s="882"/>
      <c r="I49" s="882"/>
      <c r="J49" s="882"/>
      <c r="P49" s="267"/>
      <c r="Q49" s="245"/>
      <c r="R49" s="245"/>
      <c r="S49" s="245"/>
      <c r="T49" s="245"/>
    </row>
    <row r="50" spans="3:20" x14ac:dyDescent="0.25">
      <c r="C50" s="882"/>
      <c r="D50" s="882"/>
      <c r="E50" s="882"/>
      <c r="F50" s="882"/>
      <c r="G50" s="882"/>
      <c r="H50" s="882"/>
      <c r="I50" s="882"/>
      <c r="J50" s="882"/>
      <c r="P50" s="267"/>
      <c r="Q50" s="245"/>
      <c r="R50" s="245"/>
      <c r="S50" s="245"/>
      <c r="T50" s="245"/>
    </row>
    <row r="51" spans="3:20" x14ac:dyDescent="0.25">
      <c r="P51" s="267"/>
      <c r="Q51" s="245"/>
      <c r="R51" s="245"/>
      <c r="S51" s="245"/>
      <c r="T51" s="245"/>
    </row>
    <row r="52" spans="3:20" x14ac:dyDescent="0.25">
      <c r="P52" s="267"/>
      <c r="Q52" s="245"/>
      <c r="R52" s="245"/>
      <c r="S52" s="245"/>
      <c r="T52" s="245"/>
    </row>
    <row r="53" spans="3:20" x14ac:dyDescent="0.25">
      <c r="P53" s="267"/>
      <c r="Q53" s="245"/>
      <c r="R53" s="245"/>
      <c r="S53" s="245"/>
      <c r="T53" s="245"/>
    </row>
    <row r="54" spans="3:20" x14ac:dyDescent="0.25">
      <c r="P54" s="267"/>
      <c r="Q54" s="245"/>
      <c r="R54" s="245"/>
      <c r="S54" s="245"/>
      <c r="T54" s="245"/>
    </row>
    <row r="55" spans="3:20" x14ac:dyDescent="0.25">
      <c r="P55" s="267"/>
      <c r="Q55" s="245"/>
      <c r="R55" s="245"/>
      <c r="S55" s="245"/>
      <c r="T55" s="245"/>
    </row>
    <row r="56" spans="3:20" ht="13" thickBot="1" x14ac:dyDescent="0.3">
      <c r="C56" s="890"/>
      <c r="D56" s="890"/>
      <c r="E56" s="890"/>
      <c r="G56" s="109"/>
      <c r="H56" s="109"/>
      <c r="I56" s="109"/>
      <c r="J56" s="109"/>
      <c r="P56" s="267"/>
      <c r="Q56" s="245"/>
      <c r="R56" s="245"/>
      <c r="S56" s="245"/>
      <c r="T56" s="245"/>
    </row>
    <row r="57" spans="3:20" ht="12.75" customHeight="1" x14ac:dyDescent="0.25">
      <c r="C57" s="883" t="str">
        <f>Translations!$B$5</f>
        <v>Päivämäärä</v>
      </c>
      <c r="D57" s="883"/>
      <c r="E57" s="883"/>
      <c r="G57" s="110" t="str">
        <f>Translations!$B$6</f>
        <v>Oikeudellisessa vastuussa olevan henkilön nimi ja allekirjoitus</v>
      </c>
      <c r="H57" s="110"/>
      <c r="I57" s="110"/>
      <c r="J57" s="110"/>
      <c r="P57" s="267"/>
      <c r="Q57" s="245"/>
      <c r="R57" s="245"/>
      <c r="S57" s="245"/>
      <c r="T57" s="245"/>
    </row>
    <row r="58" spans="3:20" x14ac:dyDescent="0.25">
      <c r="P58" s="267"/>
      <c r="Q58" s="245"/>
      <c r="R58" s="245"/>
      <c r="S58" s="245"/>
      <c r="T58" s="245"/>
    </row>
    <row r="59" spans="3:20" x14ac:dyDescent="0.25">
      <c r="P59" s="267"/>
      <c r="Q59" s="245"/>
      <c r="R59" s="245"/>
      <c r="S59" s="245"/>
      <c r="T59" s="245"/>
    </row>
    <row r="60" spans="3:20" x14ac:dyDescent="0.25">
      <c r="P60" s="267"/>
      <c r="Q60" s="245"/>
      <c r="R60" s="245"/>
      <c r="S60" s="245"/>
      <c r="T60" s="245"/>
    </row>
    <row r="61" spans="3:20" ht="13.5" thickBot="1" x14ac:dyDescent="0.3">
      <c r="C61" s="50" t="str">
        <f>Translations!$B$7</f>
        <v>Lomakkeen versiotiedot:</v>
      </c>
      <c r="P61" s="267"/>
      <c r="Q61" s="245"/>
      <c r="R61" s="245"/>
      <c r="S61" s="245"/>
      <c r="T61" s="245"/>
    </row>
    <row r="62" spans="3:20" x14ac:dyDescent="0.25">
      <c r="C62" s="884" t="str">
        <f>Translations!$B$8</f>
        <v>Lomakkeen toimittaa:</v>
      </c>
      <c r="D62" s="885"/>
      <c r="E62" s="885"/>
      <c r="F62" s="886"/>
      <c r="G62" s="111" t="str">
        <f>VersionDocumentation!B4</f>
        <v>European Commission</v>
      </c>
      <c r="H62" s="103"/>
      <c r="I62" s="103"/>
      <c r="J62" s="104"/>
      <c r="P62" s="267"/>
      <c r="Q62" s="245"/>
      <c r="R62" s="245"/>
      <c r="S62" s="245"/>
      <c r="T62" s="245"/>
    </row>
    <row r="63" spans="3:20" x14ac:dyDescent="0.25">
      <c r="C63" s="887" t="str">
        <f>Translations!$B$9</f>
        <v>Julkaisupäivä:</v>
      </c>
      <c r="D63" s="888"/>
      <c r="E63" s="888"/>
      <c r="F63" s="889"/>
      <c r="G63" s="226">
        <f>VersionDocumentation!B3</f>
        <v>45638</v>
      </c>
      <c r="H63" s="105"/>
      <c r="I63" s="105"/>
      <c r="J63" s="106"/>
      <c r="P63" s="267"/>
      <c r="Q63" s="245"/>
      <c r="R63" s="245"/>
      <c r="S63" s="245"/>
      <c r="T63" s="245"/>
    </row>
    <row r="64" spans="3:20" x14ac:dyDescent="0.25">
      <c r="C64" s="887" t="str">
        <f>Translations!$B$10</f>
        <v>Kieliversio:</v>
      </c>
      <c r="D64" s="888"/>
      <c r="E64" s="888"/>
      <c r="F64" s="889"/>
      <c r="G64" s="112" t="str">
        <f>VersionDocumentation!B5</f>
        <v>English</v>
      </c>
      <c r="H64" s="105"/>
      <c r="I64" s="105"/>
      <c r="J64" s="106"/>
      <c r="P64" s="267"/>
      <c r="Q64" s="245"/>
      <c r="R64" s="245"/>
      <c r="S64" s="245"/>
      <c r="T64" s="245"/>
    </row>
    <row r="65" spans="1:20" ht="13" thickBot="1" x14ac:dyDescent="0.3">
      <c r="C65" s="878" t="str">
        <f>Translations!$B$11</f>
        <v>Viitetiedoston nimi:</v>
      </c>
      <c r="D65" s="879"/>
      <c r="E65" s="879"/>
      <c r="F65" s="880"/>
      <c r="G65" s="113" t="str">
        <f>VersionDocumentation!C3</f>
        <v>AER ETS2_COM_en_121224.xls</v>
      </c>
      <c r="H65" s="107"/>
      <c r="I65" s="107"/>
      <c r="J65" s="108"/>
      <c r="P65" s="267"/>
      <c r="Q65" s="245"/>
      <c r="R65" s="245"/>
      <c r="S65" s="245"/>
      <c r="T65" s="245"/>
    </row>
    <row r="66" spans="1:20" x14ac:dyDescent="0.25">
      <c r="P66" s="267"/>
      <c r="Q66" s="245"/>
      <c r="R66" s="245"/>
      <c r="S66" s="245"/>
      <c r="T66" s="245"/>
    </row>
    <row r="67" spans="1:20" s="277" customFormat="1" ht="13" hidden="1" thickBot="1" x14ac:dyDescent="0.3">
      <c r="A67" s="301" t="s">
        <v>0</v>
      </c>
      <c r="O67" s="287"/>
      <c r="P67" s="245" t="s">
        <v>12</v>
      </c>
      <c r="Q67" s="245"/>
      <c r="R67" s="245"/>
      <c r="S67" s="245"/>
      <c r="T67" s="245"/>
    </row>
  </sheetData>
  <sheetProtection formatCells="0" formatColumns="0" formatRows="0"/>
  <mergeCells count="48">
    <mergeCell ref="E18:N18"/>
    <mergeCell ref="D38:K38"/>
    <mergeCell ref="E30:K30"/>
    <mergeCell ref="E29:K29"/>
    <mergeCell ref="E23:N23"/>
    <mergeCell ref="D36:K36"/>
    <mergeCell ref="D34:K34"/>
    <mergeCell ref="D40:K40"/>
    <mergeCell ref="E26:K26"/>
    <mergeCell ref="D24:J24"/>
    <mergeCell ref="D25:K25"/>
    <mergeCell ref="I2:J2"/>
    <mergeCell ref="K2:L2"/>
    <mergeCell ref="M3:N3"/>
    <mergeCell ref="E19:N19"/>
    <mergeCell ref="C65:F65"/>
    <mergeCell ref="C49:J50"/>
    <mergeCell ref="C57:E57"/>
    <mergeCell ref="C62:F62"/>
    <mergeCell ref="C63:F63"/>
    <mergeCell ref="C64:F64"/>
    <mergeCell ref="C56:E56"/>
    <mergeCell ref="E22:N22"/>
    <mergeCell ref="E17:N17"/>
    <mergeCell ref="D42:K42"/>
    <mergeCell ref="E27:K27"/>
    <mergeCell ref="E28:K28"/>
    <mergeCell ref="D14:K14"/>
    <mergeCell ref="G4:H4"/>
    <mergeCell ref="I4:J4"/>
    <mergeCell ref="K4:L4"/>
    <mergeCell ref="D32:K32"/>
    <mergeCell ref="B2:D4"/>
    <mergeCell ref="D21:K21"/>
    <mergeCell ref="D10:K10"/>
    <mergeCell ref="E4:F4"/>
    <mergeCell ref="E16:N16"/>
    <mergeCell ref="E15:N15"/>
    <mergeCell ref="M2:N2"/>
    <mergeCell ref="E3:F3"/>
    <mergeCell ref="G3:H3"/>
    <mergeCell ref="E2:F2"/>
    <mergeCell ref="G2:H2"/>
    <mergeCell ref="I3:J3"/>
    <mergeCell ref="K3:L3"/>
    <mergeCell ref="M4:N4"/>
    <mergeCell ref="E5:H5"/>
    <mergeCell ref="D12:K12"/>
  </mergeCells>
  <phoneticPr fontId="9" type="noConversion"/>
  <hyperlinks>
    <hyperlink ref="G3:H3" location="JUMP_B_2" display="Operator" xr:uid="{00000000-0004-0000-0000-000000000000}"/>
    <hyperlink ref="I3:J3" location="JUMP_B_3" display="Installation" xr:uid="{00000000-0004-0000-0000-000001000000}"/>
    <hyperlink ref="K3:L3" location="JUMP_B_4" display="Contacts" xr:uid="{00000000-0004-0000-0000-000002000000}"/>
    <hyperlink ref="G2:H2" location="JUMP_a_Content" display="Table of contents" xr:uid="{00000000-0004-0000-0000-000003000000}"/>
  </hyperlinks>
  <pageMargins left="0.78740157480314965" right="0.78740157480314965" top="0.78740157480314965" bottom="0.78740157480314965" header="0.39370078740157483" footer="0.39370078740157483"/>
  <pageSetup paperSize="9" scale="79"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0">
    <tabColor rgb="FFFFC000"/>
    <pageSetUpPr fitToPage="1"/>
  </sheetPr>
  <dimension ref="A1:AC75"/>
  <sheetViews>
    <sheetView topLeftCell="B1" zoomScaleNormal="100" workbookViewId="0">
      <pane ySplit="4" topLeftCell="A5" activePane="bottomLeft" state="frozen"/>
      <selection activeCell="B2" sqref="B2"/>
      <selection pane="bottomLeft" activeCell="K8" sqref="K8:L8"/>
    </sheetView>
  </sheetViews>
  <sheetFormatPr defaultColWidth="9.1796875" defaultRowHeight="12.5" x14ac:dyDescent="0.25"/>
  <cols>
    <col min="1" max="1" width="3.453125" style="275" hidden="1" customWidth="1"/>
    <col min="2" max="2" width="3.453125" style="132" customWidth="1"/>
    <col min="3" max="4" width="4.7265625" style="132" customWidth="1"/>
    <col min="5" max="6" width="12.7265625" style="132" customWidth="1"/>
    <col min="7" max="7" width="17.36328125" style="132" customWidth="1"/>
    <col min="8" max="9" width="20.453125" style="132" customWidth="1"/>
    <col min="10" max="10" width="21.08984375" style="132" customWidth="1"/>
    <col min="11" max="11" width="21.54296875" style="132" customWidth="1"/>
    <col min="12" max="12" width="24.453125" style="132" customWidth="1"/>
    <col min="13" max="13" width="7.7265625" style="132" customWidth="1"/>
    <col min="14" max="14" width="5.7265625" style="275" hidden="1" customWidth="1"/>
    <col min="15" max="29" width="12.7265625" style="275" hidden="1" customWidth="1"/>
    <col min="30" max="16384" width="9.1796875" style="593"/>
  </cols>
  <sheetData>
    <row r="1" spans="1:29" ht="13" hidden="1" thickBot="1" x14ac:dyDescent="0.3">
      <c r="A1" s="502" t="s">
        <v>0</v>
      </c>
      <c r="B1" s="503"/>
      <c r="C1" s="503"/>
      <c r="D1" s="504"/>
      <c r="E1" s="503"/>
      <c r="F1" s="503"/>
      <c r="G1" s="503"/>
      <c r="H1" s="503"/>
      <c r="I1" s="503"/>
      <c r="J1" s="503"/>
      <c r="K1" s="503"/>
      <c r="L1" s="503"/>
      <c r="M1" s="505"/>
      <c r="N1" s="275" t="s">
        <v>0</v>
      </c>
      <c r="O1" s="275" t="s">
        <v>0</v>
      </c>
      <c r="P1" s="275" t="s">
        <v>0</v>
      </c>
      <c r="Q1" s="275" t="s">
        <v>0</v>
      </c>
      <c r="R1" s="275" t="s">
        <v>0</v>
      </c>
      <c r="S1" s="275" t="s">
        <v>0</v>
      </c>
      <c r="T1" s="275" t="s">
        <v>0</v>
      </c>
      <c r="U1" s="275" t="s">
        <v>0</v>
      </c>
      <c r="V1" s="275" t="s">
        <v>0</v>
      </c>
      <c r="W1" s="275" t="s">
        <v>0</v>
      </c>
      <c r="X1" s="275" t="s">
        <v>0</v>
      </c>
      <c r="Y1" s="275" t="s">
        <v>0</v>
      </c>
      <c r="Z1" s="275" t="s">
        <v>0</v>
      </c>
      <c r="AA1" s="275" t="s">
        <v>0</v>
      </c>
      <c r="AB1" s="275" t="s">
        <v>0</v>
      </c>
      <c r="AC1" s="275" t="s">
        <v>0</v>
      </c>
    </row>
    <row r="2" spans="1:29" ht="13.5" customHeight="1" thickBot="1" x14ac:dyDescent="0.35">
      <c r="A2" s="506"/>
      <c r="B2" s="1298" t="str">
        <f>Translations!$B$511</f>
        <v>F. Yhteenveto</v>
      </c>
      <c r="C2" s="1299"/>
      <c r="D2" s="1300"/>
      <c r="E2" s="1289" t="str">
        <f>Translations!$B$13</f>
        <v>Navigointialue:</v>
      </c>
      <c r="F2" s="1290"/>
      <c r="G2" s="938" t="str">
        <f>Translations!$B$14</f>
        <v>Sisällysluettelo</v>
      </c>
      <c r="H2" s="939"/>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507"/>
      <c r="Q2" s="245" t="s">
        <v>1</v>
      </c>
      <c r="R2" s="246" t="str">
        <f>ADDRESS(ROW($B$6),COLUMN($B$6)) &amp; ":" &amp; ADDRESS(MATCH("PRINT",$N:$N,0),COLUMN($N$6))</f>
        <v>$B$6:$N$75</v>
      </c>
      <c r="S2" s="245" t="s">
        <v>2</v>
      </c>
      <c r="T2" s="247" t="str">
        <f ca="1">IF(ISERROR(CELL("filename",U2)),"F_ManagementControl",MID(CELL("filename",U2),FIND("]",CELL("filename",U2))+1,1024))</f>
        <v>F_Kokonaispäästöt</v>
      </c>
    </row>
    <row r="3" spans="1:29" ht="12.75" customHeight="1" x14ac:dyDescent="0.25">
      <c r="A3" s="506"/>
      <c r="B3" s="1301"/>
      <c r="C3" s="1302"/>
      <c r="D3" s="1303"/>
      <c r="E3" s="858"/>
      <c r="F3" s="858"/>
      <c r="G3" s="858"/>
      <c r="H3" s="858"/>
      <c r="I3" s="858"/>
      <c r="J3" s="858"/>
      <c r="K3" s="858"/>
      <c r="L3" s="858"/>
      <c r="M3" s="508"/>
    </row>
    <row r="4" spans="1:29" ht="13.5" customHeight="1" thickBot="1" x14ac:dyDescent="0.3">
      <c r="A4" s="506"/>
      <c r="B4" s="1304"/>
      <c r="C4" s="1305"/>
      <c r="D4" s="1306"/>
      <c r="E4" s="858"/>
      <c r="F4" s="858"/>
      <c r="G4" s="858"/>
      <c r="H4" s="858"/>
      <c r="I4" s="858"/>
      <c r="J4" s="858"/>
      <c r="K4" s="858"/>
      <c r="L4" s="858"/>
      <c r="M4" s="508"/>
    </row>
    <row r="5" spans="1:29" x14ac:dyDescent="0.25">
      <c r="B5" s="509"/>
      <c r="M5" s="293"/>
    </row>
    <row r="6" spans="1:29" s="594" customFormat="1" ht="18.75" customHeight="1" x14ac:dyDescent="0.25">
      <c r="A6" s="510"/>
      <c r="B6" s="511"/>
      <c r="C6" s="1293" t="str">
        <f>Translations!$B$512</f>
        <v>F. Kokonaispäästöt</v>
      </c>
      <c r="D6" s="1293"/>
      <c r="E6" s="1293"/>
      <c r="F6" s="1293"/>
      <c r="G6" s="1293"/>
      <c r="H6" s="1293"/>
      <c r="I6" s="1293"/>
      <c r="J6" s="1293"/>
      <c r="K6" s="1293"/>
      <c r="L6" s="1293"/>
      <c r="M6" s="512"/>
      <c r="N6" s="513"/>
      <c r="O6" s="275"/>
      <c r="P6" s="275"/>
      <c r="Q6" s="514"/>
      <c r="R6" s="514"/>
      <c r="S6" s="514"/>
      <c r="T6" s="514"/>
      <c r="U6" s="514"/>
      <c r="V6" s="514"/>
      <c r="W6" s="514"/>
      <c r="X6" s="514"/>
      <c r="Y6" s="514"/>
      <c r="Z6" s="514"/>
      <c r="AA6" s="514"/>
      <c r="AB6" s="514"/>
      <c r="AC6" s="514"/>
    </row>
    <row r="7" spans="1:29" ht="5.15" customHeight="1" thickBot="1" x14ac:dyDescent="0.3">
      <c r="B7" s="509"/>
      <c r="M7" s="293"/>
    </row>
    <row r="8" spans="1:29" ht="20.149999999999999" customHeight="1" thickBot="1" x14ac:dyDescent="0.3">
      <c r="B8" s="509"/>
      <c r="J8" s="515" t="str">
        <f>Translations!$B$513</f>
        <v>Raportointivuosi:</v>
      </c>
      <c r="K8" s="1274">
        <f>IF(ISBLANK('A_Säännellyn yhteisön tiedot'!J9),"",'A_Säännellyn yhteisön tiedot'!J9)</f>
        <v>2024</v>
      </c>
      <c r="L8" s="1275"/>
      <c r="M8" s="293"/>
    </row>
    <row r="9" spans="1:29" ht="5.15" customHeight="1" x14ac:dyDescent="0.25">
      <c r="B9" s="509"/>
      <c r="M9" s="293"/>
    </row>
    <row r="10" spans="1:29" s="595" customFormat="1" ht="12.75" customHeight="1" x14ac:dyDescent="0.3">
      <c r="A10" s="516"/>
      <c r="B10" s="517"/>
      <c r="C10" s="518"/>
      <c r="D10" s="519"/>
      <c r="E10" s="1276" t="str">
        <f>Translations!$B$181</f>
        <v>Säännellyn yhteisön nimi:</v>
      </c>
      <c r="F10" s="1276"/>
      <c r="G10" s="1276"/>
      <c r="H10" s="1277"/>
      <c r="I10" s="1278" t="str">
        <f>IF(ISBLANK('A_Säännellyn yhteisön tiedot'!$I$28),"",'A_Säännellyn yhteisön tiedot'!$I$28)</f>
        <v/>
      </c>
      <c r="J10" s="1279"/>
      <c r="K10" s="1279"/>
      <c r="L10" s="1280"/>
      <c r="M10" s="520"/>
      <c r="N10" s="513"/>
      <c r="O10" s="513"/>
      <c r="P10" s="513"/>
      <c r="Q10" s="513"/>
      <c r="R10" s="513"/>
      <c r="S10" s="513"/>
      <c r="T10" s="513"/>
      <c r="U10" s="513"/>
      <c r="V10" s="513"/>
      <c r="W10" s="513"/>
      <c r="X10" s="513"/>
      <c r="Y10" s="513"/>
      <c r="Z10" s="513"/>
      <c r="AA10" s="513"/>
      <c r="AB10" s="513"/>
      <c r="AC10" s="513"/>
    </row>
    <row r="11" spans="1:29" s="595" customFormat="1" ht="12.75" customHeight="1" x14ac:dyDescent="0.3">
      <c r="A11" s="506"/>
      <c r="B11" s="517"/>
      <c r="C11" s="518"/>
      <c r="D11" s="519"/>
      <c r="E11" s="1276" t="str">
        <f>Translations!$B$182</f>
        <v>Säännellyn yhteisön y-tunnus:</v>
      </c>
      <c r="F11" s="1276"/>
      <c r="G11" s="1276"/>
      <c r="H11" s="1277"/>
      <c r="I11" s="1286" t="str">
        <f>IF(ISBLANK('A_Säännellyn yhteisön tiedot'!$I$29),"",'A_Säännellyn yhteisön tiedot'!$I$29)</f>
        <v/>
      </c>
      <c r="J11" s="1287"/>
      <c r="K11" s="1287"/>
      <c r="L11" s="1288"/>
      <c r="M11" s="521"/>
      <c r="N11" s="513"/>
      <c r="O11" s="513"/>
      <c r="P11" s="513"/>
      <c r="Q11" s="513"/>
      <c r="R11" s="513"/>
      <c r="S11" s="513"/>
      <c r="T11" s="513"/>
      <c r="U11" s="513"/>
      <c r="V11" s="513"/>
      <c r="W11" s="513"/>
      <c r="X11" s="513"/>
      <c r="Y11" s="513"/>
      <c r="Z11" s="513"/>
      <c r="AA11" s="513"/>
      <c r="AB11" s="513"/>
      <c r="AC11" s="513"/>
    </row>
    <row r="12" spans="1:29" s="595" customFormat="1" ht="12.75" customHeight="1" x14ac:dyDescent="0.3">
      <c r="A12" s="522"/>
      <c r="B12" s="517"/>
      <c r="C12" s="518"/>
      <c r="D12" s="519"/>
      <c r="E12" s="1276" t="str">
        <f>Translations!$B$514</f>
        <v>Versionumero:</v>
      </c>
      <c r="F12" s="1276"/>
      <c r="G12" s="1276"/>
      <c r="H12" s="1277"/>
      <c r="I12" s="1307" t="str">
        <f>'A_Säännellyn yhteisön tiedot'!I81</f>
        <v>2024 - 1</v>
      </c>
      <c r="J12" s="1308"/>
      <c r="K12" s="1308"/>
      <c r="L12" s="1309"/>
      <c r="M12" s="521"/>
      <c r="N12" s="513"/>
      <c r="O12" s="513"/>
      <c r="P12" s="513"/>
      <c r="Q12" s="513"/>
      <c r="R12" s="513"/>
      <c r="S12" s="513"/>
      <c r="T12" s="513"/>
      <c r="U12" s="513"/>
      <c r="V12" s="513"/>
      <c r="W12" s="513"/>
      <c r="X12" s="513"/>
      <c r="Y12" s="513"/>
      <c r="Z12" s="513"/>
      <c r="AA12" s="513"/>
      <c r="AB12" s="513"/>
      <c r="AC12" s="513"/>
    </row>
    <row r="13" spans="1:29" ht="5.15" customHeight="1" x14ac:dyDescent="0.25">
      <c r="B13" s="509"/>
      <c r="M13" s="293"/>
    </row>
    <row r="14" spans="1:29" ht="45" customHeight="1" x14ac:dyDescent="0.3">
      <c r="B14" s="509"/>
      <c r="E14" s="1272" t="str">
        <f>Translations!$B$515</f>
        <v>Polttoainemäärään sovellettava yksikkö</v>
      </c>
      <c r="F14" s="1272"/>
      <c r="G14" s="1273"/>
      <c r="H14" s="590" t="str">
        <f>Translations!$B$516</f>
        <v>Polttoainemäärä  (ei soveltamisalakerrointa)</v>
      </c>
      <c r="I14" s="590" t="str">
        <f>Translations!$B$517</f>
        <v>Polttoainemäärä (soveltamisalakerroin huomioitu)</v>
      </c>
      <c r="J14" s="590" t="str">
        <f>Translations!$B$518</f>
        <v>Soveltamisalakertoimen painotettu keskiarvo</v>
      </c>
      <c r="K14" s="591" t="str">
        <f>Translations!$B$519</f>
        <v xml:space="preserve">ETS1-päästökaupan soveltamisalaan toimitetut polttoaineet </v>
      </c>
      <c r="L14" s="591" t="str">
        <f>Translations!$B$520</f>
        <v xml:space="preserve">ETS1-päästökaupan soveltamisalassa käytetyt polttoaineet </v>
      </c>
      <c r="M14" s="293"/>
    </row>
    <row r="15" spans="1:29" ht="12.75" customHeight="1" x14ac:dyDescent="0.25">
      <c r="B15" s="509"/>
      <c r="E15" s="1291" t="str">
        <f>INDEX(RFAUnits,ROWS($D$15:D15))</f>
        <v>t</v>
      </c>
      <c r="F15" s="1291"/>
      <c r="G15" s="1292"/>
      <c r="H15" s="589" t="str">
        <f>IF(COUNTIF(G_Yhteenveto!$L:$L,$E15)=0,"",SUMIFS(G_Yhteenveto!J:J,G_Yhteenveto!$L:$L,$E15))</f>
        <v/>
      </c>
      <c r="I15" s="589" t="str">
        <f>IF(H15="","",SUMIFS(G_Yhteenveto!K:K,G_Yhteenveto!$L:$L,$E15))</f>
        <v/>
      </c>
      <c r="J15" s="608" t="str">
        <f>IF(OR(I15="",I15=0),"",I15/H15)</f>
        <v/>
      </c>
      <c r="K15" s="589" t="str">
        <f>IF(COUNTIF('D_Kaksoislaskennan välttäminen'!$J$57:$J$76,$E15)=0,"",SUMIFS('D_Kaksoislaskennan välttäminen'!L$57:L$76,'D_Kaksoislaskennan välttäminen'!$J$57:$J$76,$E15))</f>
        <v/>
      </c>
      <c r="L15" s="589" t="str">
        <f>IF(COUNTIF('D_Kaksoislaskennan välttäminen'!$J$57:$J$76,$E15)=0,"",SUMIFS('D_Kaksoislaskennan välttäminen'!M$57:M$76,'D_Kaksoislaskennan välttäminen'!$J$57:$J$76,$E15))</f>
        <v/>
      </c>
      <c r="M15" s="293"/>
    </row>
    <row r="16" spans="1:29" ht="12.75" customHeight="1" x14ac:dyDescent="0.25">
      <c r="B16" s="509"/>
      <c r="E16" s="1291" t="str">
        <f>INDEX(RFAUnits,ROWS($D$15:D16))</f>
        <v>1000Nm³</v>
      </c>
      <c r="F16" s="1291"/>
      <c r="G16" s="1292"/>
      <c r="H16" s="589" t="str">
        <f>IF(COUNTIF(G_Yhteenveto!$L:$L,$E16)=0,"",SUMIFS(G_Yhteenveto!J:J,G_Yhteenveto!$L:$L,$E16))</f>
        <v/>
      </c>
      <c r="I16" s="589" t="str">
        <f>IF(H16="","",SUMIFS(G_Yhteenveto!K:K,G_Yhteenveto!$L:$L,$E16))</f>
        <v/>
      </c>
      <c r="J16" s="608" t="str">
        <f>IF(OR(I16="",I16=0),"",I16/H16)</f>
        <v/>
      </c>
      <c r="K16" s="589" t="str">
        <f>IF(COUNTIF('D_Kaksoislaskennan välttäminen'!$J$57:$J$76,$E16)=0,"",SUMIFS('D_Kaksoislaskennan välttäminen'!L$57:L$76,'D_Kaksoislaskennan välttäminen'!$J$57:$J$76,$E16))</f>
        <v/>
      </c>
      <c r="L16" s="589" t="str">
        <f>IF(COUNTIF('D_Kaksoislaskennan välttäminen'!$J$57:$J$76,$E16)=0,"",SUMIFS('D_Kaksoislaskennan välttäminen'!M$57:M$76,'D_Kaksoislaskennan välttäminen'!$J$57:$J$76,$E16))</f>
        <v/>
      </c>
      <c r="M16" s="293"/>
    </row>
    <row r="17" spans="1:29" ht="12.75" customHeight="1" x14ac:dyDescent="0.25">
      <c r="B17" s="509"/>
      <c r="E17" s="1291" t="str">
        <f>INDEX(RFAUnits,ROWS($D$15:D17))</f>
        <v>litraa</v>
      </c>
      <c r="F17" s="1291"/>
      <c r="G17" s="1292"/>
      <c r="H17" s="589" t="str">
        <f>IF(COUNTIF(G_Yhteenveto!$L:$L,$E17)=0,"",SUMIFS(G_Yhteenveto!J:J,G_Yhteenveto!$L:$L,$E17))</f>
        <v/>
      </c>
      <c r="I17" s="589" t="str">
        <f>IF(H17="","",SUMIFS(G_Yhteenveto!K:K,G_Yhteenveto!$L:$L,$E17))</f>
        <v/>
      </c>
      <c r="J17" s="608" t="str">
        <f>IF(OR(I17="",I17=0),"",I17/H17)</f>
        <v/>
      </c>
      <c r="K17" s="589" t="str">
        <f>IF(COUNTIF('D_Kaksoislaskennan välttäminen'!$J$57:$J$76,$E17)=0,"",SUMIFS('D_Kaksoislaskennan välttäminen'!L$57:L$76,'D_Kaksoislaskennan välttäminen'!$J$57:$J$76,$E17))</f>
        <v/>
      </c>
      <c r="L17" s="589" t="str">
        <f>IF(COUNTIF('D_Kaksoislaskennan välttäminen'!$J$57:$J$76,$E17)=0,"",SUMIFS('D_Kaksoislaskennan välttäminen'!M$57:M$76,'D_Kaksoislaskennan välttäminen'!$J$57:$J$76,$E17))</f>
        <v/>
      </c>
      <c r="M17" s="293"/>
    </row>
    <row r="18" spans="1:29" ht="12.75" customHeight="1" x14ac:dyDescent="0.25">
      <c r="B18" s="509"/>
      <c r="E18" s="1291" t="str">
        <f>INDEX(RFAUnits,ROWS($D$15:D18))</f>
        <v>TJ</v>
      </c>
      <c r="F18" s="1291"/>
      <c r="G18" s="1292"/>
      <c r="H18" s="589" t="str">
        <f>IF(COUNTIF(G_Yhteenveto!$L:$L,$E18)=0,"",SUMIFS(G_Yhteenveto!J:J,G_Yhteenveto!$L:$L,$E18))</f>
        <v/>
      </c>
      <c r="I18" s="589" t="str">
        <f>IF(H18="","",SUMIFS(G_Yhteenveto!K:K,G_Yhteenveto!$L:$L,$E18))</f>
        <v/>
      </c>
      <c r="J18" s="608" t="str">
        <f>IF(OR(I18="",I18=0),"",I18/H18)</f>
        <v/>
      </c>
      <c r="K18" s="589" t="str">
        <f>IF(COUNTIF('D_Kaksoislaskennan välttäminen'!$J$57:$J$76,$E18)=0,"",SUMIFS('D_Kaksoislaskennan välttäminen'!L$57:L$76,'D_Kaksoislaskennan välttäminen'!$J$57:$J$76,$E18))</f>
        <v/>
      </c>
      <c r="L18" s="589" t="str">
        <f>IF(COUNTIF('D_Kaksoislaskennan välttäminen'!$J$57:$J$76,$E18)=0,"",SUMIFS('D_Kaksoislaskennan välttäminen'!M$57:M$76,'D_Kaksoislaskennan välttäminen'!$J$57:$J$76,$E18))</f>
        <v/>
      </c>
      <c r="M18" s="293"/>
    </row>
    <row r="19" spans="1:29" ht="12.75" customHeight="1" x14ac:dyDescent="0.25">
      <c r="B19" s="509"/>
      <c r="E19" s="1291" t="str">
        <f>INDEX(RFAUnits,ROWS($D$15:D19))</f>
        <v>GWh (brutto)</v>
      </c>
      <c r="F19" s="1291"/>
      <c r="G19" s="1292"/>
      <c r="H19" s="589" t="str">
        <f>IF(COUNTIF(G_Yhteenveto!$L:$L,$E19)=0,"",SUMIFS(G_Yhteenveto!J:J,G_Yhteenveto!$L:$L,$E19))</f>
        <v/>
      </c>
      <c r="I19" s="589" t="str">
        <f>IF(H19="","",SUMIFS(G_Yhteenveto!K:K,G_Yhteenveto!$L:$L,$E19))</f>
        <v/>
      </c>
      <c r="J19" s="608" t="str">
        <f>IF(OR(I19="",I19=0),"",I19/H19)</f>
        <v/>
      </c>
      <c r="K19" s="589" t="str">
        <f>IF(COUNTIF('D_Kaksoislaskennan välttäminen'!$J$57:$J$76,$E19)=0,"",SUMIFS('D_Kaksoislaskennan välttäminen'!L$57:L$76,'D_Kaksoislaskennan välttäminen'!$J$57:$J$76,$E19))</f>
        <v/>
      </c>
      <c r="L19" s="589" t="str">
        <f>IF(COUNTIF('D_Kaksoislaskennan välttäminen'!$J$57:$J$76,$E19)=0,"",SUMIFS('D_Kaksoislaskennan välttäminen'!M$57:M$76,'D_Kaksoislaskennan välttäminen'!$J$57:$J$76,$E19))</f>
        <v/>
      </c>
      <c r="M19" s="293"/>
    </row>
    <row r="20" spans="1:29" ht="5.15" customHeight="1" x14ac:dyDescent="0.25">
      <c r="B20" s="509"/>
      <c r="M20" s="293"/>
    </row>
    <row r="21" spans="1:29" ht="13" x14ac:dyDescent="0.3">
      <c r="B21" s="509"/>
      <c r="J21" s="523"/>
      <c r="M21" s="293"/>
    </row>
    <row r="22" spans="1:29" ht="38.25" customHeight="1" x14ac:dyDescent="0.3">
      <c r="B22" s="509"/>
      <c r="G22" s="603"/>
      <c r="H22" s="604" t="str">
        <f>Translations!$B$522</f>
        <v>Päästöt (fossiilinen)</v>
      </c>
      <c r="I22" s="596" t="str">
        <f>Translations!$B$523</f>
        <v>Energiasisältö (fossiilinen)</v>
      </c>
      <c r="J22" s="598" t="str">
        <f>Translations!$B$524</f>
        <v>Päästöt (biomassa)</v>
      </c>
      <c r="K22" s="599" t="str">
        <f>Translations!$B$525</f>
        <v>Energiasisältö (biomassa)</v>
      </c>
      <c r="L22" s="592" t="str">
        <f>Translations!$B$526</f>
        <v>Päästöt (ei-kestävä biomassa)</v>
      </c>
      <c r="M22" s="293"/>
    </row>
    <row r="23" spans="1:29" ht="13.5" thickBot="1" x14ac:dyDescent="0.35">
      <c r="B23" s="509"/>
      <c r="G23" s="605"/>
      <c r="H23" s="606" t="str">
        <f>EUconst_tCO2</f>
        <v>tCO2</v>
      </c>
      <c r="I23" s="597" t="str">
        <f>EUconst_TJ</f>
        <v>TJ</v>
      </c>
      <c r="J23" s="600" t="str">
        <f>EUconst_tCO2</f>
        <v>tCO2</v>
      </c>
      <c r="K23" s="601" t="str">
        <f>EUconst_TJ</f>
        <v>TJ</v>
      </c>
      <c r="L23" s="602" t="str">
        <f>EUconst_tCO2</f>
        <v>tCO2</v>
      </c>
      <c r="M23" s="293"/>
    </row>
    <row r="24" spans="1:29" s="594" customFormat="1" ht="20.149999999999999" customHeight="1" thickBot="1" x14ac:dyDescent="0.3">
      <c r="A24" s="514"/>
      <c r="B24" s="511"/>
      <c r="C24" s="524"/>
      <c r="D24" s="132"/>
      <c r="E24" s="1281" t="str">
        <f>Translations!$B$527</f>
        <v>Polttoainevirrat yhteensä</v>
      </c>
      <c r="F24" s="1281"/>
      <c r="G24" s="1282"/>
      <c r="H24" s="525" t="str">
        <f>IF(COUNT($H$15:$L$19)&gt;0,SUM(G_Yhteenveto!Z:Z),"")</f>
        <v/>
      </c>
      <c r="I24" s="587" t="str">
        <f>IF(COUNT($H$15:$L$19)&gt;0,SUM(G_Yhteenveto!AC:AC),"")</f>
        <v/>
      </c>
      <c r="J24" s="526" t="str">
        <f>IF(COUNT($H$15:$L$19)&gt;0,SUM(G_Yhteenveto!AA:AA),"")</f>
        <v/>
      </c>
      <c r="K24" s="588" t="str">
        <f>IF(COUNT($H$15:$L$19)&gt;0,SUM(G_Yhteenveto!AD:AD),"")</f>
        <v/>
      </c>
      <c r="L24" s="527" t="str">
        <f>IF(COUNT($H$15:$L$19)&gt;0,SUM(G_Yhteenveto!AB:AB),"")</f>
        <v/>
      </c>
      <c r="M24" s="512"/>
      <c r="N24" s="514"/>
      <c r="O24" s="514"/>
      <c r="P24" s="514"/>
      <c r="Q24" s="514"/>
      <c r="R24" s="514"/>
      <c r="S24" s="514"/>
      <c r="T24" s="275"/>
      <c r="U24" s="275"/>
      <c r="V24" s="275"/>
      <c r="W24" s="275"/>
      <c r="X24" s="275"/>
      <c r="Y24" s="275"/>
      <c r="Z24" s="275"/>
      <c r="AA24" s="514"/>
      <c r="AB24" s="514"/>
      <c r="AC24" s="514"/>
    </row>
    <row r="25" spans="1:29" ht="25.5" customHeight="1" thickBot="1" x14ac:dyDescent="0.3">
      <c r="B25" s="509"/>
      <c r="M25" s="293"/>
    </row>
    <row r="26" spans="1:29" ht="25.5" customHeight="1" thickBot="1" x14ac:dyDescent="0.3">
      <c r="B26" s="509"/>
      <c r="E26" s="1270" t="str">
        <f>Translations!$B$528</f>
        <v>Raportointivuoden kokonaispäästöt:</v>
      </c>
      <c r="F26" s="1270"/>
      <c r="G26" s="1270"/>
      <c r="H26" s="1270"/>
      <c r="I26" s="1271"/>
      <c r="J26" s="1310" t="str">
        <f>IF(H24="","",ROUND(SUM(H24),0))</f>
        <v/>
      </c>
      <c r="K26" s="1311"/>
      <c r="L26" s="528" t="str">
        <f>EUconst_tCO2</f>
        <v>tCO2</v>
      </c>
      <c r="M26" s="293"/>
    </row>
    <row r="27" spans="1:29" x14ac:dyDescent="0.25">
      <c r="B27" s="509"/>
      <c r="M27" s="293"/>
    </row>
    <row r="28" spans="1:29" ht="25.5" hidden="1" customHeight="1" x14ac:dyDescent="0.3">
      <c r="B28" s="509"/>
      <c r="E28" s="1294" t="str">
        <f>Translations!$B$53</f>
        <v>ETS1-toiminnaharjoittaja</v>
      </c>
      <c r="F28" s="1295"/>
      <c r="G28" s="1284" t="str">
        <f>Translations!$B$430</f>
        <v>Toiminnanharjoittajan ETS1-laitoksen nimi</v>
      </c>
      <c r="H28" s="1284" t="str">
        <f>Translations!$B$420</f>
        <v>Polttoainevirta</v>
      </c>
      <c r="I28" s="1284" t="str">
        <f>Translations!$B$394</f>
        <v>Yksikkö</v>
      </c>
      <c r="J28" s="641" t="str">
        <f>Translations!$B$516</f>
        <v>Polttoainemäärä  (ei soveltamisalakerrointa)</v>
      </c>
      <c r="K28" s="641" t="str">
        <f>Translations!$B$516</f>
        <v>Polttoainemäärä  (ei soveltamisalakerrointa)</v>
      </c>
      <c r="L28" s="673" t="str">
        <f>Translations!$B$516</f>
        <v>Polttoainemäärä  (ei soveltamisalakerrointa)</v>
      </c>
      <c r="M28" s="293"/>
    </row>
    <row r="29" spans="1:29" ht="25.5" hidden="1" customHeight="1" x14ac:dyDescent="0.3">
      <c r="B29" s="825"/>
      <c r="C29" s="593"/>
      <c r="E29" s="1296"/>
      <c r="F29" s="1297"/>
      <c r="G29" s="1285"/>
      <c r="H29" s="1285"/>
      <c r="I29" s="1285"/>
      <c r="J29" s="674" t="str">
        <f>Translations!$B$530</f>
        <v>(myyty ETS1:ssä)</v>
      </c>
      <c r="K29" s="674" t="str">
        <f>Translations!$B$531</f>
        <v>(käytetty ETS1:ssä)</v>
      </c>
      <c r="L29" s="675" t="str">
        <f>Translations!$B$532</f>
        <v>(myyty ETS1:ssä, t CO2)</v>
      </c>
      <c r="M29" s="293"/>
    </row>
    <row r="30" spans="1:29" ht="12.75" hidden="1" customHeight="1" x14ac:dyDescent="0.25">
      <c r="B30" s="825"/>
      <c r="C30" s="593"/>
      <c r="D30" s="493">
        <v>1</v>
      </c>
      <c r="E30" s="1283" t="str">
        <f>IF('D_Kaksoislaskennan välttäminen'!E57="","",'D_Kaksoislaskennan välttäminen'!E57)</f>
        <v/>
      </c>
      <c r="F30" s="1283"/>
      <c r="G30" s="656" t="str">
        <f>IF('D_Kaksoislaskennan välttäminen'!F57="","",'D_Kaksoislaskennan välttäminen'!F57)</f>
        <v/>
      </c>
      <c r="H30" s="638" t="str">
        <f>IF('D_Kaksoislaskennan välttäminen'!H57="","",'D_Kaksoislaskennan välttäminen'!H57)</f>
        <v/>
      </c>
      <c r="I30" s="639" t="str">
        <f>IF('D_Kaksoislaskennan välttäminen'!J57="","",'D_Kaksoislaskennan välttäminen'!J57)</f>
        <v/>
      </c>
      <c r="J30" s="640" t="str">
        <f>IF('D_Kaksoislaskennan välttäminen'!L57="","",'D_Kaksoislaskennan välttäminen'!L57)</f>
        <v/>
      </c>
      <c r="K30" s="640" t="str">
        <f>IF('D_Kaksoislaskennan välttäminen'!M57="","",'D_Kaksoislaskennan välttäminen'!M57)</f>
        <v/>
      </c>
      <c r="L30" s="640" t="str">
        <f>IF('D_Kaksoislaskennan välttäminen'!T57="","",'D_Kaksoislaskennan välttäminen'!T57)</f>
        <v/>
      </c>
      <c r="M30" s="293"/>
    </row>
    <row r="31" spans="1:29" ht="12.75" hidden="1" customHeight="1" x14ac:dyDescent="0.25">
      <c r="B31" s="825"/>
      <c r="C31" s="593"/>
      <c r="D31" s="493">
        <v>2</v>
      </c>
      <c r="E31" s="1283" t="str">
        <f>IF('D_Kaksoislaskennan välttäminen'!E58="","",'D_Kaksoislaskennan välttäminen'!E58)</f>
        <v/>
      </c>
      <c r="F31" s="1283"/>
      <c r="G31" s="656" t="str">
        <f>IF('D_Kaksoislaskennan välttäminen'!F58="","",'D_Kaksoislaskennan välttäminen'!F58)</f>
        <v/>
      </c>
      <c r="H31" s="638" t="str">
        <f>IF('D_Kaksoislaskennan välttäminen'!H58="","",'D_Kaksoislaskennan välttäminen'!H58)</f>
        <v/>
      </c>
      <c r="I31" s="639" t="str">
        <f>IF('D_Kaksoislaskennan välttäminen'!J58="","",'D_Kaksoislaskennan välttäminen'!J58)</f>
        <v/>
      </c>
      <c r="J31" s="640" t="str">
        <f>IF('D_Kaksoislaskennan välttäminen'!L58="","",'D_Kaksoislaskennan välttäminen'!L58)</f>
        <v/>
      </c>
      <c r="K31" s="640" t="str">
        <f>IF('D_Kaksoislaskennan välttäminen'!M58="","",'D_Kaksoislaskennan välttäminen'!M58)</f>
        <v/>
      </c>
      <c r="L31" s="640" t="str">
        <f>IF('D_Kaksoislaskennan välttäminen'!T58="","",'D_Kaksoislaskennan välttäminen'!T58)</f>
        <v/>
      </c>
      <c r="M31" s="293"/>
    </row>
    <row r="32" spans="1:29" ht="12.75" hidden="1" customHeight="1" x14ac:dyDescent="0.25">
      <c r="B32" s="825"/>
      <c r="C32" s="593"/>
      <c r="D32" s="493">
        <v>3</v>
      </c>
      <c r="E32" s="1283" t="str">
        <f>IF('D_Kaksoislaskennan välttäminen'!E59="","",'D_Kaksoislaskennan välttäminen'!E59)</f>
        <v/>
      </c>
      <c r="F32" s="1283"/>
      <c r="G32" s="656" t="str">
        <f>IF('D_Kaksoislaskennan välttäminen'!F59="","",'D_Kaksoislaskennan välttäminen'!F59)</f>
        <v/>
      </c>
      <c r="H32" s="638" t="str">
        <f>IF('D_Kaksoislaskennan välttäminen'!H59="","",'D_Kaksoislaskennan välttäminen'!H59)</f>
        <v/>
      </c>
      <c r="I32" s="639" t="str">
        <f>IF('D_Kaksoislaskennan välttäminen'!J59="","",'D_Kaksoislaskennan välttäminen'!J59)</f>
        <v/>
      </c>
      <c r="J32" s="640" t="str">
        <f>IF('D_Kaksoislaskennan välttäminen'!L59="","",'D_Kaksoislaskennan välttäminen'!L59)</f>
        <v/>
      </c>
      <c r="K32" s="640" t="str">
        <f>IF('D_Kaksoislaskennan välttäminen'!M59="","",'D_Kaksoislaskennan välttäminen'!M59)</f>
        <v/>
      </c>
      <c r="L32" s="640" t="str">
        <f>IF('D_Kaksoislaskennan välttäminen'!T59="","",'D_Kaksoislaskennan välttäminen'!T59)</f>
        <v/>
      </c>
      <c r="M32" s="293"/>
    </row>
    <row r="33" spans="2:13" ht="12.75" hidden="1" customHeight="1" x14ac:dyDescent="0.25">
      <c r="B33" s="825"/>
      <c r="C33" s="593"/>
      <c r="D33" s="493">
        <v>4</v>
      </c>
      <c r="E33" s="1283" t="str">
        <f>IF('D_Kaksoislaskennan välttäminen'!E60="","",'D_Kaksoislaskennan välttäminen'!E60)</f>
        <v/>
      </c>
      <c r="F33" s="1283"/>
      <c r="G33" s="656" t="str">
        <f>IF('D_Kaksoislaskennan välttäminen'!F60="","",'D_Kaksoislaskennan välttäminen'!F60)</f>
        <v/>
      </c>
      <c r="H33" s="638" t="str">
        <f>IF('D_Kaksoislaskennan välttäminen'!H60="","",'D_Kaksoislaskennan välttäminen'!H60)</f>
        <v/>
      </c>
      <c r="I33" s="639" t="str">
        <f>IF('D_Kaksoislaskennan välttäminen'!J60="","",'D_Kaksoislaskennan välttäminen'!J60)</f>
        <v/>
      </c>
      <c r="J33" s="640" t="str">
        <f>IF('D_Kaksoislaskennan välttäminen'!L60="","",'D_Kaksoislaskennan välttäminen'!L60)</f>
        <v/>
      </c>
      <c r="K33" s="640" t="str">
        <f>IF('D_Kaksoislaskennan välttäminen'!M60="","",'D_Kaksoislaskennan välttäminen'!M60)</f>
        <v/>
      </c>
      <c r="L33" s="640" t="str">
        <f>IF('D_Kaksoislaskennan välttäminen'!T60="","",'D_Kaksoislaskennan välttäminen'!T60)</f>
        <v/>
      </c>
      <c r="M33" s="293"/>
    </row>
    <row r="34" spans="2:13" ht="12.75" hidden="1" customHeight="1" x14ac:dyDescent="0.25">
      <c r="B34" s="825"/>
      <c r="C34" s="593"/>
      <c r="D34" s="493">
        <v>5</v>
      </c>
      <c r="E34" s="1283" t="str">
        <f>IF('D_Kaksoislaskennan välttäminen'!E61="","",'D_Kaksoislaskennan välttäminen'!E61)</f>
        <v/>
      </c>
      <c r="F34" s="1283"/>
      <c r="G34" s="656" t="str">
        <f>IF('D_Kaksoislaskennan välttäminen'!F61="","",'D_Kaksoislaskennan välttäminen'!F61)</f>
        <v/>
      </c>
      <c r="H34" s="638" t="str">
        <f>IF('D_Kaksoislaskennan välttäminen'!H61="","",'D_Kaksoislaskennan välttäminen'!H61)</f>
        <v/>
      </c>
      <c r="I34" s="639" t="str">
        <f>IF('D_Kaksoislaskennan välttäminen'!J61="","",'D_Kaksoislaskennan välttäminen'!J61)</f>
        <v/>
      </c>
      <c r="J34" s="640" t="str">
        <f>IF('D_Kaksoislaskennan välttäminen'!L61="","",'D_Kaksoislaskennan välttäminen'!L61)</f>
        <v/>
      </c>
      <c r="K34" s="640" t="str">
        <f>IF('D_Kaksoislaskennan välttäminen'!M61="","",'D_Kaksoislaskennan välttäminen'!M61)</f>
        <v/>
      </c>
      <c r="L34" s="640" t="str">
        <f>IF('D_Kaksoislaskennan välttäminen'!T61="","",'D_Kaksoislaskennan välttäminen'!T61)</f>
        <v/>
      </c>
      <c r="M34" s="293"/>
    </row>
    <row r="35" spans="2:13" ht="12.75" hidden="1" customHeight="1" x14ac:dyDescent="0.25">
      <c r="B35" s="825"/>
      <c r="C35" s="593"/>
      <c r="D35" s="493">
        <v>6</v>
      </c>
      <c r="E35" s="1283" t="str">
        <f>IF('D_Kaksoislaskennan välttäminen'!E62="","",'D_Kaksoislaskennan välttäminen'!E62)</f>
        <v/>
      </c>
      <c r="F35" s="1283"/>
      <c r="G35" s="656" t="str">
        <f>IF('D_Kaksoislaskennan välttäminen'!F62="","",'D_Kaksoislaskennan välttäminen'!F62)</f>
        <v/>
      </c>
      <c r="H35" s="638" t="str">
        <f>IF('D_Kaksoislaskennan välttäminen'!H62="","",'D_Kaksoislaskennan välttäminen'!H62)</f>
        <v/>
      </c>
      <c r="I35" s="639" t="str">
        <f>IF('D_Kaksoislaskennan välttäminen'!J62="","",'D_Kaksoislaskennan välttäminen'!J62)</f>
        <v/>
      </c>
      <c r="J35" s="640" t="str">
        <f>IF('D_Kaksoislaskennan välttäminen'!L62="","",'D_Kaksoislaskennan välttäminen'!L62)</f>
        <v/>
      </c>
      <c r="K35" s="640" t="str">
        <f>IF('D_Kaksoislaskennan välttäminen'!M62="","",'D_Kaksoislaskennan välttäminen'!M62)</f>
        <v/>
      </c>
      <c r="L35" s="640" t="str">
        <f>IF('D_Kaksoislaskennan välttäminen'!T62="","",'D_Kaksoislaskennan välttäminen'!T62)</f>
        <v/>
      </c>
      <c r="M35" s="293"/>
    </row>
    <row r="36" spans="2:13" ht="12.75" hidden="1" customHeight="1" x14ac:dyDescent="0.25">
      <c r="B36" s="825"/>
      <c r="C36" s="593"/>
      <c r="D36" s="493">
        <v>7</v>
      </c>
      <c r="E36" s="1283" t="str">
        <f>IF('D_Kaksoislaskennan välttäminen'!E63="","",'D_Kaksoislaskennan välttäminen'!E63)</f>
        <v/>
      </c>
      <c r="F36" s="1283"/>
      <c r="G36" s="656" t="str">
        <f>IF('D_Kaksoislaskennan välttäminen'!F63="","",'D_Kaksoislaskennan välttäminen'!F63)</f>
        <v/>
      </c>
      <c r="H36" s="638" t="str">
        <f>IF('D_Kaksoislaskennan välttäminen'!H63="","",'D_Kaksoislaskennan välttäminen'!H63)</f>
        <v/>
      </c>
      <c r="I36" s="639" t="str">
        <f>IF('D_Kaksoislaskennan välttäminen'!J63="","",'D_Kaksoislaskennan välttäminen'!J63)</f>
        <v/>
      </c>
      <c r="J36" s="640" t="str">
        <f>IF('D_Kaksoislaskennan välttäminen'!L63="","",'D_Kaksoislaskennan välttäminen'!L63)</f>
        <v/>
      </c>
      <c r="K36" s="640" t="str">
        <f>IF('D_Kaksoislaskennan välttäminen'!M63="","",'D_Kaksoislaskennan välttäminen'!M63)</f>
        <v/>
      </c>
      <c r="L36" s="640" t="str">
        <f>IF('D_Kaksoislaskennan välttäminen'!T63="","",'D_Kaksoislaskennan välttäminen'!T63)</f>
        <v/>
      </c>
      <c r="M36" s="293"/>
    </row>
    <row r="37" spans="2:13" ht="12.75" hidden="1" customHeight="1" x14ac:dyDescent="0.25">
      <c r="B37" s="825"/>
      <c r="C37" s="593"/>
      <c r="D37" s="493">
        <v>8</v>
      </c>
      <c r="E37" s="1283" t="str">
        <f>IF('D_Kaksoislaskennan välttäminen'!E64="","",'D_Kaksoislaskennan välttäminen'!E64)</f>
        <v/>
      </c>
      <c r="F37" s="1283"/>
      <c r="G37" s="656" t="str">
        <f>IF('D_Kaksoislaskennan välttäminen'!F64="","",'D_Kaksoislaskennan välttäminen'!F64)</f>
        <v/>
      </c>
      <c r="H37" s="638" t="str">
        <f>IF('D_Kaksoislaskennan välttäminen'!H64="","",'D_Kaksoislaskennan välttäminen'!H64)</f>
        <v/>
      </c>
      <c r="I37" s="639" t="str">
        <f>IF('D_Kaksoislaskennan välttäminen'!J64="","",'D_Kaksoislaskennan välttäminen'!J64)</f>
        <v/>
      </c>
      <c r="J37" s="640" t="str">
        <f>IF('D_Kaksoislaskennan välttäminen'!L64="","",'D_Kaksoislaskennan välttäminen'!L64)</f>
        <v/>
      </c>
      <c r="K37" s="640" t="str">
        <f>IF('D_Kaksoislaskennan välttäminen'!M64="","",'D_Kaksoislaskennan välttäminen'!M64)</f>
        <v/>
      </c>
      <c r="L37" s="640" t="str">
        <f>IF('D_Kaksoislaskennan välttäminen'!T64="","",'D_Kaksoislaskennan välttäminen'!T64)</f>
        <v/>
      </c>
      <c r="M37" s="293"/>
    </row>
    <row r="38" spans="2:13" ht="12.75" hidden="1" customHeight="1" x14ac:dyDescent="0.25">
      <c r="B38" s="825"/>
      <c r="C38" s="593"/>
      <c r="D38" s="493">
        <v>9</v>
      </c>
      <c r="E38" s="1283" t="str">
        <f>IF('D_Kaksoislaskennan välttäminen'!E65="","",'D_Kaksoislaskennan välttäminen'!E65)</f>
        <v/>
      </c>
      <c r="F38" s="1283"/>
      <c r="G38" s="656" t="str">
        <f>IF('D_Kaksoislaskennan välttäminen'!F65="","",'D_Kaksoislaskennan välttäminen'!F65)</f>
        <v/>
      </c>
      <c r="H38" s="638" t="str">
        <f>IF('D_Kaksoislaskennan välttäminen'!H65="","",'D_Kaksoislaskennan välttäminen'!H65)</f>
        <v/>
      </c>
      <c r="I38" s="639" t="str">
        <f>IF('D_Kaksoislaskennan välttäminen'!J65="","",'D_Kaksoislaskennan välttäminen'!J65)</f>
        <v/>
      </c>
      <c r="J38" s="640" t="str">
        <f>IF('D_Kaksoislaskennan välttäminen'!L65="","",'D_Kaksoislaskennan välttäminen'!L65)</f>
        <v/>
      </c>
      <c r="K38" s="640" t="str">
        <f>IF('D_Kaksoislaskennan välttäminen'!M65="","",'D_Kaksoislaskennan välttäminen'!M65)</f>
        <v/>
      </c>
      <c r="L38" s="640" t="str">
        <f>IF('D_Kaksoislaskennan välttäminen'!T65="","",'D_Kaksoislaskennan välttäminen'!T65)</f>
        <v/>
      </c>
      <c r="M38" s="293"/>
    </row>
    <row r="39" spans="2:13" ht="12.75" hidden="1" customHeight="1" x14ac:dyDescent="0.25">
      <c r="B39" s="825"/>
      <c r="C39" s="593"/>
      <c r="D39" s="493">
        <v>10</v>
      </c>
      <c r="E39" s="1283" t="str">
        <f>IF('D_Kaksoislaskennan välttäminen'!E66="","",'D_Kaksoislaskennan välttäminen'!E66)</f>
        <v/>
      </c>
      <c r="F39" s="1283"/>
      <c r="G39" s="656" t="str">
        <f>IF('D_Kaksoislaskennan välttäminen'!F66="","",'D_Kaksoislaskennan välttäminen'!F66)</f>
        <v/>
      </c>
      <c r="H39" s="638" t="str">
        <f>IF('D_Kaksoislaskennan välttäminen'!H66="","",'D_Kaksoislaskennan välttäminen'!H66)</f>
        <v/>
      </c>
      <c r="I39" s="639" t="str">
        <f>IF('D_Kaksoislaskennan välttäminen'!J66="","",'D_Kaksoislaskennan välttäminen'!J66)</f>
        <v/>
      </c>
      <c r="J39" s="640" t="str">
        <f>IF('D_Kaksoislaskennan välttäminen'!L66="","",'D_Kaksoislaskennan välttäminen'!L66)</f>
        <v/>
      </c>
      <c r="K39" s="640" t="str">
        <f>IF('D_Kaksoislaskennan välttäminen'!M66="","",'D_Kaksoislaskennan välttäminen'!M66)</f>
        <v/>
      </c>
      <c r="L39" s="640" t="str">
        <f>IF('D_Kaksoislaskennan välttäminen'!T66="","",'D_Kaksoislaskennan välttäminen'!T66)</f>
        <v/>
      </c>
      <c r="M39" s="293"/>
    </row>
    <row r="40" spans="2:13" ht="12.75" hidden="1" customHeight="1" x14ac:dyDescent="0.25">
      <c r="B40" s="825"/>
      <c r="C40" s="593"/>
      <c r="D40" s="493">
        <v>11</v>
      </c>
      <c r="E40" s="1283" t="str">
        <f>IF('D_Kaksoislaskennan välttäminen'!E67="","",'D_Kaksoislaskennan välttäminen'!E67)</f>
        <v/>
      </c>
      <c r="F40" s="1283"/>
      <c r="G40" s="656" t="str">
        <f>IF('D_Kaksoislaskennan välttäminen'!F67="","",'D_Kaksoislaskennan välttäminen'!F67)</f>
        <v/>
      </c>
      <c r="H40" s="638" t="str">
        <f>IF('D_Kaksoislaskennan välttäminen'!H67="","",'D_Kaksoislaskennan välttäminen'!H67)</f>
        <v/>
      </c>
      <c r="I40" s="639" t="str">
        <f>IF('D_Kaksoislaskennan välttäminen'!J67="","",'D_Kaksoislaskennan välttäminen'!J67)</f>
        <v/>
      </c>
      <c r="J40" s="640" t="str">
        <f>IF('D_Kaksoislaskennan välttäminen'!L67="","",'D_Kaksoislaskennan välttäminen'!L67)</f>
        <v/>
      </c>
      <c r="K40" s="640" t="str">
        <f>IF('D_Kaksoislaskennan välttäminen'!M67="","",'D_Kaksoislaskennan välttäminen'!M67)</f>
        <v/>
      </c>
      <c r="L40" s="640" t="str">
        <f>IF('D_Kaksoislaskennan välttäminen'!T67="","",'D_Kaksoislaskennan välttäminen'!T67)</f>
        <v/>
      </c>
      <c r="M40" s="293"/>
    </row>
    <row r="41" spans="2:13" ht="12.75" hidden="1" customHeight="1" x14ac:dyDescent="0.25">
      <c r="B41" s="825"/>
      <c r="C41" s="593"/>
      <c r="D41" s="493">
        <v>12</v>
      </c>
      <c r="E41" s="1283" t="str">
        <f>IF('D_Kaksoislaskennan välttäminen'!E68="","",'D_Kaksoislaskennan välttäminen'!E68)</f>
        <v/>
      </c>
      <c r="F41" s="1283"/>
      <c r="G41" s="656" t="str">
        <f>IF('D_Kaksoislaskennan välttäminen'!F68="","",'D_Kaksoislaskennan välttäminen'!F68)</f>
        <v/>
      </c>
      <c r="H41" s="638" t="str">
        <f>IF('D_Kaksoislaskennan välttäminen'!H68="","",'D_Kaksoislaskennan välttäminen'!H68)</f>
        <v/>
      </c>
      <c r="I41" s="639" t="str">
        <f>IF('D_Kaksoislaskennan välttäminen'!J68="","",'D_Kaksoislaskennan välttäminen'!J68)</f>
        <v/>
      </c>
      <c r="J41" s="640" t="str">
        <f>IF('D_Kaksoislaskennan välttäminen'!L68="","",'D_Kaksoislaskennan välttäminen'!L68)</f>
        <v/>
      </c>
      <c r="K41" s="640" t="str">
        <f>IF('D_Kaksoislaskennan välttäminen'!M68="","",'D_Kaksoislaskennan välttäminen'!M68)</f>
        <v/>
      </c>
      <c r="L41" s="640" t="str">
        <f>IF('D_Kaksoislaskennan välttäminen'!T68="","",'D_Kaksoislaskennan välttäminen'!T68)</f>
        <v/>
      </c>
      <c r="M41" s="293"/>
    </row>
    <row r="42" spans="2:13" ht="12.75" hidden="1" customHeight="1" x14ac:dyDescent="0.25">
      <c r="B42" s="825"/>
      <c r="C42" s="593"/>
      <c r="D42" s="493">
        <v>13</v>
      </c>
      <c r="E42" s="1283" t="str">
        <f>IF('D_Kaksoislaskennan välttäminen'!E69="","",'D_Kaksoislaskennan välttäminen'!E69)</f>
        <v/>
      </c>
      <c r="F42" s="1283"/>
      <c r="G42" s="656" t="str">
        <f>IF('D_Kaksoislaskennan välttäminen'!F69="","",'D_Kaksoislaskennan välttäminen'!F69)</f>
        <v/>
      </c>
      <c r="H42" s="638" t="str">
        <f>IF('D_Kaksoislaskennan välttäminen'!H69="","",'D_Kaksoislaskennan välttäminen'!H69)</f>
        <v/>
      </c>
      <c r="I42" s="639" t="str">
        <f>IF('D_Kaksoislaskennan välttäminen'!J69="","",'D_Kaksoislaskennan välttäminen'!J69)</f>
        <v/>
      </c>
      <c r="J42" s="640" t="str">
        <f>IF('D_Kaksoislaskennan välttäminen'!L69="","",'D_Kaksoislaskennan välttäminen'!L69)</f>
        <v/>
      </c>
      <c r="K42" s="640" t="str">
        <f>IF('D_Kaksoislaskennan välttäminen'!M69="","",'D_Kaksoislaskennan välttäminen'!M69)</f>
        <v/>
      </c>
      <c r="L42" s="640" t="str">
        <f>IF('D_Kaksoislaskennan välttäminen'!T69="","",'D_Kaksoislaskennan välttäminen'!T69)</f>
        <v/>
      </c>
      <c r="M42" s="293"/>
    </row>
    <row r="43" spans="2:13" ht="12.75" hidden="1" customHeight="1" x14ac:dyDescent="0.25">
      <c r="B43" s="825"/>
      <c r="C43" s="593"/>
      <c r="D43" s="493">
        <v>14</v>
      </c>
      <c r="E43" s="1283" t="str">
        <f>IF('D_Kaksoislaskennan välttäminen'!E70="","",'D_Kaksoislaskennan välttäminen'!E70)</f>
        <v/>
      </c>
      <c r="F43" s="1283"/>
      <c r="G43" s="656" t="str">
        <f>IF('D_Kaksoislaskennan välttäminen'!F70="","",'D_Kaksoislaskennan välttäminen'!F70)</f>
        <v/>
      </c>
      <c r="H43" s="638" t="str">
        <f>IF('D_Kaksoislaskennan välttäminen'!H70="","",'D_Kaksoislaskennan välttäminen'!H70)</f>
        <v/>
      </c>
      <c r="I43" s="639" t="str">
        <f>IF('D_Kaksoislaskennan välttäminen'!J70="","",'D_Kaksoislaskennan välttäminen'!J70)</f>
        <v/>
      </c>
      <c r="J43" s="640" t="str">
        <f>IF('D_Kaksoislaskennan välttäminen'!L70="","",'D_Kaksoislaskennan välttäminen'!L70)</f>
        <v/>
      </c>
      <c r="K43" s="640" t="str">
        <f>IF('D_Kaksoislaskennan välttäminen'!M70="","",'D_Kaksoislaskennan välttäminen'!M70)</f>
        <v/>
      </c>
      <c r="L43" s="640" t="str">
        <f>IF('D_Kaksoislaskennan välttäminen'!T70="","",'D_Kaksoislaskennan välttäminen'!T70)</f>
        <v/>
      </c>
      <c r="M43" s="293"/>
    </row>
    <row r="44" spans="2:13" hidden="1" x14ac:dyDescent="0.25">
      <c r="B44" s="825"/>
      <c r="C44" s="593"/>
      <c r="D44" s="493">
        <v>15</v>
      </c>
      <c r="E44" s="1283" t="str">
        <f>IF('D_Kaksoislaskennan välttäminen'!E71="","",'D_Kaksoislaskennan välttäminen'!E71)</f>
        <v/>
      </c>
      <c r="F44" s="1283"/>
      <c r="G44" s="656" t="str">
        <f>IF('D_Kaksoislaskennan välttäminen'!F71="","",'D_Kaksoislaskennan välttäminen'!F71)</f>
        <v/>
      </c>
      <c r="H44" s="638" t="str">
        <f>IF('D_Kaksoislaskennan välttäminen'!H71="","",'D_Kaksoislaskennan välttäminen'!H71)</f>
        <v/>
      </c>
      <c r="I44" s="639" t="str">
        <f>IF('D_Kaksoislaskennan välttäminen'!J71="","",'D_Kaksoislaskennan välttäminen'!J71)</f>
        <v/>
      </c>
      <c r="J44" s="640" t="str">
        <f>IF('D_Kaksoislaskennan välttäminen'!L71="","",'D_Kaksoislaskennan välttäminen'!L71)</f>
        <v/>
      </c>
      <c r="K44" s="640" t="str">
        <f>IF('D_Kaksoislaskennan välttäminen'!M71="","",'D_Kaksoislaskennan välttäminen'!M71)</f>
        <v/>
      </c>
      <c r="L44" s="640" t="str">
        <f>IF('D_Kaksoislaskennan välttäminen'!T71="","",'D_Kaksoislaskennan välttäminen'!T71)</f>
        <v/>
      </c>
      <c r="M44" s="293"/>
    </row>
    <row r="45" spans="2:13" hidden="1" x14ac:dyDescent="0.25">
      <c r="B45" s="825"/>
      <c r="C45" s="593"/>
      <c r="D45" s="493">
        <v>16</v>
      </c>
      <c r="E45" s="1283" t="str">
        <f>IF('D_Kaksoislaskennan välttäminen'!E72="","",'D_Kaksoislaskennan välttäminen'!E72)</f>
        <v/>
      </c>
      <c r="F45" s="1283"/>
      <c r="G45" s="656" t="str">
        <f>IF('D_Kaksoislaskennan välttäminen'!F72="","",'D_Kaksoislaskennan välttäminen'!F72)</f>
        <v/>
      </c>
      <c r="H45" s="638" t="str">
        <f>IF('D_Kaksoislaskennan välttäminen'!H72="","",'D_Kaksoislaskennan välttäminen'!H72)</f>
        <v/>
      </c>
      <c r="I45" s="639" t="str">
        <f>IF('D_Kaksoislaskennan välttäminen'!J72="","",'D_Kaksoislaskennan välttäminen'!J72)</f>
        <v/>
      </c>
      <c r="J45" s="640" t="str">
        <f>IF('D_Kaksoislaskennan välttäminen'!L72="","",'D_Kaksoislaskennan välttäminen'!L72)</f>
        <v/>
      </c>
      <c r="K45" s="640" t="str">
        <f>IF('D_Kaksoislaskennan välttäminen'!M72="","",'D_Kaksoislaskennan välttäminen'!M72)</f>
        <v/>
      </c>
      <c r="L45" s="640" t="str">
        <f>IF('D_Kaksoislaskennan välttäminen'!T72="","",'D_Kaksoislaskennan välttäminen'!T72)</f>
        <v/>
      </c>
      <c r="M45" s="293"/>
    </row>
    <row r="46" spans="2:13" hidden="1" x14ac:dyDescent="0.25">
      <c r="B46" s="825"/>
      <c r="C46" s="593"/>
      <c r="D46" s="493">
        <v>17</v>
      </c>
      <c r="E46" s="1283" t="str">
        <f>IF('D_Kaksoislaskennan välttäminen'!E73="","",'D_Kaksoislaskennan välttäminen'!E73)</f>
        <v/>
      </c>
      <c r="F46" s="1283"/>
      <c r="G46" s="656" t="str">
        <f>IF('D_Kaksoislaskennan välttäminen'!F73="","",'D_Kaksoislaskennan välttäminen'!F73)</f>
        <v/>
      </c>
      <c r="H46" s="638" t="str">
        <f>IF('D_Kaksoislaskennan välttäminen'!H73="","",'D_Kaksoislaskennan välttäminen'!H73)</f>
        <v/>
      </c>
      <c r="I46" s="639" t="str">
        <f>IF('D_Kaksoislaskennan välttäminen'!J73="","",'D_Kaksoislaskennan välttäminen'!J73)</f>
        <v/>
      </c>
      <c r="J46" s="640" t="str">
        <f>IF('D_Kaksoislaskennan välttäminen'!L73="","",'D_Kaksoislaskennan välttäminen'!L73)</f>
        <v/>
      </c>
      <c r="K46" s="640" t="str">
        <f>IF('D_Kaksoislaskennan välttäminen'!M73="","",'D_Kaksoislaskennan välttäminen'!M73)</f>
        <v/>
      </c>
      <c r="L46" s="640" t="str">
        <f>IF('D_Kaksoislaskennan välttäminen'!T73="","",'D_Kaksoislaskennan välttäminen'!T73)</f>
        <v/>
      </c>
      <c r="M46" s="293"/>
    </row>
    <row r="47" spans="2:13" hidden="1" x14ac:dyDescent="0.25">
      <c r="B47" s="825"/>
      <c r="C47" s="593"/>
      <c r="D47" s="493">
        <v>18</v>
      </c>
      <c r="E47" s="1283" t="str">
        <f>IF('D_Kaksoislaskennan välttäminen'!E74="","",'D_Kaksoislaskennan välttäminen'!E74)</f>
        <v/>
      </c>
      <c r="F47" s="1283"/>
      <c r="G47" s="656" t="str">
        <f>IF('D_Kaksoislaskennan välttäminen'!F74="","",'D_Kaksoislaskennan välttäminen'!F74)</f>
        <v/>
      </c>
      <c r="H47" s="638" t="str">
        <f>IF('D_Kaksoislaskennan välttäminen'!H74="","",'D_Kaksoislaskennan välttäminen'!H74)</f>
        <v/>
      </c>
      <c r="I47" s="639" t="str">
        <f>IF('D_Kaksoislaskennan välttäminen'!J74="","",'D_Kaksoislaskennan välttäminen'!J74)</f>
        <v/>
      </c>
      <c r="J47" s="640" t="str">
        <f>IF('D_Kaksoislaskennan välttäminen'!L74="","",'D_Kaksoislaskennan välttäminen'!L74)</f>
        <v/>
      </c>
      <c r="K47" s="640" t="str">
        <f>IF('D_Kaksoislaskennan välttäminen'!M74="","",'D_Kaksoislaskennan välttäminen'!M74)</f>
        <v/>
      </c>
      <c r="L47" s="640" t="str">
        <f>IF('D_Kaksoislaskennan välttäminen'!T74="","",'D_Kaksoislaskennan välttäminen'!T74)</f>
        <v/>
      </c>
      <c r="M47" s="293"/>
    </row>
    <row r="48" spans="2:13" hidden="1" x14ac:dyDescent="0.25">
      <c r="B48" s="825"/>
      <c r="C48" s="593"/>
      <c r="D48" s="493">
        <v>19</v>
      </c>
      <c r="E48" s="1283" t="str">
        <f>IF('D_Kaksoislaskennan välttäminen'!E75="","",'D_Kaksoislaskennan välttäminen'!E75)</f>
        <v/>
      </c>
      <c r="F48" s="1283"/>
      <c r="G48" s="656" t="str">
        <f>IF('D_Kaksoislaskennan välttäminen'!F75="","",'D_Kaksoislaskennan välttäminen'!F75)</f>
        <v/>
      </c>
      <c r="H48" s="638" t="str">
        <f>IF('D_Kaksoislaskennan välttäminen'!H75="","",'D_Kaksoislaskennan välttäminen'!H75)</f>
        <v/>
      </c>
      <c r="I48" s="639" t="str">
        <f>IF('D_Kaksoislaskennan välttäminen'!J75="","",'D_Kaksoislaskennan välttäminen'!J75)</f>
        <v/>
      </c>
      <c r="J48" s="640" t="str">
        <f>IF('D_Kaksoislaskennan välttäminen'!L75="","",'D_Kaksoislaskennan välttäminen'!L75)</f>
        <v/>
      </c>
      <c r="K48" s="640" t="str">
        <f>IF('D_Kaksoislaskennan välttäminen'!M75="","",'D_Kaksoislaskennan välttäminen'!M75)</f>
        <v/>
      </c>
      <c r="L48" s="640" t="str">
        <f>IF('D_Kaksoislaskennan välttäminen'!T75="","",'D_Kaksoislaskennan välttäminen'!T75)</f>
        <v/>
      </c>
      <c r="M48" s="293"/>
    </row>
    <row r="49" spans="2:13" hidden="1" x14ac:dyDescent="0.25">
      <c r="B49" s="825"/>
      <c r="C49" s="593"/>
      <c r="D49" s="493">
        <v>20</v>
      </c>
      <c r="E49" s="1283" t="str">
        <f>IF('D_Kaksoislaskennan välttäminen'!E76="","",'D_Kaksoislaskennan välttäminen'!E76)</f>
        <v/>
      </c>
      <c r="F49" s="1283"/>
      <c r="G49" s="656" t="str">
        <f>IF('D_Kaksoislaskennan välttäminen'!F76="","",'D_Kaksoislaskennan välttäminen'!F76)</f>
        <v/>
      </c>
      <c r="H49" s="638" t="str">
        <f>IF('D_Kaksoislaskennan välttäminen'!H76="","",'D_Kaksoislaskennan välttäminen'!H76)</f>
        <v/>
      </c>
      <c r="I49" s="639" t="str">
        <f>IF('D_Kaksoislaskennan välttäminen'!J76="","",'D_Kaksoislaskennan välttäminen'!J76)</f>
        <v/>
      </c>
      <c r="J49" s="640" t="str">
        <f>IF('D_Kaksoislaskennan välttäminen'!L76="","",'D_Kaksoislaskennan välttäminen'!L76)</f>
        <v/>
      </c>
      <c r="K49" s="640" t="str">
        <f>IF('D_Kaksoislaskennan välttäminen'!M76="","",'D_Kaksoislaskennan välttäminen'!M76)</f>
        <v/>
      </c>
      <c r="L49" s="640" t="str">
        <f>IF('D_Kaksoislaskennan välttäminen'!T76="","",'D_Kaksoislaskennan välttäminen'!T76)</f>
        <v/>
      </c>
      <c r="M49" s="293"/>
    </row>
    <row r="50" spans="2:13" hidden="1" x14ac:dyDescent="0.25">
      <c r="B50" s="825"/>
      <c r="C50" s="593"/>
      <c r="D50" s="493"/>
      <c r="E50" s="493"/>
      <c r="F50" s="493"/>
      <c r="G50" s="493"/>
      <c r="H50" s="493"/>
      <c r="I50" s="493"/>
      <c r="J50" s="493"/>
      <c r="K50" s="493"/>
      <c r="L50" s="493"/>
      <c r="M50" s="293"/>
    </row>
    <row r="51" spans="2:13" ht="48" hidden="1" x14ac:dyDescent="0.3">
      <c r="B51" s="825"/>
      <c r="C51" s="593"/>
      <c r="D51" s="493"/>
      <c r="E51" s="672" t="str">
        <f>Translations!$B$420</f>
        <v>Polttoainevirta</v>
      </c>
      <c r="F51" s="676" t="str">
        <f>Translations!$B$444</f>
        <v xml:space="preserve">Välittäjänä toimivan yrityksen nimi ja y-tunnus </v>
      </c>
      <c r="G51" s="676" t="str">
        <f>Translations!$B$445</f>
        <v xml:space="preserve">Välittäjänä toimivan yrityksen nimi ja y-tunnus </v>
      </c>
      <c r="H51" s="676" t="str">
        <f>Translations!$B$446</f>
        <v xml:space="preserve">Välittäjänä toimivan yrityksen nimi ja y-tunnus </v>
      </c>
      <c r="I51" s="676" t="str">
        <f>Translations!$B$447</f>
        <v xml:space="preserve">Välittäjänä toimivan yrityksen nimi ja y-tunnus </v>
      </c>
      <c r="J51" s="676" t="str">
        <f>Translations!$B$448</f>
        <v xml:space="preserve">Välittäjänä toimivan yrityksen nimi ja y-tunnus </v>
      </c>
      <c r="K51" s="676" t="str">
        <f>Translations!$B$449</f>
        <v xml:space="preserve">Välittäjänä toimivan yrityksen nimi ja y-tunnus </v>
      </c>
      <c r="L51" s="676" t="str">
        <f>Translations!$B$450</f>
        <v xml:space="preserve">Välittäjänä toimivan yrityksen nimi ja y-tunnus </v>
      </c>
      <c r="M51" s="293"/>
    </row>
    <row r="52" spans="2:13" hidden="1" x14ac:dyDescent="0.25">
      <c r="B52" s="825"/>
      <c r="C52" s="593"/>
      <c r="D52" s="493">
        <v>1</v>
      </c>
      <c r="E52" s="656" t="str">
        <f>'D_Kaksoislaskennan välttäminen'!F81</f>
        <v/>
      </c>
      <c r="F52" s="656" t="str">
        <f>IF('D_Kaksoislaskennan välttäminen'!H81="","",'D_Kaksoislaskennan välttäminen'!H81)</f>
        <v/>
      </c>
      <c r="G52" s="656" t="str">
        <f>IF('D_Kaksoislaskennan välttäminen'!I81="","",'D_Kaksoislaskennan välttäminen'!I81)</f>
        <v/>
      </c>
      <c r="H52" s="656" t="str">
        <f>IF('D_Kaksoislaskennan välttäminen'!J81="","",'D_Kaksoislaskennan välttäminen'!J81)</f>
        <v/>
      </c>
      <c r="I52" s="656" t="str">
        <f>IF('D_Kaksoislaskennan välttäminen'!K81="","",'D_Kaksoislaskennan välttäminen'!K81)</f>
        <v/>
      </c>
      <c r="J52" s="656" t="str">
        <f>IF('D_Kaksoislaskennan välttäminen'!L81="","",'D_Kaksoislaskennan välttäminen'!L81)</f>
        <v/>
      </c>
      <c r="K52" s="656" t="str">
        <f>IF('D_Kaksoislaskennan välttäminen'!M81="","",'D_Kaksoislaskennan välttäminen'!M81)</f>
        <v/>
      </c>
      <c r="L52" s="638" t="str">
        <f>IF('D_Kaksoislaskennan välttäminen'!N81="","",'D_Kaksoislaskennan välttäminen'!N81)</f>
        <v/>
      </c>
      <c r="M52" s="293"/>
    </row>
    <row r="53" spans="2:13" hidden="1" x14ac:dyDescent="0.25">
      <c r="B53" s="825"/>
      <c r="C53" s="593"/>
      <c r="D53" s="493">
        <v>2</v>
      </c>
      <c r="E53" s="656" t="str">
        <f>'D_Kaksoislaskennan välttäminen'!F82</f>
        <v/>
      </c>
      <c r="F53" s="656" t="str">
        <f>IF('D_Kaksoislaskennan välttäminen'!H82="","",'D_Kaksoislaskennan välttäminen'!H82)</f>
        <v/>
      </c>
      <c r="G53" s="656" t="str">
        <f>IF('D_Kaksoislaskennan välttäminen'!I82="","",'D_Kaksoislaskennan välttäminen'!I82)</f>
        <v/>
      </c>
      <c r="H53" s="656" t="str">
        <f>IF('D_Kaksoislaskennan välttäminen'!J82="","",'D_Kaksoislaskennan välttäminen'!J82)</f>
        <v/>
      </c>
      <c r="I53" s="656" t="str">
        <f>IF('D_Kaksoislaskennan välttäminen'!K82="","",'D_Kaksoislaskennan välttäminen'!K82)</f>
        <v/>
      </c>
      <c r="J53" s="656" t="str">
        <f>IF('D_Kaksoislaskennan välttäminen'!L82="","",'D_Kaksoislaskennan välttäminen'!L82)</f>
        <v/>
      </c>
      <c r="K53" s="656" t="str">
        <f>IF('D_Kaksoislaskennan välttäminen'!M82="","",'D_Kaksoislaskennan välttäminen'!M82)</f>
        <v/>
      </c>
      <c r="L53" s="638" t="str">
        <f>IF('D_Kaksoislaskennan välttäminen'!N82="","",'D_Kaksoislaskennan välttäminen'!N82)</f>
        <v/>
      </c>
      <c r="M53" s="293"/>
    </row>
    <row r="54" spans="2:13" hidden="1" x14ac:dyDescent="0.25">
      <c r="B54" s="825"/>
      <c r="C54" s="593"/>
      <c r="D54" s="493">
        <v>3</v>
      </c>
      <c r="E54" s="656" t="str">
        <f>'D_Kaksoislaskennan välttäminen'!F83</f>
        <v/>
      </c>
      <c r="F54" s="656" t="str">
        <f>IF('D_Kaksoislaskennan välttäminen'!H83="","",'D_Kaksoislaskennan välttäminen'!H83)</f>
        <v/>
      </c>
      <c r="G54" s="656" t="str">
        <f>IF('D_Kaksoislaskennan välttäminen'!I83="","",'D_Kaksoislaskennan välttäminen'!I83)</f>
        <v/>
      </c>
      <c r="H54" s="656" t="str">
        <f>IF('D_Kaksoislaskennan välttäminen'!J83="","",'D_Kaksoislaskennan välttäminen'!J83)</f>
        <v/>
      </c>
      <c r="I54" s="656" t="str">
        <f>IF('D_Kaksoislaskennan välttäminen'!K83="","",'D_Kaksoislaskennan välttäminen'!K83)</f>
        <v/>
      </c>
      <c r="J54" s="656" t="str">
        <f>IF('D_Kaksoislaskennan välttäminen'!L83="","",'D_Kaksoislaskennan välttäminen'!L83)</f>
        <v/>
      </c>
      <c r="K54" s="656" t="str">
        <f>IF('D_Kaksoislaskennan välttäminen'!M83="","",'D_Kaksoislaskennan välttäminen'!M83)</f>
        <v/>
      </c>
      <c r="L54" s="638" t="str">
        <f>IF('D_Kaksoislaskennan välttäminen'!N83="","",'D_Kaksoislaskennan välttäminen'!N83)</f>
        <v/>
      </c>
      <c r="M54" s="293"/>
    </row>
    <row r="55" spans="2:13" hidden="1" x14ac:dyDescent="0.25">
      <c r="B55" s="825"/>
      <c r="C55" s="593"/>
      <c r="D55" s="493">
        <v>4</v>
      </c>
      <c r="E55" s="656" t="str">
        <f>'D_Kaksoislaskennan välttäminen'!F84</f>
        <v/>
      </c>
      <c r="F55" s="656" t="str">
        <f>IF('D_Kaksoislaskennan välttäminen'!H84="","",'D_Kaksoislaskennan välttäminen'!H84)</f>
        <v/>
      </c>
      <c r="G55" s="656" t="str">
        <f>IF('D_Kaksoislaskennan välttäminen'!I84="","",'D_Kaksoislaskennan välttäminen'!I84)</f>
        <v/>
      </c>
      <c r="H55" s="656" t="str">
        <f>IF('D_Kaksoislaskennan välttäminen'!J84="","",'D_Kaksoislaskennan välttäminen'!J84)</f>
        <v/>
      </c>
      <c r="I55" s="656" t="str">
        <f>IF('D_Kaksoislaskennan välttäminen'!K84="","",'D_Kaksoislaskennan välttäminen'!K84)</f>
        <v/>
      </c>
      <c r="J55" s="656" t="str">
        <f>IF('D_Kaksoislaskennan välttäminen'!L84="","",'D_Kaksoislaskennan välttäminen'!L84)</f>
        <v/>
      </c>
      <c r="K55" s="656" t="str">
        <f>IF('D_Kaksoislaskennan välttäminen'!M84="","",'D_Kaksoislaskennan välttäminen'!M84)</f>
        <v/>
      </c>
      <c r="L55" s="638" t="str">
        <f>IF('D_Kaksoislaskennan välttäminen'!N84="","",'D_Kaksoislaskennan välttäminen'!N84)</f>
        <v/>
      </c>
      <c r="M55" s="293"/>
    </row>
    <row r="56" spans="2:13" hidden="1" x14ac:dyDescent="0.25">
      <c r="B56" s="825"/>
      <c r="C56" s="593"/>
      <c r="D56" s="493">
        <v>5</v>
      </c>
      <c r="E56" s="656" t="str">
        <f>'D_Kaksoislaskennan välttäminen'!F85</f>
        <v/>
      </c>
      <c r="F56" s="656" t="str">
        <f>IF('D_Kaksoislaskennan välttäminen'!H85="","",'D_Kaksoislaskennan välttäminen'!H85)</f>
        <v/>
      </c>
      <c r="G56" s="656" t="str">
        <f>IF('D_Kaksoislaskennan välttäminen'!I85="","",'D_Kaksoislaskennan välttäminen'!I85)</f>
        <v/>
      </c>
      <c r="H56" s="656" t="str">
        <f>IF('D_Kaksoislaskennan välttäminen'!J85="","",'D_Kaksoislaskennan välttäminen'!J85)</f>
        <v/>
      </c>
      <c r="I56" s="656" t="str">
        <f>IF('D_Kaksoislaskennan välttäminen'!K85="","",'D_Kaksoislaskennan välttäminen'!K85)</f>
        <v/>
      </c>
      <c r="J56" s="656" t="str">
        <f>IF('D_Kaksoislaskennan välttäminen'!L85="","",'D_Kaksoislaskennan välttäminen'!L85)</f>
        <v/>
      </c>
      <c r="K56" s="656" t="str">
        <f>IF('D_Kaksoislaskennan välttäminen'!M85="","",'D_Kaksoislaskennan välttäminen'!M85)</f>
        <v/>
      </c>
      <c r="L56" s="638" t="str">
        <f>IF('D_Kaksoislaskennan välttäminen'!N85="","",'D_Kaksoislaskennan välttäminen'!N85)</f>
        <v/>
      </c>
      <c r="M56" s="293"/>
    </row>
    <row r="57" spans="2:13" hidden="1" x14ac:dyDescent="0.25">
      <c r="B57" s="825"/>
      <c r="C57" s="593"/>
      <c r="D57" s="493">
        <v>6</v>
      </c>
      <c r="E57" s="656" t="str">
        <f>'D_Kaksoislaskennan välttäminen'!F86</f>
        <v/>
      </c>
      <c r="F57" s="656" t="str">
        <f>IF('D_Kaksoislaskennan välttäminen'!H86="","",'D_Kaksoislaskennan välttäminen'!H86)</f>
        <v/>
      </c>
      <c r="G57" s="656" t="str">
        <f>IF('D_Kaksoislaskennan välttäminen'!I86="","",'D_Kaksoislaskennan välttäminen'!I86)</f>
        <v/>
      </c>
      <c r="H57" s="656" t="str">
        <f>IF('D_Kaksoislaskennan välttäminen'!J86="","",'D_Kaksoislaskennan välttäminen'!J86)</f>
        <v/>
      </c>
      <c r="I57" s="656" t="str">
        <f>IF('D_Kaksoislaskennan välttäminen'!K86="","",'D_Kaksoislaskennan välttäminen'!K86)</f>
        <v/>
      </c>
      <c r="J57" s="656" t="str">
        <f>IF('D_Kaksoislaskennan välttäminen'!L86="","",'D_Kaksoislaskennan välttäminen'!L86)</f>
        <v/>
      </c>
      <c r="K57" s="656" t="str">
        <f>IF('D_Kaksoislaskennan välttäminen'!M86="","",'D_Kaksoislaskennan välttäminen'!M86)</f>
        <v/>
      </c>
      <c r="L57" s="638" t="str">
        <f>IF('D_Kaksoislaskennan välttäminen'!N86="","",'D_Kaksoislaskennan välttäminen'!N86)</f>
        <v/>
      </c>
      <c r="M57" s="293"/>
    </row>
    <row r="58" spans="2:13" hidden="1" x14ac:dyDescent="0.25">
      <c r="B58" s="825"/>
      <c r="C58" s="593"/>
      <c r="D58" s="493">
        <v>7</v>
      </c>
      <c r="E58" s="656" t="str">
        <f>'D_Kaksoislaskennan välttäminen'!F87</f>
        <v/>
      </c>
      <c r="F58" s="656" t="str">
        <f>IF('D_Kaksoislaskennan välttäminen'!H87="","",'D_Kaksoislaskennan välttäminen'!H87)</f>
        <v/>
      </c>
      <c r="G58" s="656" t="str">
        <f>IF('D_Kaksoislaskennan välttäminen'!I87="","",'D_Kaksoislaskennan välttäminen'!I87)</f>
        <v/>
      </c>
      <c r="H58" s="656" t="str">
        <f>IF('D_Kaksoislaskennan välttäminen'!J87="","",'D_Kaksoislaskennan välttäminen'!J87)</f>
        <v/>
      </c>
      <c r="I58" s="656" t="str">
        <f>IF('D_Kaksoislaskennan välttäminen'!K87="","",'D_Kaksoislaskennan välttäminen'!K87)</f>
        <v/>
      </c>
      <c r="J58" s="656" t="str">
        <f>IF('D_Kaksoislaskennan välttäminen'!L87="","",'D_Kaksoislaskennan välttäminen'!L87)</f>
        <v/>
      </c>
      <c r="K58" s="656" t="str">
        <f>IF('D_Kaksoislaskennan välttäminen'!M87="","",'D_Kaksoislaskennan välttäminen'!M87)</f>
        <v/>
      </c>
      <c r="L58" s="638" t="str">
        <f>IF('D_Kaksoislaskennan välttäminen'!N87="","",'D_Kaksoislaskennan välttäminen'!N87)</f>
        <v/>
      </c>
      <c r="M58" s="293"/>
    </row>
    <row r="59" spans="2:13" hidden="1" x14ac:dyDescent="0.25">
      <c r="B59" s="825"/>
      <c r="C59" s="593"/>
      <c r="D59" s="493">
        <v>8</v>
      </c>
      <c r="E59" s="656" t="str">
        <f>'D_Kaksoislaskennan välttäminen'!F88</f>
        <v/>
      </c>
      <c r="F59" s="656" t="str">
        <f>IF('D_Kaksoislaskennan välttäminen'!H88="","",'D_Kaksoislaskennan välttäminen'!H88)</f>
        <v/>
      </c>
      <c r="G59" s="656" t="str">
        <f>IF('D_Kaksoislaskennan välttäminen'!I88="","",'D_Kaksoislaskennan välttäminen'!I88)</f>
        <v/>
      </c>
      <c r="H59" s="656" t="str">
        <f>IF('D_Kaksoislaskennan välttäminen'!J88="","",'D_Kaksoislaskennan välttäminen'!J88)</f>
        <v/>
      </c>
      <c r="I59" s="656" t="str">
        <f>IF('D_Kaksoislaskennan välttäminen'!K88="","",'D_Kaksoislaskennan välttäminen'!K88)</f>
        <v/>
      </c>
      <c r="J59" s="656" t="str">
        <f>IF('D_Kaksoislaskennan välttäminen'!L88="","",'D_Kaksoislaskennan välttäminen'!L88)</f>
        <v/>
      </c>
      <c r="K59" s="656" t="str">
        <f>IF('D_Kaksoislaskennan välttäminen'!M88="","",'D_Kaksoislaskennan välttäminen'!M88)</f>
        <v/>
      </c>
      <c r="L59" s="638" t="str">
        <f>IF('D_Kaksoislaskennan välttäminen'!N88="","",'D_Kaksoislaskennan välttäminen'!N88)</f>
        <v/>
      </c>
      <c r="M59" s="293"/>
    </row>
    <row r="60" spans="2:13" hidden="1" x14ac:dyDescent="0.25">
      <c r="B60" s="825"/>
      <c r="C60" s="593"/>
      <c r="D60" s="493">
        <v>9</v>
      </c>
      <c r="E60" s="656" t="str">
        <f>'D_Kaksoislaskennan välttäminen'!F89</f>
        <v/>
      </c>
      <c r="F60" s="656" t="str">
        <f>IF('D_Kaksoislaskennan välttäminen'!H89="","",'D_Kaksoislaskennan välttäminen'!H89)</f>
        <v/>
      </c>
      <c r="G60" s="656" t="str">
        <f>IF('D_Kaksoislaskennan välttäminen'!I89="","",'D_Kaksoislaskennan välttäminen'!I89)</f>
        <v/>
      </c>
      <c r="H60" s="656" t="str">
        <f>IF('D_Kaksoislaskennan välttäminen'!J89="","",'D_Kaksoislaskennan välttäminen'!J89)</f>
        <v/>
      </c>
      <c r="I60" s="656" t="str">
        <f>IF('D_Kaksoislaskennan välttäminen'!K89="","",'D_Kaksoislaskennan välttäminen'!K89)</f>
        <v/>
      </c>
      <c r="J60" s="656" t="str">
        <f>IF('D_Kaksoislaskennan välttäminen'!L89="","",'D_Kaksoislaskennan välttäminen'!L89)</f>
        <v/>
      </c>
      <c r="K60" s="656" t="str">
        <f>IF('D_Kaksoislaskennan välttäminen'!M89="","",'D_Kaksoislaskennan välttäminen'!M89)</f>
        <v/>
      </c>
      <c r="L60" s="638" t="str">
        <f>IF('D_Kaksoislaskennan välttäminen'!N89="","",'D_Kaksoislaskennan välttäminen'!N89)</f>
        <v/>
      </c>
      <c r="M60" s="293"/>
    </row>
    <row r="61" spans="2:13" hidden="1" x14ac:dyDescent="0.25">
      <c r="B61" s="825"/>
      <c r="C61" s="593"/>
      <c r="D61" s="493">
        <v>10</v>
      </c>
      <c r="E61" s="656" t="str">
        <f>'D_Kaksoislaskennan välttäminen'!F90</f>
        <v/>
      </c>
      <c r="F61" s="656" t="str">
        <f>IF('D_Kaksoislaskennan välttäminen'!H90="","",'D_Kaksoislaskennan välttäminen'!H90)</f>
        <v/>
      </c>
      <c r="G61" s="656" t="str">
        <f>IF('D_Kaksoislaskennan välttäminen'!I90="","",'D_Kaksoislaskennan välttäminen'!I90)</f>
        <v/>
      </c>
      <c r="H61" s="656" t="str">
        <f>IF('D_Kaksoislaskennan välttäminen'!J90="","",'D_Kaksoislaskennan välttäminen'!J90)</f>
        <v/>
      </c>
      <c r="I61" s="656" t="str">
        <f>IF('D_Kaksoislaskennan välttäminen'!K90="","",'D_Kaksoislaskennan välttäminen'!K90)</f>
        <v/>
      </c>
      <c r="J61" s="656" t="str">
        <f>IF('D_Kaksoislaskennan välttäminen'!L90="","",'D_Kaksoislaskennan välttäminen'!L90)</f>
        <v/>
      </c>
      <c r="K61" s="656" t="str">
        <f>IF('D_Kaksoislaskennan välttäminen'!M90="","",'D_Kaksoislaskennan välttäminen'!M90)</f>
        <v/>
      </c>
      <c r="L61" s="638" t="str">
        <f>IF('D_Kaksoislaskennan välttäminen'!N90="","",'D_Kaksoislaskennan välttäminen'!N90)</f>
        <v/>
      </c>
      <c r="M61" s="293"/>
    </row>
    <row r="62" spans="2:13" hidden="1" x14ac:dyDescent="0.25">
      <c r="B62" s="825"/>
      <c r="C62" s="593"/>
      <c r="D62" s="493">
        <v>11</v>
      </c>
      <c r="E62" s="656" t="str">
        <f>'D_Kaksoislaskennan välttäminen'!F91</f>
        <v/>
      </c>
      <c r="F62" s="656" t="str">
        <f>IF('D_Kaksoislaskennan välttäminen'!H91="","",'D_Kaksoislaskennan välttäminen'!H91)</f>
        <v/>
      </c>
      <c r="G62" s="656" t="str">
        <f>IF('D_Kaksoislaskennan välttäminen'!I91="","",'D_Kaksoislaskennan välttäminen'!I91)</f>
        <v/>
      </c>
      <c r="H62" s="656" t="str">
        <f>IF('D_Kaksoislaskennan välttäminen'!J91="","",'D_Kaksoislaskennan välttäminen'!J91)</f>
        <v/>
      </c>
      <c r="I62" s="656" t="str">
        <f>IF('D_Kaksoislaskennan välttäminen'!K91="","",'D_Kaksoislaskennan välttäminen'!K91)</f>
        <v/>
      </c>
      <c r="J62" s="656" t="str">
        <f>IF('D_Kaksoislaskennan välttäminen'!L91="","",'D_Kaksoislaskennan välttäminen'!L91)</f>
        <v/>
      </c>
      <c r="K62" s="656" t="str">
        <f>IF('D_Kaksoislaskennan välttäminen'!M91="","",'D_Kaksoislaskennan välttäminen'!M91)</f>
        <v/>
      </c>
      <c r="L62" s="638" t="str">
        <f>IF('D_Kaksoislaskennan välttäminen'!N91="","",'D_Kaksoislaskennan välttäminen'!N91)</f>
        <v/>
      </c>
      <c r="M62" s="293"/>
    </row>
    <row r="63" spans="2:13" hidden="1" x14ac:dyDescent="0.25">
      <c r="B63" s="825"/>
      <c r="C63" s="593"/>
      <c r="D63" s="493">
        <v>12</v>
      </c>
      <c r="E63" s="656" t="str">
        <f>'D_Kaksoislaskennan välttäminen'!F92</f>
        <v/>
      </c>
      <c r="F63" s="656" t="str">
        <f>IF('D_Kaksoislaskennan välttäminen'!H92="","",'D_Kaksoislaskennan välttäminen'!H92)</f>
        <v/>
      </c>
      <c r="G63" s="656" t="str">
        <f>IF('D_Kaksoislaskennan välttäminen'!I92="","",'D_Kaksoislaskennan välttäminen'!I92)</f>
        <v/>
      </c>
      <c r="H63" s="656" t="str">
        <f>IF('D_Kaksoislaskennan välttäminen'!J92="","",'D_Kaksoislaskennan välttäminen'!J92)</f>
        <v/>
      </c>
      <c r="I63" s="656" t="str">
        <f>IF('D_Kaksoislaskennan välttäminen'!K92="","",'D_Kaksoislaskennan välttäminen'!K92)</f>
        <v/>
      </c>
      <c r="J63" s="656" t="str">
        <f>IF('D_Kaksoislaskennan välttäminen'!L92="","",'D_Kaksoislaskennan välttäminen'!L92)</f>
        <v/>
      </c>
      <c r="K63" s="656" t="str">
        <f>IF('D_Kaksoislaskennan välttäminen'!M92="","",'D_Kaksoislaskennan välttäminen'!M92)</f>
        <v/>
      </c>
      <c r="L63" s="638" t="str">
        <f>IF('D_Kaksoislaskennan välttäminen'!N92="","",'D_Kaksoislaskennan välttäminen'!N92)</f>
        <v/>
      </c>
      <c r="M63" s="293"/>
    </row>
    <row r="64" spans="2:13" hidden="1" x14ac:dyDescent="0.25">
      <c r="B64" s="825"/>
      <c r="C64" s="593"/>
      <c r="D64" s="493">
        <v>13</v>
      </c>
      <c r="E64" s="656" t="str">
        <f>'D_Kaksoislaskennan välttäminen'!F93</f>
        <v/>
      </c>
      <c r="F64" s="656" t="str">
        <f>IF('D_Kaksoislaskennan välttäminen'!H93="","",'D_Kaksoislaskennan välttäminen'!H93)</f>
        <v/>
      </c>
      <c r="G64" s="656" t="str">
        <f>IF('D_Kaksoislaskennan välttäminen'!I93="","",'D_Kaksoislaskennan välttäminen'!I93)</f>
        <v/>
      </c>
      <c r="H64" s="656" t="str">
        <f>IF('D_Kaksoislaskennan välttäminen'!J93="","",'D_Kaksoislaskennan välttäminen'!J93)</f>
        <v/>
      </c>
      <c r="I64" s="656" t="str">
        <f>IF('D_Kaksoislaskennan välttäminen'!K93="","",'D_Kaksoislaskennan välttäminen'!K93)</f>
        <v/>
      </c>
      <c r="J64" s="656" t="str">
        <f>IF('D_Kaksoislaskennan välttäminen'!L93="","",'D_Kaksoislaskennan välttäminen'!L93)</f>
        <v/>
      </c>
      <c r="K64" s="656" t="str">
        <f>IF('D_Kaksoislaskennan välttäminen'!M93="","",'D_Kaksoislaskennan välttäminen'!M93)</f>
        <v/>
      </c>
      <c r="L64" s="638" t="str">
        <f>IF('D_Kaksoislaskennan välttäminen'!N93="","",'D_Kaksoislaskennan välttäminen'!N93)</f>
        <v/>
      </c>
      <c r="M64" s="293"/>
    </row>
    <row r="65" spans="1:14" hidden="1" x14ac:dyDescent="0.25">
      <c r="B65" s="825"/>
      <c r="C65" s="593"/>
      <c r="D65" s="493">
        <v>14</v>
      </c>
      <c r="E65" s="656" t="str">
        <f>'D_Kaksoislaskennan välttäminen'!F94</f>
        <v/>
      </c>
      <c r="F65" s="656" t="str">
        <f>IF('D_Kaksoislaskennan välttäminen'!H94="","",'D_Kaksoislaskennan välttäminen'!H94)</f>
        <v/>
      </c>
      <c r="G65" s="656" t="str">
        <f>IF('D_Kaksoislaskennan välttäminen'!I94="","",'D_Kaksoislaskennan välttäminen'!I94)</f>
        <v/>
      </c>
      <c r="H65" s="656" t="str">
        <f>IF('D_Kaksoislaskennan välttäminen'!J94="","",'D_Kaksoislaskennan välttäminen'!J94)</f>
        <v/>
      </c>
      <c r="I65" s="656" t="str">
        <f>IF('D_Kaksoislaskennan välttäminen'!K94="","",'D_Kaksoislaskennan välttäminen'!K94)</f>
        <v/>
      </c>
      <c r="J65" s="656" t="str">
        <f>IF('D_Kaksoislaskennan välttäminen'!L94="","",'D_Kaksoislaskennan välttäminen'!L94)</f>
        <v/>
      </c>
      <c r="K65" s="656" t="str">
        <f>IF('D_Kaksoislaskennan välttäminen'!M94="","",'D_Kaksoislaskennan välttäminen'!M94)</f>
        <v/>
      </c>
      <c r="L65" s="638" t="str">
        <f>IF('D_Kaksoislaskennan välttäminen'!N94="","",'D_Kaksoislaskennan välttäminen'!N94)</f>
        <v/>
      </c>
      <c r="M65" s="293"/>
    </row>
    <row r="66" spans="1:14" hidden="1" x14ac:dyDescent="0.25">
      <c r="B66" s="825"/>
      <c r="C66" s="593"/>
      <c r="D66" s="493">
        <v>15</v>
      </c>
      <c r="E66" s="656" t="str">
        <f>'D_Kaksoislaskennan välttäminen'!F95</f>
        <v/>
      </c>
      <c r="F66" s="656" t="str">
        <f>IF('D_Kaksoislaskennan välttäminen'!H95="","",'D_Kaksoislaskennan välttäminen'!H95)</f>
        <v/>
      </c>
      <c r="G66" s="656" t="str">
        <f>IF('D_Kaksoislaskennan välttäminen'!I95="","",'D_Kaksoislaskennan välttäminen'!I95)</f>
        <v/>
      </c>
      <c r="H66" s="656" t="str">
        <f>IF('D_Kaksoislaskennan välttäminen'!J95="","",'D_Kaksoislaskennan välttäminen'!J95)</f>
        <v/>
      </c>
      <c r="I66" s="656" t="str">
        <f>IF('D_Kaksoislaskennan välttäminen'!K95="","",'D_Kaksoislaskennan välttäminen'!K95)</f>
        <v/>
      </c>
      <c r="J66" s="656" t="str">
        <f>IF('D_Kaksoislaskennan välttäminen'!L95="","",'D_Kaksoislaskennan välttäminen'!L95)</f>
        <v/>
      </c>
      <c r="K66" s="656" t="str">
        <f>IF('D_Kaksoislaskennan välttäminen'!M95="","",'D_Kaksoislaskennan välttäminen'!M95)</f>
        <v/>
      </c>
      <c r="L66" s="638" t="str">
        <f>IF('D_Kaksoislaskennan välttäminen'!N95="","",'D_Kaksoislaskennan välttäminen'!N95)</f>
        <v/>
      </c>
      <c r="M66" s="293"/>
    </row>
    <row r="67" spans="1:14" hidden="1" x14ac:dyDescent="0.25">
      <c r="B67" s="825"/>
      <c r="C67" s="593"/>
      <c r="D67" s="493">
        <v>16</v>
      </c>
      <c r="E67" s="656" t="str">
        <f>'D_Kaksoislaskennan välttäminen'!F96</f>
        <v/>
      </c>
      <c r="F67" s="656" t="str">
        <f>IF('D_Kaksoislaskennan välttäminen'!H96="","",'D_Kaksoislaskennan välttäminen'!H96)</f>
        <v/>
      </c>
      <c r="G67" s="656" t="str">
        <f>IF('D_Kaksoislaskennan välttäminen'!I96="","",'D_Kaksoislaskennan välttäminen'!I96)</f>
        <v/>
      </c>
      <c r="H67" s="656" t="str">
        <f>IF('D_Kaksoislaskennan välttäminen'!J96="","",'D_Kaksoislaskennan välttäminen'!J96)</f>
        <v/>
      </c>
      <c r="I67" s="656" t="str">
        <f>IF('D_Kaksoislaskennan välttäminen'!K96="","",'D_Kaksoislaskennan välttäminen'!K96)</f>
        <v/>
      </c>
      <c r="J67" s="656" t="str">
        <f>IF('D_Kaksoislaskennan välttäminen'!L96="","",'D_Kaksoislaskennan välttäminen'!L96)</f>
        <v/>
      </c>
      <c r="K67" s="656" t="str">
        <f>IF('D_Kaksoislaskennan välttäminen'!M96="","",'D_Kaksoislaskennan välttäminen'!M96)</f>
        <v/>
      </c>
      <c r="L67" s="638" t="str">
        <f>IF('D_Kaksoislaskennan välttäminen'!N96="","",'D_Kaksoislaskennan välttäminen'!N96)</f>
        <v/>
      </c>
      <c r="M67" s="293"/>
    </row>
    <row r="68" spans="1:14" hidden="1" x14ac:dyDescent="0.25">
      <c r="B68" s="825"/>
      <c r="C68" s="593"/>
      <c r="D68" s="493">
        <v>17</v>
      </c>
      <c r="E68" s="656" t="str">
        <f>'D_Kaksoislaskennan välttäminen'!F97</f>
        <v/>
      </c>
      <c r="F68" s="656" t="str">
        <f>IF('D_Kaksoislaskennan välttäminen'!H97="","",'D_Kaksoislaskennan välttäminen'!H97)</f>
        <v/>
      </c>
      <c r="G68" s="656" t="str">
        <f>IF('D_Kaksoislaskennan välttäminen'!I97="","",'D_Kaksoislaskennan välttäminen'!I97)</f>
        <v/>
      </c>
      <c r="H68" s="656" t="str">
        <f>IF('D_Kaksoislaskennan välttäminen'!J97="","",'D_Kaksoislaskennan välttäminen'!J97)</f>
        <v/>
      </c>
      <c r="I68" s="656" t="str">
        <f>IF('D_Kaksoislaskennan välttäminen'!K97="","",'D_Kaksoislaskennan välttäminen'!K97)</f>
        <v/>
      </c>
      <c r="J68" s="656" t="str">
        <f>IF('D_Kaksoislaskennan välttäminen'!L97="","",'D_Kaksoislaskennan välttäminen'!L97)</f>
        <v/>
      </c>
      <c r="K68" s="656" t="str">
        <f>IF('D_Kaksoislaskennan välttäminen'!M97="","",'D_Kaksoislaskennan välttäminen'!M97)</f>
        <v/>
      </c>
      <c r="L68" s="638" t="str">
        <f>IF('D_Kaksoislaskennan välttäminen'!N97="","",'D_Kaksoislaskennan välttäminen'!N97)</f>
        <v/>
      </c>
      <c r="M68" s="293"/>
    </row>
    <row r="69" spans="1:14" hidden="1" x14ac:dyDescent="0.25">
      <c r="B69" s="825"/>
      <c r="C69" s="593"/>
      <c r="D69" s="493">
        <v>18</v>
      </c>
      <c r="E69" s="656" t="str">
        <f>'D_Kaksoislaskennan välttäminen'!F98</f>
        <v/>
      </c>
      <c r="F69" s="656" t="str">
        <f>IF('D_Kaksoislaskennan välttäminen'!H98="","",'D_Kaksoislaskennan välttäminen'!H98)</f>
        <v/>
      </c>
      <c r="G69" s="656" t="str">
        <f>IF('D_Kaksoislaskennan välttäminen'!I98="","",'D_Kaksoislaskennan välttäminen'!I98)</f>
        <v/>
      </c>
      <c r="H69" s="656" t="str">
        <f>IF('D_Kaksoislaskennan välttäminen'!J98="","",'D_Kaksoislaskennan välttäminen'!J98)</f>
        <v/>
      </c>
      <c r="I69" s="656" t="str">
        <f>IF('D_Kaksoislaskennan välttäminen'!K98="","",'D_Kaksoislaskennan välttäminen'!K98)</f>
        <v/>
      </c>
      <c r="J69" s="656" t="str">
        <f>IF('D_Kaksoislaskennan välttäminen'!L98="","",'D_Kaksoislaskennan välttäminen'!L98)</f>
        <v/>
      </c>
      <c r="K69" s="656" t="str">
        <f>IF('D_Kaksoislaskennan välttäminen'!M98="","",'D_Kaksoislaskennan välttäminen'!M98)</f>
        <v/>
      </c>
      <c r="L69" s="638" t="str">
        <f>IF('D_Kaksoislaskennan välttäminen'!N98="","",'D_Kaksoislaskennan välttäminen'!N98)</f>
        <v/>
      </c>
      <c r="M69" s="293"/>
    </row>
    <row r="70" spans="1:14" hidden="1" x14ac:dyDescent="0.25">
      <c r="B70" s="825"/>
      <c r="C70" s="593"/>
      <c r="D70" s="493">
        <v>19</v>
      </c>
      <c r="E70" s="656" t="str">
        <f>'D_Kaksoislaskennan välttäminen'!F99</f>
        <v/>
      </c>
      <c r="F70" s="656" t="str">
        <f>IF('D_Kaksoislaskennan välttäminen'!H99="","",'D_Kaksoislaskennan välttäminen'!H99)</f>
        <v/>
      </c>
      <c r="G70" s="656" t="str">
        <f>IF('D_Kaksoislaskennan välttäminen'!I99="","",'D_Kaksoislaskennan välttäminen'!I99)</f>
        <v/>
      </c>
      <c r="H70" s="656" t="str">
        <f>IF('D_Kaksoislaskennan välttäminen'!J99="","",'D_Kaksoislaskennan välttäminen'!J99)</f>
        <v/>
      </c>
      <c r="I70" s="656" t="str">
        <f>IF('D_Kaksoislaskennan välttäminen'!K99="","",'D_Kaksoislaskennan välttäminen'!K99)</f>
        <v/>
      </c>
      <c r="J70" s="656" t="str">
        <f>IF('D_Kaksoislaskennan välttäminen'!L99="","",'D_Kaksoislaskennan välttäminen'!L99)</f>
        <v/>
      </c>
      <c r="K70" s="656" t="str">
        <f>IF('D_Kaksoislaskennan välttäminen'!M99="","",'D_Kaksoislaskennan välttäminen'!M99)</f>
        <v/>
      </c>
      <c r="L70" s="638" t="str">
        <f>IF('D_Kaksoislaskennan välttäminen'!N99="","",'D_Kaksoislaskennan välttäminen'!N99)</f>
        <v/>
      </c>
      <c r="M70" s="293"/>
    </row>
    <row r="71" spans="1:14" hidden="1" x14ac:dyDescent="0.25">
      <c r="B71" s="825"/>
      <c r="C71" s="593"/>
      <c r="D71" s="493">
        <v>20</v>
      </c>
      <c r="E71" s="656" t="str">
        <f>'D_Kaksoislaskennan välttäminen'!F100</f>
        <v/>
      </c>
      <c r="F71" s="656" t="str">
        <f>IF('D_Kaksoislaskennan välttäminen'!H100="","",'D_Kaksoislaskennan välttäminen'!H100)</f>
        <v/>
      </c>
      <c r="G71" s="656" t="str">
        <f>IF('D_Kaksoislaskennan välttäminen'!I100="","",'D_Kaksoislaskennan välttäminen'!I100)</f>
        <v/>
      </c>
      <c r="H71" s="656" t="str">
        <f>IF('D_Kaksoislaskennan välttäminen'!J100="","",'D_Kaksoislaskennan välttäminen'!J100)</f>
        <v/>
      </c>
      <c r="I71" s="656" t="str">
        <f>IF('D_Kaksoislaskennan välttäminen'!K100="","",'D_Kaksoislaskennan välttäminen'!K100)</f>
        <v/>
      </c>
      <c r="J71" s="656" t="str">
        <f>IF('D_Kaksoislaskennan välttäminen'!L100="","",'D_Kaksoislaskennan välttäminen'!L100)</f>
        <v/>
      </c>
      <c r="K71" s="656" t="str">
        <f>IF('D_Kaksoislaskennan välttäminen'!M100="","",'D_Kaksoislaskennan välttäminen'!M100)</f>
        <v/>
      </c>
      <c r="L71" s="638" t="str">
        <f>IF('D_Kaksoislaskennan välttäminen'!N100="","",'D_Kaksoislaskennan välttäminen'!N100)</f>
        <v/>
      </c>
      <c r="M71" s="293"/>
    </row>
    <row r="72" spans="1:14" hidden="1" x14ac:dyDescent="0.25">
      <c r="B72" s="509"/>
      <c r="D72" s="493"/>
      <c r="E72" s="493"/>
      <c r="F72" s="493"/>
      <c r="G72" s="493"/>
      <c r="H72" s="493"/>
      <c r="I72" s="493"/>
      <c r="J72" s="493"/>
      <c r="K72" s="493"/>
      <c r="L72" s="493"/>
      <c r="M72" s="293"/>
    </row>
    <row r="73" spans="1:14" ht="25.5" customHeight="1" thickBot="1" x14ac:dyDescent="0.3">
      <c r="B73" s="529"/>
      <c r="C73" s="530"/>
      <c r="D73" s="530"/>
      <c r="E73" s="530"/>
      <c r="F73" s="530"/>
      <c r="G73" s="530"/>
      <c r="H73" s="530"/>
      <c r="I73" s="530"/>
      <c r="J73" s="530"/>
      <c r="K73" s="530"/>
      <c r="L73" s="530"/>
      <c r="M73" s="531"/>
    </row>
    <row r="75" spans="1:14" hidden="1" x14ac:dyDescent="0.25">
      <c r="A75" s="275" t="s">
        <v>0</v>
      </c>
      <c r="B75" s="275"/>
      <c r="C75" s="275"/>
      <c r="D75" s="275"/>
      <c r="E75" s="275"/>
      <c r="F75" s="275"/>
      <c r="G75" s="275"/>
      <c r="H75" s="275"/>
      <c r="I75" s="275"/>
      <c r="J75" s="275"/>
      <c r="K75" s="275"/>
      <c r="L75" s="275"/>
      <c r="M75" s="275"/>
      <c r="N75" s="275" t="s">
        <v>12</v>
      </c>
    </row>
  </sheetData>
  <sheetProtection sheet="1" formatCells="0" formatColumns="0" formatRows="0"/>
  <mergeCells count="54">
    <mergeCell ref="E46:F46"/>
    <mergeCell ref="E47:F47"/>
    <mergeCell ref="E40:F40"/>
    <mergeCell ref="E41:F41"/>
    <mergeCell ref="E42:F42"/>
    <mergeCell ref="E43:F43"/>
    <mergeCell ref="E44:F44"/>
    <mergeCell ref="E45:F45"/>
    <mergeCell ref="K4:L4"/>
    <mergeCell ref="E18:G18"/>
    <mergeCell ref="E19:G19"/>
    <mergeCell ref="E30:F30"/>
    <mergeCell ref="E15:G15"/>
    <mergeCell ref="E16:G16"/>
    <mergeCell ref="E17:G17"/>
    <mergeCell ref="C6:L6"/>
    <mergeCell ref="E28:F29"/>
    <mergeCell ref="G28:G29"/>
    <mergeCell ref="B2:D4"/>
    <mergeCell ref="E4:F4"/>
    <mergeCell ref="G4:H4"/>
    <mergeCell ref="I4:J4"/>
    <mergeCell ref="I12:L12"/>
    <mergeCell ref="J26:K26"/>
    <mergeCell ref="K2:L2"/>
    <mergeCell ref="E3:F3"/>
    <mergeCell ref="G3:H3"/>
    <mergeCell ref="I3:J3"/>
    <mergeCell ref="K3:L3"/>
    <mergeCell ref="E2:F2"/>
    <mergeCell ref="G2:H2"/>
    <mergeCell ref="I2:J2"/>
    <mergeCell ref="E48:F48"/>
    <mergeCell ref="E49:F49"/>
    <mergeCell ref="H28:H29"/>
    <mergeCell ref="I28:I29"/>
    <mergeCell ref="E11:H11"/>
    <mergeCell ref="I11:L11"/>
    <mergeCell ref="E12:H12"/>
    <mergeCell ref="E31:F31"/>
    <mergeCell ref="E32:F32"/>
    <mergeCell ref="E33:F33"/>
    <mergeCell ref="E34:F34"/>
    <mergeCell ref="E35:F35"/>
    <mergeCell ref="E36:F36"/>
    <mergeCell ref="E37:F37"/>
    <mergeCell ref="E38:F38"/>
    <mergeCell ref="E39:F39"/>
    <mergeCell ref="E26:I26"/>
    <mergeCell ref="E14:G14"/>
    <mergeCell ref="K8:L8"/>
    <mergeCell ref="E10:H10"/>
    <mergeCell ref="I10:L10"/>
    <mergeCell ref="E24:G24"/>
  </mergeCells>
  <conditionalFormatting sqref="H15:L19 H24:L24 J30:L49">
    <cfRule type="cellIs" dxfId="50" priority="1" stopIfTrue="1" operator="equal">
      <formula>0</formula>
    </cfRule>
  </conditionalFormatting>
  <hyperlinks>
    <hyperlink ref="G2:H2" location="JUMP_a_Content" display="Table of contents" xr:uid="{00000000-0004-0000-0900-000000000000}"/>
  </hyperlinks>
  <pageMargins left="0.78740157480314965" right="0.78740157480314965" top="0.78740157480314965" bottom="0.78740157480314965" header="0.39370078740157483" footer="0.39370078740157483"/>
  <pageSetup paperSize="9" scale="65" fitToHeight="9" orientation="portrait" r:id="rId1"/>
  <headerFooter alignWithMargins="0">
    <oddHeader>&amp;L&amp;F, &amp;A&amp;R&amp;D, &amp;T</oddHeader>
    <oddFooter>&amp;C&amp;P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1">
    <tabColor theme="2" tint="-0.499984740745262"/>
  </sheetPr>
  <dimension ref="A1:AN37"/>
  <sheetViews>
    <sheetView topLeftCell="B2" zoomScaleNormal="100" workbookViewId="0">
      <selection activeCell="F10" sqref="F10"/>
    </sheetView>
  </sheetViews>
  <sheetFormatPr defaultColWidth="11.453125" defaultRowHeight="12.5" x14ac:dyDescent="0.25"/>
  <cols>
    <col min="1" max="1" width="5.7265625" style="276" hidden="1" customWidth="1"/>
    <col min="2" max="3" width="5.7265625" style="276" customWidth="1"/>
    <col min="4" max="4" width="18.36328125" style="276" customWidth="1"/>
    <col min="5" max="5" width="21.26953125" style="276" customWidth="1"/>
    <col min="6" max="6" width="37.90625" style="276" customWidth="1"/>
    <col min="7" max="7" width="15.7265625" style="276" customWidth="1"/>
    <col min="8" max="8" width="20.90625" style="276" customWidth="1"/>
    <col min="9" max="9" width="14.81640625" style="276" customWidth="1"/>
    <col min="10" max="11" width="12.7265625" style="276" customWidth="1"/>
    <col min="12" max="12" width="14.26953125" style="276" customWidth="1"/>
    <col min="13" max="13" width="15" style="276" customWidth="1"/>
    <col min="14" max="14" width="15.26953125" style="276" customWidth="1"/>
    <col min="15" max="15" width="16.1796875" style="276" customWidth="1"/>
    <col min="16" max="16" width="15.1796875" style="276" customWidth="1"/>
    <col min="17" max="18" width="21.54296875" style="276" customWidth="1"/>
    <col min="19" max="19" width="15.36328125" style="276" customWidth="1"/>
    <col min="20" max="21" width="12.7265625" style="276" customWidth="1"/>
    <col min="22" max="22" width="14.81640625" style="276" customWidth="1"/>
    <col min="23" max="23" width="15.81640625" style="276" customWidth="1"/>
    <col min="24" max="24" width="15.54296875" style="276" customWidth="1"/>
    <col min="25" max="25" width="12.7265625" style="276" customWidth="1"/>
    <col min="26" max="26" width="17.54296875" style="276" customWidth="1"/>
    <col min="27" max="28" width="12.7265625" style="276" customWidth="1"/>
    <col min="29" max="30" width="13.7265625" style="276" customWidth="1"/>
    <col min="31" max="34" width="12.7265625" style="276" customWidth="1"/>
    <col min="35" max="40" width="11.453125" style="254" hidden="1" customWidth="1"/>
    <col min="41" max="16384" width="11.453125" style="276"/>
  </cols>
  <sheetData>
    <row r="1" spans="1:40" s="254" customFormat="1" hidden="1" x14ac:dyDescent="0.25">
      <c r="A1" s="232" t="s">
        <v>0</v>
      </c>
      <c r="B1" s="232"/>
      <c r="C1" s="232"/>
      <c r="D1" s="232"/>
      <c r="E1" s="232"/>
      <c r="AI1" s="232" t="s">
        <v>0</v>
      </c>
      <c r="AJ1" s="232" t="s">
        <v>0</v>
      </c>
      <c r="AK1" s="232" t="s">
        <v>0</v>
      </c>
      <c r="AL1" s="232" t="s">
        <v>0</v>
      </c>
      <c r="AM1" s="232" t="s">
        <v>0</v>
      </c>
      <c r="AN1" s="232" t="s">
        <v>0</v>
      </c>
    </row>
    <row r="2" spans="1:40" x14ac:dyDescent="0.25">
      <c r="AJ2" s="245" t="s">
        <v>2</v>
      </c>
      <c r="AK2" s="247" t="str">
        <f ca="1">IF(ISERROR(CELL("filename",AL2)),"H_Accounting",MID(CELL("filename",AL2),FIND("]",CELL("filename",AL2))+1,1024))</f>
        <v>G_Yhteenveto</v>
      </c>
    </row>
    <row r="3" spans="1:40" ht="25" x14ac:dyDescent="0.25">
      <c r="C3" s="300" t="str">
        <f>Translations!$B$533</f>
        <v>G. Yhteenveto</v>
      </c>
      <c r="D3" s="300"/>
      <c r="E3" s="300"/>
    </row>
    <row r="4" spans="1:40" ht="25" x14ac:dyDescent="0.25">
      <c r="C4" s="300"/>
      <c r="D4" s="621" t="str">
        <f>Translations!$B$233</f>
        <v xml:space="preserve">Yhteenveto päästöselvityslomakkeella annetuista tiedoista. </v>
      </c>
      <c r="E4" s="300"/>
      <c r="G4" s="621"/>
      <c r="H4" s="621"/>
      <c r="I4" s="621"/>
      <c r="J4" s="621"/>
      <c r="K4" s="621"/>
      <c r="L4" s="621"/>
      <c r="M4" s="621"/>
      <c r="N4" s="621"/>
      <c r="O4" s="621"/>
      <c r="P4" s="621"/>
      <c r="Q4" s="621"/>
      <c r="R4" s="621"/>
      <c r="S4" s="621"/>
      <c r="T4" s="621"/>
      <c r="U4" s="621"/>
      <c r="V4" s="621"/>
    </row>
    <row r="5" spans="1:40" ht="4" customHeight="1" x14ac:dyDescent="0.5">
      <c r="D5" s="223"/>
      <c r="F5" s="282"/>
      <c r="G5" s="621"/>
      <c r="H5" s="621"/>
      <c r="I5" s="621"/>
      <c r="J5" s="621"/>
      <c r="K5" s="621"/>
      <c r="L5" s="621"/>
      <c r="M5" s="621"/>
      <c r="N5" s="621"/>
      <c r="O5" s="621"/>
      <c r="P5" s="621"/>
      <c r="Q5" s="621"/>
      <c r="R5" s="621"/>
      <c r="S5" s="621"/>
      <c r="T5" s="621"/>
      <c r="U5" s="621"/>
      <c r="V5" s="621"/>
      <c r="W5" s="621"/>
      <c r="X5" s="621"/>
      <c r="Y5" s="621"/>
      <c r="Z5" s="621"/>
      <c r="AA5" s="4"/>
      <c r="AB5" s="4"/>
      <c r="AC5" s="4"/>
      <c r="AD5" s="4"/>
      <c r="AE5" s="4"/>
      <c r="AF5" s="4"/>
      <c r="AG5" s="4"/>
      <c r="AH5" s="4"/>
    </row>
    <row r="6" spans="1:40" ht="13" x14ac:dyDescent="0.25">
      <c r="E6" s="1312" t="str">
        <f>Translations!$B$216</f>
        <v>Säännelty yhteisö</v>
      </c>
      <c r="F6" s="1313"/>
      <c r="G6" s="621"/>
      <c r="H6" s="621"/>
      <c r="I6" s="621"/>
      <c r="J6" s="621"/>
      <c r="K6" s="621"/>
      <c r="L6" s="621"/>
      <c r="M6" s="621"/>
      <c r="N6" s="621"/>
      <c r="O6" s="621"/>
      <c r="P6" s="621"/>
      <c r="Q6" s="621"/>
      <c r="R6" s="621"/>
      <c r="S6" s="621"/>
      <c r="T6" s="621"/>
      <c r="U6" s="621"/>
      <c r="V6" s="621"/>
      <c r="W6" s="621"/>
      <c r="X6" s="621"/>
      <c r="Y6" s="621"/>
      <c r="Z6" s="621"/>
    </row>
    <row r="7" spans="1:40" s="709" customFormat="1" ht="27.5" customHeight="1" x14ac:dyDescent="0.3">
      <c r="D7" s="225" t="str">
        <f>'A_Säännellyn yhteisön tiedot'!D9</f>
        <v>Raportointivuosi</v>
      </c>
      <c r="E7" s="224" t="str">
        <f>'A_Säännellyn yhteisön tiedot'!$E$29</f>
        <v>Säännellyn yhteisön y-tunnus:</v>
      </c>
      <c r="F7" s="224" t="str">
        <f>'A_Säännellyn yhteisön tiedot'!E28</f>
        <v>Säännellyn yhteisön nimi:</v>
      </c>
      <c r="G7" s="621"/>
      <c r="H7" s="621"/>
      <c r="I7" s="621"/>
      <c r="J7" s="621"/>
      <c r="K7" s="621"/>
      <c r="L7" s="621"/>
      <c r="M7" s="621"/>
      <c r="N7" s="621"/>
      <c r="O7" s="621"/>
      <c r="P7" s="621"/>
      <c r="Q7" s="621"/>
      <c r="R7" s="621"/>
      <c r="S7" s="621"/>
      <c r="T7" s="621"/>
      <c r="U7" s="621"/>
      <c r="V7" s="621"/>
      <c r="W7" s="621"/>
      <c r="X7" s="621"/>
      <c r="Y7" s="621"/>
      <c r="Z7" s="621"/>
    </row>
    <row r="8" spans="1:40" x14ac:dyDescent="0.25">
      <c r="D8" s="555">
        <f>IF('A_Säännellyn yhteisön tiedot'!J9="",2024,'A_Säännellyn yhteisön tiedot'!J9)</f>
        <v>2024</v>
      </c>
      <c r="E8" s="622" t="str">
        <f>IF('A_Säännellyn yhteisön tiedot'!$I$29="","",'A_Säännellyn yhteisön tiedot'!$I$29)</f>
        <v/>
      </c>
      <c r="F8" s="622" t="str">
        <f>IF('A_Säännellyn yhteisön tiedot'!$I$28="","",'A_Säännellyn yhteisön tiedot'!$I$28)</f>
        <v/>
      </c>
      <c r="J8" s="4"/>
      <c r="K8" s="4"/>
      <c r="L8" s="4"/>
      <c r="M8" s="4"/>
      <c r="AI8" s="276"/>
      <c r="AJ8" s="276"/>
      <c r="AK8" s="276"/>
      <c r="AL8" s="276"/>
      <c r="AM8" s="276"/>
      <c r="AN8" s="276"/>
    </row>
    <row r="9" spans="1:40" ht="12.75" customHeight="1" x14ac:dyDescent="0.25"/>
    <row r="10" spans="1:40" ht="35.15" customHeight="1" x14ac:dyDescent="0.5">
      <c r="D10" s="223" t="str">
        <f>Translations!$B$234</f>
        <v>Polttoainevirrat</v>
      </c>
      <c r="G10" s="282"/>
      <c r="H10" s="282"/>
      <c r="I10" s="282"/>
      <c r="J10" s="282"/>
      <c r="K10" s="282"/>
      <c r="L10" s="282"/>
      <c r="M10" s="282"/>
      <c r="N10" s="282"/>
      <c r="O10" s="282"/>
      <c r="P10" s="282"/>
      <c r="Q10" s="282"/>
      <c r="R10" s="282"/>
      <c r="S10" s="282"/>
      <c r="T10" s="282"/>
      <c r="U10" s="282"/>
      <c r="V10" s="282"/>
      <c r="W10" s="282"/>
      <c r="X10" s="282"/>
      <c r="Y10" s="282"/>
      <c r="Z10" s="282"/>
      <c r="AA10" s="282"/>
      <c r="AB10" s="282"/>
      <c r="AD10" s="282"/>
      <c r="AE10" s="282"/>
      <c r="AF10" s="282"/>
      <c r="AG10" s="282"/>
      <c r="AH10" s="282"/>
    </row>
    <row r="11" spans="1:40" x14ac:dyDescent="0.25">
      <c r="I11" s="1314" t="str">
        <f>Translations!$B$535</f>
        <v>Kulutukseen luovutetut polttoainemäärät (RFA)</v>
      </c>
      <c r="J11" s="1314"/>
      <c r="K11" s="1314"/>
      <c r="L11" s="1314"/>
      <c r="M11" s="1314" t="str">
        <f>Translations!$B$536</f>
        <v>Soveltamisalakerroin (SF)</v>
      </c>
      <c r="N11" s="1314"/>
      <c r="O11" s="1314"/>
      <c r="P11" s="1314" t="str">
        <f>Translations!$B$537</f>
        <v>Päästökerroin (EF)</v>
      </c>
      <c r="Q11" s="1314"/>
      <c r="R11" s="1314"/>
      <c r="S11" s="1314" t="str">
        <f>Translations!$B$538</f>
        <v>Yksikön muuntokerroin (UCF)</v>
      </c>
      <c r="T11" s="1314"/>
      <c r="U11" s="1314"/>
      <c r="V11" s="1314" t="str">
        <f>Translations!$B$539</f>
        <v>Biomassaosuus (BF)</v>
      </c>
      <c r="W11" s="1314"/>
      <c r="X11" s="1314" t="str">
        <f>Translations!$B$540</f>
        <v>Ei-kestävä biomassaosuus</v>
      </c>
      <c r="Y11" s="1314"/>
    </row>
    <row r="12" spans="1:40" s="846" customFormat="1" ht="39" x14ac:dyDescent="0.3">
      <c r="C12" s="750" t="s">
        <v>1507</v>
      </c>
      <c r="D12" s="750" t="str">
        <f>Translations!$B$541</f>
        <v>Raportointivuosi</v>
      </c>
      <c r="E12" s="750" t="str">
        <f>Translations!$B$182</f>
        <v>Säännellyn yhteisön y-tunnus:</v>
      </c>
      <c r="F12" s="751" t="str">
        <f>Translations!B212</f>
        <v>Polttoainevirran koko nimi (nimi + tyyppi)</v>
      </c>
      <c r="G12" s="750" t="str">
        <f>Translations!$B$542</f>
        <v>Kulutukseen luovutuksen tavat</v>
      </c>
      <c r="H12" s="750" t="str">
        <f>Translations!$B$543</f>
        <v>Välittäjäosapuolet</v>
      </c>
      <c r="I12" s="751" t="str">
        <f>Translations!$B$376</f>
        <v>RFA-määrittämistaso</v>
      </c>
      <c r="J12" s="751" t="str">
        <f>Translations!$B$377</f>
        <v>RFA</v>
      </c>
      <c r="K12" s="751" t="str">
        <f>Translations!$B$378</f>
        <v>RFA (SF:n jälkeen)</v>
      </c>
      <c r="L12" s="751" t="str">
        <f>Translations!$B$379</f>
        <v>RFA-yksikkö</v>
      </c>
      <c r="M12" s="751" t="str">
        <f>Translations!$B$380</f>
        <v>SF-määrittämistaso</v>
      </c>
      <c r="N12" s="751" t="str">
        <f>Translations!$B$380</f>
        <v>SF-määrittämistaso</v>
      </c>
      <c r="O12" s="751" t="str">
        <f>Translations!$B$381</f>
        <v>SF</v>
      </c>
      <c r="P12" s="751" t="str">
        <f>Translations!$B$382</f>
        <v>EF-määrittämistaso</v>
      </c>
      <c r="Q12" s="751" t="str">
        <f>Translations!$B$383</f>
        <v>EF</v>
      </c>
      <c r="R12" s="751" t="str">
        <f>Translations!$B$384</f>
        <v>EF-yksikkö</v>
      </c>
      <c r="S12" s="751" t="str">
        <f>Translations!$B$385</f>
        <v>UCF-määrittämistaso</v>
      </c>
      <c r="T12" s="751" t="str">
        <f>Translations!$B$386</f>
        <v>UCF</v>
      </c>
      <c r="U12" s="751" t="str">
        <f>Translations!$B$387</f>
        <v>UCF-yksikkö</v>
      </c>
      <c r="V12" s="751" t="str">
        <f>Translations!$B$544</f>
        <v>BF-määrittämistaso</v>
      </c>
      <c r="W12" s="751" t="s">
        <v>100</v>
      </c>
      <c r="X12" s="751" t="str">
        <f>Translations!$B$545</f>
        <v>NonSustBF-määrittämistaso</v>
      </c>
      <c r="Y12" s="751" t="str">
        <f>Translations!$B$546</f>
        <v>NonSustBF</v>
      </c>
      <c r="Z12" s="751" t="str">
        <f>Translations!$B$547</f>
        <v>CO2e fossil (t)</v>
      </c>
      <c r="AA12" s="751" t="str">
        <f>Translations!$B$548</f>
        <v>CO2e bio (t)</v>
      </c>
      <c r="AB12" s="751" t="str">
        <f>Translations!$B$549</f>
        <v>CO2e non-sust. bio (tonnia)</v>
      </c>
      <c r="AC12" s="751" t="str">
        <f>Translations!$B$550</f>
        <v>Energiasisältö (fossiilinen), TJ</v>
      </c>
      <c r="AD12" s="751" t="str">
        <f>Translations!$B$551</f>
        <v>Energiasisältö (biomassa), TJ</v>
      </c>
      <c r="AE12" s="751" t="str">
        <f>Translations!$B$552</f>
        <v>CRF-luokka 1</v>
      </c>
      <c r="AF12" s="751" t="str">
        <f>Translations!$B$553</f>
        <v>CRF-luokka 2</v>
      </c>
      <c r="AG12" s="751" t="str">
        <f>Translations!$B$554</f>
        <v>CRF-luokka 3</v>
      </c>
      <c r="AI12" s="847"/>
      <c r="AJ12" s="847" t="s">
        <v>1508</v>
      </c>
      <c r="AK12" s="847" t="s">
        <v>1509</v>
      </c>
      <c r="AL12" s="847" t="s">
        <v>58</v>
      </c>
      <c r="AM12" s="847"/>
      <c r="AN12" s="847"/>
    </row>
    <row r="13" spans="1:40" x14ac:dyDescent="0.25">
      <c r="C13" s="555">
        <v>1</v>
      </c>
      <c r="D13" s="555" t="str">
        <f>IF(F13="","",$D$8)</f>
        <v/>
      </c>
      <c r="E13" s="613" t="str">
        <f t="shared" ref="E13:E37" si="0">IF(F13="","",$E$8)</f>
        <v/>
      </c>
      <c r="F13" s="283" t="str">
        <f>IF(INDEX(C_Päästölaskenta!BI:BI,MATCH($C13,C_Päästölaskenta!$A:$A,0))="","",INDEX(C_Päästölaskenta!BI:BI,MATCH($C13,C_Päästölaskenta!$A:$A,0)))</f>
        <v/>
      </c>
      <c r="G13" s="283" t="str">
        <f>IF(F13="","",INDEX(C_Päästölaskenta!K:K,MATCH($C13,C_Päästölaskenta!$A:$A,0)))</f>
        <v/>
      </c>
      <c r="H13" s="283" t="str">
        <f>IF(F13="","",INDEX(C_Päästölaskenta!K:K,MATCH($C13,C_Päästölaskenta!$A:$A,0)+1))</f>
        <v/>
      </c>
      <c r="I13" s="552" t="str">
        <f>IF($F13="","",INDEX(C_Päästölaskenta!BJ:BJ,MATCH($C13,C_Päästölaskenta!$A:$A,0)))</f>
        <v/>
      </c>
      <c r="J13" s="551" t="str">
        <f>IF($F13="","",INDEX(C_Päästölaskenta!BK:BK,MATCH($C13,C_Päästölaskenta!$A:$A,0)))</f>
        <v/>
      </c>
      <c r="K13" s="551" t="str">
        <f>IF($F13="","",SUM(J13)-INDEX(C_Päästölaskenta!BL:BL,MATCH($C13,C_Päästölaskenta!$A:$A,0)))</f>
        <v/>
      </c>
      <c r="L13" s="552" t="str">
        <f>IF($F13="","",INDEX(C_Päästölaskenta!BM:BM,MATCH($C13,C_Päästölaskenta!$A:$A,0)))</f>
        <v/>
      </c>
      <c r="M13" s="552" t="str">
        <f>IF($F13="","",INDEX(C_Päästölaskenta!BN:BN,MATCH($C13,C_Päästölaskenta!$A:$A,0)))</f>
        <v/>
      </c>
      <c r="N13" s="613" t="str">
        <f>IF($F13="","",INDEX(C_Päästölaskenta!BO:BO,MATCH($C13,C_Päästölaskenta!$A:$A,0)))</f>
        <v/>
      </c>
      <c r="O13" s="609" t="str">
        <f>IF($F13="","",INDEX(C_Päästölaskenta!BP:BP,MATCH($C13,C_Päästölaskenta!$A:$A,0)))</f>
        <v/>
      </c>
      <c r="P13" s="552" t="str">
        <f>IF($F13="","",INDEX(C_Päästölaskenta!BQ:BQ,MATCH($C13,C_Päästölaskenta!$A:$A,0)))</f>
        <v/>
      </c>
      <c r="Q13" s="755" t="str">
        <f>IF($F13="","",INDEX(C_Päästölaskenta!BR:BR,MATCH($C13,C_Päästölaskenta!$A:$A,0)))</f>
        <v/>
      </c>
      <c r="R13" s="552" t="str">
        <f>IF($F13="","",INDEX(C_Päästölaskenta!BS:BS,MATCH($C13,C_Päästölaskenta!$A:$A,0)))</f>
        <v/>
      </c>
      <c r="S13" s="552" t="str">
        <f>IF($F13="","",INDEX(C_Päästölaskenta!BT:BT,MATCH($C13,C_Päästölaskenta!$A:$A,0)))</f>
        <v/>
      </c>
      <c r="T13" s="755" t="str">
        <f>IF($F13="","",INDEX(C_Päästölaskenta!BU:BU,MATCH($C13,C_Päästölaskenta!$A:$A,0)))</f>
        <v/>
      </c>
      <c r="U13" s="552" t="str">
        <f>IF($F13="","",INDEX(C_Päästölaskenta!BV:BV,MATCH($C13,C_Päästölaskenta!$A:$A,0)))</f>
        <v/>
      </c>
      <c r="V13" s="552" t="str">
        <f>IF($F13="","",INDEX(C_Päästölaskenta!BW:BW,MATCH($C13,C_Päästölaskenta!$A:$A,0)))</f>
        <v/>
      </c>
      <c r="W13" s="553" t="str">
        <f>IF($F13="","",INDEX(C_Päästölaskenta!BX:BX,MATCH($C13,C_Päästölaskenta!$A:$A,0)))</f>
        <v/>
      </c>
      <c r="X13" s="552" t="str">
        <f>IF($F13="","",INDEX(C_Päästölaskenta!BY:BY,MATCH($C13,C_Päästölaskenta!$A:$A,0)))</f>
        <v/>
      </c>
      <c r="Y13" s="553" t="str">
        <f>IF($F13="","",INDEX(C_Päästölaskenta!BZ:BZ,MATCH($C13,C_Päästölaskenta!$A:$A,0)))</f>
        <v/>
      </c>
      <c r="Z13" s="551" t="str">
        <f>IF($F13="","",INDEX(C_Päästölaskenta!CA:CA,MATCH($C13,C_Päästölaskenta!$A:$A,0)))</f>
        <v/>
      </c>
      <c r="AA13" s="551" t="str">
        <f>IF($F13="","",INDEX(C_Päästölaskenta!CB:CB,MATCH($C13,C_Päästölaskenta!$A:$A,0)))</f>
        <v/>
      </c>
      <c r="AB13" s="551" t="str">
        <f>IF($F13="","",INDEX(C_Päästölaskenta!CC:CC,MATCH($C13,C_Päästölaskenta!$A:$A,0)))</f>
        <v/>
      </c>
      <c r="AC13" s="551" t="str">
        <f>IF($F13="","",INDEX(C_Päästölaskenta!CD:CD,MATCH($C13,C_Päästölaskenta!$A:$A,0)))</f>
        <v/>
      </c>
      <c r="AD13" s="551" t="str">
        <f>IF($F13="","",INDEX(C_Päästölaskenta!CE:CE,MATCH($C13,C_Päästölaskenta!$A:$A,0)))</f>
        <v/>
      </c>
      <c r="AE13" s="554" t="str">
        <f>IF($F13="","",INDEX(C_Päästölaskenta!BK:BK,MATCH($C13,C_Päästölaskenta!$A:$A,0)+3))</f>
        <v/>
      </c>
      <c r="AF13" s="554" t="str">
        <f>IF($F13="","",INDEX(C_Päästölaskenta!BL:BL,MATCH($C13,C_Päästölaskenta!$A:$A,0)+3))</f>
        <v/>
      </c>
      <c r="AG13" s="554" t="str">
        <f>IF($F13="","",INDEX(C_Päästölaskenta!BM:BM,MATCH($C13,C_Päästölaskenta!$A:$A,0)+3))</f>
        <v/>
      </c>
      <c r="AJ13" s="305" t="str">
        <f>IF($F13="","",INDEX('B_Polttoainevirtojen tiedot'!$E$67:$E$91,MATCH($F13,CNTR_SourceStreamNames,0)))</f>
        <v/>
      </c>
      <c r="AK13" s="305" t="str">
        <f>IF($F13="","",INDEX('B_Polttoainevirtojen tiedot'!$I$67:$I$91,MATCH($F13,CNTR_SourceStreamNames,0)))</f>
        <v/>
      </c>
      <c r="AL13" s="305" t="str">
        <f>IF($F13="","",IF(INDEX('B_Polttoainevirtojen tiedot'!$L$67:$L$91,MATCH($F13,CNTR_SourceStreamNames,0))="","",INDEX('B_Polttoainevirtojen tiedot'!$L$67:$L$91,MATCH($F13,CNTR_SourceStreamNames,0))))</f>
        <v/>
      </c>
    </row>
    <row r="14" spans="1:40" x14ac:dyDescent="0.25">
      <c r="C14" s="555">
        <f>C13+1</f>
        <v>2</v>
      </c>
      <c r="D14" s="555" t="str">
        <f t="shared" ref="D14:D37" si="1">IF(F14="","",$D$8)</f>
        <v/>
      </c>
      <c r="E14" s="613" t="str">
        <f t="shared" si="0"/>
        <v/>
      </c>
      <c r="F14" s="283" t="str">
        <f>IF(INDEX(C_Päästölaskenta!BI:BI,MATCH($C14,C_Päästölaskenta!$A:$A,0))="","",INDEX(C_Päästölaskenta!BI:BI,MATCH($C14,C_Päästölaskenta!$A:$A,0)))</f>
        <v/>
      </c>
      <c r="G14" s="283" t="str">
        <f>IF(F14="","",INDEX(C_Päästölaskenta!K:K,MATCH($C14,C_Päästölaskenta!$A:$A,0)))</f>
        <v/>
      </c>
      <c r="H14" s="283" t="str">
        <f>IF(F14="","",INDEX(C_Päästölaskenta!K:K,MATCH($C14,C_Päästölaskenta!$A:$A,0)+1))</f>
        <v/>
      </c>
      <c r="I14" s="552" t="str">
        <f>IF($F14="","",INDEX(C_Päästölaskenta!BJ:BJ,MATCH($C14,C_Päästölaskenta!$A:$A,0)))</f>
        <v/>
      </c>
      <c r="J14" s="551" t="str">
        <f>IF($F14="","",INDEX(C_Päästölaskenta!BK:BK,MATCH($C14,C_Päästölaskenta!$A:$A,0)))</f>
        <v/>
      </c>
      <c r="K14" s="551" t="str">
        <f>IF($F14="","",SUM(J14)-INDEX(C_Päästölaskenta!BL:BL,MATCH($C14,C_Päästölaskenta!$A:$A,0)))</f>
        <v/>
      </c>
      <c r="L14" s="552" t="str">
        <f>IF($F14="","",INDEX(C_Päästölaskenta!BM:BM,MATCH($C14,C_Päästölaskenta!$A:$A,0)))</f>
        <v/>
      </c>
      <c r="M14" s="552" t="str">
        <f>IF($F14="","",INDEX(C_Päästölaskenta!BN:BN,MATCH($C14,C_Päästölaskenta!$A:$A,0)))</f>
        <v/>
      </c>
      <c r="N14" s="613" t="str">
        <f>IF($F14="","",INDEX(C_Päästölaskenta!BO:BO,MATCH($C14,C_Päästölaskenta!$A:$A,0)))</f>
        <v/>
      </c>
      <c r="O14" s="609" t="str">
        <f>IF($F14="","",INDEX(C_Päästölaskenta!BP:BP,MATCH($C14,C_Päästölaskenta!$A:$A,0)))</f>
        <v/>
      </c>
      <c r="P14" s="552" t="str">
        <f>IF($F14="","",INDEX(C_Päästölaskenta!BQ:BQ,MATCH($C14,C_Päästölaskenta!$A:$A,0)))</f>
        <v/>
      </c>
      <c r="Q14" s="755" t="str">
        <f>IF($F14="","",INDEX(C_Päästölaskenta!BR:BR,MATCH($C14,C_Päästölaskenta!$A:$A,0)))</f>
        <v/>
      </c>
      <c r="R14" s="552" t="str">
        <f>IF($F14="","",INDEX(C_Päästölaskenta!BS:BS,MATCH($C14,C_Päästölaskenta!$A:$A,0)))</f>
        <v/>
      </c>
      <c r="S14" s="552" t="str">
        <f>IF($F14="","",INDEX(C_Päästölaskenta!BT:BT,MATCH($C14,C_Päästölaskenta!$A:$A,0)))</f>
        <v/>
      </c>
      <c r="T14" s="755" t="str">
        <f>IF($F14="","",INDEX(C_Päästölaskenta!BU:BU,MATCH($C14,C_Päästölaskenta!$A:$A,0)))</f>
        <v/>
      </c>
      <c r="U14" s="552" t="str">
        <f>IF($F14="","",INDEX(C_Päästölaskenta!BV:BV,MATCH($C14,C_Päästölaskenta!$A:$A,0)))</f>
        <v/>
      </c>
      <c r="V14" s="552" t="str">
        <f>IF($F14="","",INDEX(C_Päästölaskenta!BW:BW,MATCH($C14,C_Päästölaskenta!$A:$A,0)))</f>
        <v/>
      </c>
      <c r="W14" s="553" t="str">
        <f>IF($F14="","",INDEX(C_Päästölaskenta!BX:BX,MATCH($C14,C_Päästölaskenta!$A:$A,0)))</f>
        <v/>
      </c>
      <c r="X14" s="552" t="str">
        <f>IF($F14="","",INDEX(C_Päästölaskenta!BY:BY,MATCH($C14,C_Päästölaskenta!$A:$A,0)))</f>
        <v/>
      </c>
      <c r="Y14" s="553" t="str">
        <f>IF($F14="","",INDEX(C_Päästölaskenta!BZ:BZ,MATCH($C14,C_Päästölaskenta!$A:$A,0)))</f>
        <v/>
      </c>
      <c r="Z14" s="551" t="str">
        <f>IF($F14="","",INDEX(C_Päästölaskenta!CA:CA,MATCH($C14,C_Päästölaskenta!$A:$A,0)))</f>
        <v/>
      </c>
      <c r="AA14" s="551" t="str">
        <f>IF($F14="","",INDEX(C_Päästölaskenta!CB:CB,MATCH($C14,C_Päästölaskenta!$A:$A,0)))</f>
        <v/>
      </c>
      <c r="AB14" s="551" t="str">
        <f>IF($F14="","",INDEX(C_Päästölaskenta!CC:CC,MATCH($C14,C_Päästölaskenta!$A:$A,0)))</f>
        <v/>
      </c>
      <c r="AC14" s="551" t="str">
        <f>IF($F14="","",INDEX(C_Päästölaskenta!CD:CD,MATCH($C14,C_Päästölaskenta!$A:$A,0)))</f>
        <v/>
      </c>
      <c r="AD14" s="551" t="str">
        <f>IF($F14="","",INDEX(C_Päästölaskenta!CE:CE,MATCH($C14,C_Päästölaskenta!$A:$A,0)))</f>
        <v/>
      </c>
      <c r="AE14" s="554" t="str">
        <f>IF($F14="","",INDEX(C_Päästölaskenta!BK:BK,MATCH($C14,C_Päästölaskenta!$A:$A,0)+3))</f>
        <v/>
      </c>
      <c r="AF14" s="554" t="str">
        <f>IF($F14="","",INDEX(C_Päästölaskenta!BL:BL,MATCH($C14,C_Päästölaskenta!$A:$A,0)+3))</f>
        <v/>
      </c>
      <c r="AG14" s="554" t="str">
        <f>IF($F14="","",INDEX(C_Päästölaskenta!BM:BM,MATCH($C14,C_Päästölaskenta!$A:$A,0)+3))</f>
        <v/>
      </c>
      <c r="AJ14" s="305" t="str">
        <f>IF($F14="","",INDEX('B_Polttoainevirtojen tiedot'!$E$67:$E$91,MATCH($F14,CNTR_SourceStreamNames,0)))</f>
        <v/>
      </c>
      <c r="AK14" s="305" t="str">
        <f>IF($F14="","",INDEX('B_Polttoainevirtojen tiedot'!$I$67:$I$91,MATCH($F14,CNTR_SourceStreamNames,0)))</f>
        <v/>
      </c>
      <c r="AL14" s="305" t="str">
        <f>IF($F14="","",IF(INDEX('B_Polttoainevirtojen tiedot'!$L$67:$L$91,MATCH($F14,CNTR_SourceStreamNames,0))="","",INDEX('B_Polttoainevirtojen tiedot'!$L$67:$L$91,MATCH($F14,CNTR_SourceStreamNames,0))))</f>
        <v/>
      </c>
    </row>
    <row r="15" spans="1:40" x14ac:dyDescent="0.25">
      <c r="C15" s="555">
        <f t="shared" ref="C15:C32" si="2">C14+1</f>
        <v>3</v>
      </c>
      <c r="D15" s="555" t="str">
        <f t="shared" si="1"/>
        <v/>
      </c>
      <c r="E15" s="613" t="str">
        <f t="shared" si="0"/>
        <v/>
      </c>
      <c r="F15" s="283" t="str">
        <f>IF(INDEX(C_Päästölaskenta!BI:BI,MATCH($C15,C_Päästölaskenta!$A:$A,0))="","",INDEX(C_Päästölaskenta!BI:BI,MATCH($C15,C_Päästölaskenta!$A:$A,0)))</f>
        <v/>
      </c>
      <c r="G15" s="283" t="str">
        <f>IF(F15="","",INDEX(C_Päästölaskenta!K:K,MATCH($C15,C_Päästölaskenta!$A:$A,0)))</f>
        <v/>
      </c>
      <c r="H15" s="283" t="str">
        <f>IF(F15="","",INDEX(C_Päästölaskenta!K:K,MATCH($C15,C_Päästölaskenta!$A:$A,0)+1))</f>
        <v/>
      </c>
      <c r="I15" s="552" t="str">
        <f>IF($F15="","",INDEX(C_Päästölaskenta!BJ:BJ,MATCH($C15,C_Päästölaskenta!$A:$A,0)))</f>
        <v/>
      </c>
      <c r="J15" s="551" t="str">
        <f>IF($F15="","",INDEX(C_Päästölaskenta!BK:BK,MATCH($C15,C_Päästölaskenta!$A:$A,0)))</f>
        <v/>
      </c>
      <c r="K15" s="551" t="str">
        <f>IF($F15="","",SUM(J15)-INDEX(C_Päästölaskenta!BL:BL,MATCH($C15,C_Päästölaskenta!$A:$A,0)))</f>
        <v/>
      </c>
      <c r="L15" s="552" t="str">
        <f>IF($F15="","",INDEX(C_Päästölaskenta!BM:BM,MATCH($C15,C_Päästölaskenta!$A:$A,0)))</f>
        <v/>
      </c>
      <c r="M15" s="552" t="str">
        <f>IF($F15="","",INDEX(C_Päästölaskenta!BN:BN,MATCH($C15,C_Päästölaskenta!$A:$A,0)))</f>
        <v/>
      </c>
      <c r="N15" s="613" t="str">
        <f>IF($F15="","",INDEX(C_Päästölaskenta!BO:BO,MATCH($C15,C_Päästölaskenta!$A:$A,0)))</f>
        <v/>
      </c>
      <c r="O15" s="609" t="str">
        <f>IF($F15="","",INDEX(C_Päästölaskenta!BP:BP,MATCH($C15,C_Päästölaskenta!$A:$A,0)))</f>
        <v/>
      </c>
      <c r="P15" s="552" t="str">
        <f>IF($F15="","",INDEX(C_Päästölaskenta!BQ:BQ,MATCH($C15,C_Päästölaskenta!$A:$A,0)))</f>
        <v/>
      </c>
      <c r="Q15" s="755" t="str">
        <f>IF($F15="","",INDEX(C_Päästölaskenta!BR:BR,MATCH($C15,C_Päästölaskenta!$A:$A,0)))</f>
        <v/>
      </c>
      <c r="R15" s="552" t="str">
        <f>IF($F15="","",INDEX(C_Päästölaskenta!BS:BS,MATCH($C15,C_Päästölaskenta!$A:$A,0)))</f>
        <v/>
      </c>
      <c r="S15" s="552" t="str">
        <f>IF($F15="","",INDEX(C_Päästölaskenta!BT:BT,MATCH($C15,C_Päästölaskenta!$A:$A,0)))</f>
        <v/>
      </c>
      <c r="T15" s="755" t="str">
        <f>IF($F15="","",INDEX(C_Päästölaskenta!BU:BU,MATCH($C15,C_Päästölaskenta!$A:$A,0)))</f>
        <v/>
      </c>
      <c r="U15" s="552" t="str">
        <f>IF($F15="","",INDEX(C_Päästölaskenta!BV:BV,MATCH($C15,C_Päästölaskenta!$A:$A,0)))</f>
        <v/>
      </c>
      <c r="V15" s="552" t="str">
        <f>IF($F15="","",INDEX(C_Päästölaskenta!BW:BW,MATCH($C15,C_Päästölaskenta!$A:$A,0)))</f>
        <v/>
      </c>
      <c r="W15" s="553" t="str">
        <f>IF($F15="","",INDEX(C_Päästölaskenta!BX:BX,MATCH($C15,C_Päästölaskenta!$A:$A,0)))</f>
        <v/>
      </c>
      <c r="X15" s="552" t="str">
        <f>IF($F15="","",INDEX(C_Päästölaskenta!BY:BY,MATCH($C15,C_Päästölaskenta!$A:$A,0)))</f>
        <v/>
      </c>
      <c r="Y15" s="553" t="str">
        <f>IF($F15="","",INDEX(C_Päästölaskenta!BZ:BZ,MATCH($C15,C_Päästölaskenta!$A:$A,0)))</f>
        <v/>
      </c>
      <c r="Z15" s="551" t="str">
        <f>IF($F15="","",INDEX(C_Päästölaskenta!CA:CA,MATCH($C15,C_Päästölaskenta!$A:$A,0)))</f>
        <v/>
      </c>
      <c r="AA15" s="551" t="str">
        <f>IF($F15="","",INDEX(C_Päästölaskenta!CB:CB,MATCH($C15,C_Päästölaskenta!$A:$A,0)))</f>
        <v/>
      </c>
      <c r="AB15" s="551" t="str">
        <f>IF($F15="","",INDEX(C_Päästölaskenta!CC:CC,MATCH($C15,C_Päästölaskenta!$A:$A,0)))</f>
        <v/>
      </c>
      <c r="AC15" s="551" t="str">
        <f>IF($F15="","",INDEX(C_Päästölaskenta!CD:CD,MATCH($C15,C_Päästölaskenta!$A:$A,0)))</f>
        <v/>
      </c>
      <c r="AD15" s="551" t="str">
        <f>IF($F15="","",INDEX(C_Päästölaskenta!CE:CE,MATCH($C15,C_Päästölaskenta!$A:$A,0)))</f>
        <v/>
      </c>
      <c r="AE15" s="554" t="str">
        <f>IF($F15="","",INDEX(C_Päästölaskenta!BK:BK,MATCH($C15,C_Päästölaskenta!$A:$A,0)+3))</f>
        <v/>
      </c>
      <c r="AF15" s="554" t="str">
        <f>IF($F15="","",INDEX(C_Päästölaskenta!BL:BL,MATCH($C15,C_Päästölaskenta!$A:$A,0)+3))</f>
        <v/>
      </c>
      <c r="AG15" s="554" t="str">
        <f>IF($F15="","",INDEX(C_Päästölaskenta!BM:BM,MATCH($C15,C_Päästölaskenta!$A:$A,0)+3))</f>
        <v/>
      </c>
      <c r="AJ15" s="305" t="str">
        <f>IF($F15="","",INDEX('B_Polttoainevirtojen tiedot'!$E$67:$E$91,MATCH($F15,CNTR_SourceStreamNames,0)))</f>
        <v/>
      </c>
      <c r="AK15" s="305" t="str">
        <f>IF($F15="","",INDEX('B_Polttoainevirtojen tiedot'!$I$67:$I$91,MATCH($F15,CNTR_SourceStreamNames,0)))</f>
        <v/>
      </c>
      <c r="AL15" s="305" t="str">
        <f>IF($F15="","",IF(INDEX('B_Polttoainevirtojen tiedot'!$L$67:$L$91,MATCH($F15,CNTR_SourceStreamNames,0))="","",INDEX('B_Polttoainevirtojen tiedot'!$L$67:$L$91,MATCH($F15,CNTR_SourceStreamNames,0))))</f>
        <v/>
      </c>
    </row>
    <row r="16" spans="1:40" x14ac:dyDescent="0.25">
      <c r="C16" s="555">
        <f t="shared" si="2"/>
        <v>4</v>
      </c>
      <c r="D16" s="555" t="str">
        <f t="shared" si="1"/>
        <v/>
      </c>
      <c r="E16" s="613" t="str">
        <f t="shared" si="0"/>
        <v/>
      </c>
      <c r="F16" s="283" t="str">
        <f>IF(INDEX(C_Päästölaskenta!BI:BI,MATCH($C16,C_Päästölaskenta!$A:$A,0))="","",INDEX(C_Päästölaskenta!BI:BI,MATCH($C16,C_Päästölaskenta!$A:$A,0)))</f>
        <v/>
      </c>
      <c r="G16" s="283" t="str">
        <f>IF(F16="","",INDEX(C_Päästölaskenta!K:K,MATCH($C16,C_Päästölaskenta!$A:$A,0)))</f>
        <v/>
      </c>
      <c r="H16" s="283" t="str">
        <f>IF(F16="","",INDEX(C_Päästölaskenta!K:K,MATCH($C16,C_Päästölaskenta!$A:$A,0)+1))</f>
        <v/>
      </c>
      <c r="I16" s="552" t="str">
        <f>IF($F16="","",INDEX(C_Päästölaskenta!BJ:BJ,MATCH($C16,C_Päästölaskenta!$A:$A,0)))</f>
        <v/>
      </c>
      <c r="J16" s="551" t="str">
        <f>IF($F16="","",INDEX(C_Päästölaskenta!BK:BK,MATCH($C16,C_Päästölaskenta!$A:$A,0)))</f>
        <v/>
      </c>
      <c r="K16" s="551" t="str">
        <f>IF($F16="","",SUM(J16)-INDEX(C_Päästölaskenta!BL:BL,MATCH($C16,C_Päästölaskenta!$A:$A,0)))</f>
        <v/>
      </c>
      <c r="L16" s="552" t="str">
        <f>IF($F16="","",INDEX(C_Päästölaskenta!BM:BM,MATCH($C16,C_Päästölaskenta!$A:$A,0)))</f>
        <v/>
      </c>
      <c r="M16" s="552" t="str">
        <f>IF($F16="","",INDEX(C_Päästölaskenta!BN:BN,MATCH($C16,C_Päästölaskenta!$A:$A,0)))</f>
        <v/>
      </c>
      <c r="N16" s="613" t="str">
        <f>IF($F16="","",INDEX(C_Päästölaskenta!BO:BO,MATCH($C16,C_Päästölaskenta!$A:$A,0)))</f>
        <v/>
      </c>
      <c r="O16" s="609" t="str">
        <f>IF($F16="","",INDEX(C_Päästölaskenta!BP:BP,MATCH($C16,C_Päästölaskenta!$A:$A,0)))</f>
        <v/>
      </c>
      <c r="P16" s="552" t="str">
        <f>IF($F16="","",INDEX(C_Päästölaskenta!BQ:BQ,MATCH($C16,C_Päästölaskenta!$A:$A,0)))</f>
        <v/>
      </c>
      <c r="Q16" s="755" t="str">
        <f>IF($F16="","",INDEX(C_Päästölaskenta!BR:BR,MATCH($C16,C_Päästölaskenta!$A:$A,0)))</f>
        <v/>
      </c>
      <c r="R16" s="552" t="str">
        <f>IF($F16="","",INDEX(C_Päästölaskenta!BS:BS,MATCH($C16,C_Päästölaskenta!$A:$A,0)))</f>
        <v/>
      </c>
      <c r="S16" s="552" t="str">
        <f>IF($F16="","",INDEX(C_Päästölaskenta!BT:BT,MATCH($C16,C_Päästölaskenta!$A:$A,0)))</f>
        <v/>
      </c>
      <c r="T16" s="755" t="str">
        <f>IF($F16="","",INDEX(C_Päästölaskenta!BU:BU,MATCH($C16,C_Päästölaskenta!$A:$A,0)))</f>
        <v/>
      </c>
      <c r="U16" s="552" t="str">
        <f>IF($F16="","",INDEX(C_Päästölaskenta!BV:BV,MATCH($C16,C_Päästölaskenta!$A:$A,0)))</f>
        <v/>
      </c>
      <c r="V16" s="552" t="str">
        <f>IF($F16="","",INDEX(C_Päästölaskenta!BW:BW,MATCH($C16,C_Päästölaskenta!$A:$A,0)))</f>
        <v/>
      </c>
      <c r="W16" s="553" t="str">
        <f>IF($F16="","",INDEX(C_Päästölaskenta!BX:BX,MATCH($C16,C_Päästölaskenta!$A:$A,0)))</f>
        <v/>
      </c>
      <c r="X16" s="552" t="str">
        <f>IF($F16="","",INDEX(C_Päästölaskenta!BY:BY,MATCH($C16,C_Päästölaskenta!$A:$A,0)))</f>
        <v/>
      </c>
      <c r="Y16" s="553" t="str">
        <f>IF($F16="","",INDEX(C_Päästölaskenta!BZ:BZ,MATCH($C16,C_Päästölaskenta!$A:$A,0)))</f>
        <v/>
      </c>
      <c r="Z16" s="551" t="str">
        <f>IF($F16="","",INDEX(C_Päästölaskenta!CA:CA,MATCH($C16,C_Päästölaskenta!$A:$A,0)))</f>
        <v/>
      </c>
      <c r="AA16" s="551" t="str">
        <f>IF($F16="","",INDEX(C_Päästölaskenta!CB:CB,MATCH($C16,C_Päästölaskenta!$A:$A,0)))</f>
        <v/>
      </c>
      <c r="AB16" s="551" t="str">
        <f>IF($F16="","",INDEX(C_Päästölaskenta!CC:CC,MATCH($C16,C_Päästölaskenta!$A:$A,0)))</f>
        <v/>
      </c>
      <c r="AC16" s="551" t="str">
        <f>IF($F16="","",INDEX(C_Päästölaskenta!CD:CD,MATCH($C16,C_Päästölaskenta!$A:$A,0)))</f>
        <v/>
      </c>
      <c r="AD16" s="551" t="str">
        <f>IF($F16="","",INDEX(C_Päästölaskenta!CE:CE,MATCH($C16,C_Päästölaskenta!$A:$A,0)))</f>
        <v/>
      </c>
      <c r="AE16" s="554" t="str">
        <f>IF($F16="","",INDEX(C_Päästölaskenta!BK:BK,MATCH($C16,C_Päästölaskenta!$A:$A,0)+3))</f>
        <v/>
      </c>
      <c r="AF16" s="554" t="str">
        <f>IF($F16="","",INDEX(C_Päästölaskenta!BL:BL,MATCH($C16,C_Päästölaskenta!$A:$A,0)+3))</f>
        <v/>
      </c>
      <c r="AG16" s="554" t="str">
        <f>IF($F16="","",INDEX(C_Päästölaskenta!BM:BM,MATCH($C16,C_Päästölaskenta!$A:$A,0)+3))</f>
        <v/>
      </c>
      <c r="AJ16" s="305" t="str">
        <f>IF($F16="","",INDEX('B_Polttoainevirtojen tiedot'!$E$67:$E$91,MATCH($F16,CNTR_SourceStreamNames,0)))</f>
        <v/>
      </c>
      <c r="AK16" s="305" t="str">
        <f>IF($F16="","",INDEX('B_Polttoainevirtojen tiedot'!$I$67:$I$91,MATCH($F16,CNTR_SourceStreamNames,0)))</f>
        <v/>
      </c>
      <c r="AL16" s="305" t="str">
        <f>IF($F16="","",IF(INDEX('B_Polttoainevirtojen tiedot'!$L$67:$L$91,MATCH($F16,CNTR_SourceStreamNames,0))="","",INDEX('B_Polttoainevirtojen tiedot'!$L$67:$L$91,MATCH($F16,CNTR_SourceStreamNames,0))))</f>
        <v/>
      </c>
    </row>
    <row r="17" spans="3:38" x14ac:dyDescent="0.25">
      <c r="C17" s="555">
        <f t="shared" si="2"/>
        <v>5</v>
      </c>
      <c r="D17" s="555" t="str">
        <f t="shared" si="1"/>
        <v/>
      </c>
      <c r="E17" s="613" t="str">
        <f t="shared" si="0"/>
        <v/>
      </c>
      <c r="F17" s="283" t="str">
        <f>IF(INDEX(C_Päästölaskenta!BI:BI,MATCH($C17,C_Päästölaskenta!$A:$A,0))="","",INDEX(C_Päästölaskenta!BI:BI,MATCH($C17,C_Päästölaskenta!$A:$A,0)))</f>
        <v/>
      </c>
      <c r="G17" s="283" t="str">
        <f>IF(F17="","",INDEX(C_Päästölaskenta!K:K,MATCH($C17,C_Päästölaskenta!$A:$A,0)))</f>
        <v/>
      </c>
      <c r="H17" s="283" t="str">
        <f>IF(F17="","",INDEX(C_Päästölaskenta!K:K,MATCH($C17,C_Päästölaskenta!$A:$A,0)+1))</f>
        <v/>
      </c>
      <c r="I17" s="552" t="str">
        <f>IF($F17="","",INDEX(C_Päästölaskenta!BJ:BJ,MATCH($C17,C_Päästölaskenta!$A:$A,0)))</f>
        <v/>
      </c>
      <c r="J17" s="551" t="str">
        <f>IF($F17="","",INDEX(C_Päästölaskenta!BK:BK,MATCH($C17,C_Päästölaskenta!$A:$A,0)))</f>
        <v/>
      </c>
      <c r="K17" s="551" t="str">
        <f>IF($F17="","",SUM(J17)-INDEX(C_Päästölaskenta!BL:BL,MATCH($C17,C_Päästölaskenta!$A:$A,0)))</f>
        <v/>
      </c>
      <c r="L17" s="552" t="str">
        <f>IF($F17="","",INDEX(C_Päästölaskenta!BM:BM,MATCH($C17,C_Päästölaskenta!$A:$A,0)))</f>
        <v/>
      </c>
      <c r="M17" s="552" t="str">
        <f>IF($F17="","",INDEX(C_Päästölaskenta!BN:BN,MATCH($C17,C_Päästölaskenta!$A:$A,0)))</f>
        <v/>
      </c>
      <c r="N17" s="613" t="str">
        <f>IF($F17="","",INDEX(C_Päästölaskenta!BO:BO,MATCH($C17,C_Päästölaskenta!$A:$A,0)))</f>
        <v/>
      </c>
      <c r="O17" s="609" t="str">
        <f>IF($F17="","",INDEX(C_Päästölaskenta!BP:BP,MATCH($C17,C_Päästölaskenta!$A:$A,0)))</f>
        <v/>
      </c>
      <c r="P17" s="552" t="str">
        <f>IF($F17="","",INDEX(C_Päästölaskenta!BQ:BQ,MATCH($C17,C_Päästölaskenta!$A:$A,0)))</f>
        <v/>
      </c>
      <c r="Q17" s="755" t="str">
        <f>IF($F17="","",INDEX(C_Päästölaskenta!BR:BR,MATCH($C17,C_Päästölaskenta!$A:$A,0)))</f>
        <v/>
      </c>
      <c r="R17" s="552" t="str">
        <f>IF($F17="","",INDEX(C_Päästölaskenta!BS:BS,MATCH($C17,C_Päästölaskenta!$A:$A,0)))</f>
        <v/>
      </c>
      <c r="S17" s="552" t="str">
        <f>IF($F17="","",INDEX(C_Päästölaskenta!BT:BT,MATCH($C17,C_Päästölaskenta!$A:$A,0)))</f>
        <v/>
      </c>
      <c r="T17" s="755" t="str">
        <f>IF($F17="","",INDEX(C_Päästölaskenta!BU:BU,MATCH($C17,C_Päästölaskenta!$A:$A,0)))</f>
        <v/>
      </c>
      <c r="U17" s="552" t="str">
        <f>IF($F17="","",INDEX(C_Päästölaskenta!BV:BV,MATCH($C17,C_Päästölaskenta!$A:$A,0)))</f>
        <v/>
      </c>
      <c r="V17" s="552" t="str">
        <f>IF($F17="","",INDEX(C_Päästölaskenta!BW:BW,MATCH($C17,C_Päästölaskenta!$A:$A,0)))</f>
        <v/>
      </c>
      <c r="W17" s="553" t="str">
        <f>IF($F17="","",INDEX(C_Päästölaskenta!BX:BX,MATCH($C17,C_Päästölaskenta!$A:$A,0)))</f>
        <v/>
      </c>
      <c r="X17" s="552" t="str">
        <f>IF($F17="","",INDEX(C_Päästölaskenta!BY:BY,MATCH($C17,C_Päästölaskenta!$A:$A,0)))</f>
        <v/>
      </c>
      <c r="Y17" s="553" t="str">
        <f>IF($F17="","",INDEX(C_Päästölaskenta!BZ:BZ,MATCH($C17,C_Päästölaskenta!$A:$A,0)))</f>
        <v/>
      </c>
      <c r="Z17" s="551" t="str">
        <f>IF($F17="","",INDEX(C_Päästölaskenta!CA:CA,MATCH($C17,C_Päästölaskenta!$A:$A,0)))</f>
        <v/>
      </c>
      <c r="AA17" s="551" t="str">
        <f>IF($F17="","",INDEX(C_Päästölaskenta!CB:CB,MATCH($C17,C_Päästölaskenta!$A:$A,0)))</f>
        <v/>
      </c>
      <c r="AB17" s="551" t="str">
        <f>IF($F17="","",INDEX(C_Päästölaskenta!CC:CC,MATCH($C17,C_Päästölaskenta!$A:$A,0)))</f>
        <v/>
      </c>
      <c r="AC17" s="551" t="str">
        <f>IF($F17="","",INDEX(C_Päästölaskenta!CD:CD,MATCH($C17,C_Päästölaskenta!$A:$A,0)))</f>
        <v/>
      </c>
      <c r="AD17" s="551" t="str">
        <f>IF($F17="","",INDEX(C_Päästölaskenta!CE:CE,MATCH($C17,C_Päästölaskenta!$A:$A,0)))</f>
        <v/>
      </c>
      <c r="AE17" s="554" t="str">
        <f>IF($F17="","",INDEX(C_Päästölaskenta!BK:BK,MATCH($C17,C_Päästölaskenta!$A:$A,0)+3))</f>
        <v/>
      </c>
      <c r="AF17" s="554" t="str">
        <f>IF($F17="","",INDEX(C_Päästölaskenta!BL:BL,MATCH($C17,C_Päästölaskenta!$A:$A,0)+3))</f>
        <v/>
      </c>
      <c r="AG17" s="554" t="str">
        <f>IF($F17="","",INDEX(C_Päästölaskenta!BM:BM,MATCH($C17,C_Päästölaskenta!$A:$A,0)+3))</f>
        <v/>
      </c>
      <c r="AJ17" s="305" t="str">
        <f>IF($F17="","",INDEX('B_Polttoainevirtojen tiedot'!$E$67:$E$91,MATCH($F17,CNTR_SourceStreamNames,0)))</f>
        <v/>
      </c>
      <c r="AK17" s="305" t="str">
        <f>IF($F17="","",INDEX('B_Polttoainevirtojen tiedot'!$I$67:$I$91,MATCH($F17,CNTR_SourceStreamNames,0)))</f>
        <v/>
      </c>
      <c r="AL17" s="305" t="str">
        <f>IF($F17="","",IF(INDEX('B_Polttoainevirtojen tiedot'!$L$67:$L$91,MATCH($F17,CNTR_SourceStreamNames,0))="","",INDEX('B_Polttoainevirtojen tiedot'!$L$67:$L$91,MATCH($F17,CNTR_SourceStreamNames,0))))</f>
        <v/>
      </c>
    </row>
    <row r="18" spans="3:38" x14ac:dyDescent="0.25">
      <c r="C18" s="555">
        <f t="shared" si="2"/>
        <v>6</v>
      </c>
      <c r="D18" s="555" t="str">
        <f t="shared" si="1"/>
        <v/>
      </c>
      <c r="E18" s="613" t="str">
        <f t="shared" si="0"/>
        <v/>
      </c>
      <c r="F18" s="283" t="str">
        <f>IF(INDEX(C_Päästölaskenta!BI:BI,MATCH($C18,C_Päästölaskenta!$A:$A,0))="","",INDEX(C_Päästölaskenta!BI:BI,MATCH($C18,C_Päästölaskenta!$A:$A,0)))</f>
        <v/>
      </c>
      <c r="G18" s="283" t="str">
        <f>IF(F18="","",INDEX(C_Päästölaskenta!K:K,MATCH($C18,C_Päästölaskenta!$A:$A,0)))</f>
        <v/>
      </c>
      <c r="H18" s="283" t="str">
        <f>IF(F18="","",INDEX(C_Päästölaskenta!K:K,MATCH($C18,C_Päästölaskenta!$A:$A,0)+1))</f>
        <v/>
      </c>
      <c r="I18" s="552" t="str">
        <f>IF($F18="","",INDEX(C_Päästölaskenta!BJ:BJ,MATCH($C18,C_Päästölaskenta!$A:$A,0)))</f>
        <v/>
      </c>
      <c r="J18" s="551" t="str">
        <f>IF($F18="","",INDEX(C_Päästölaskenta!BK:BK,MATCH($C18,C_Päästölaskenta!$A:$A,0)))</f>
        <v/>
      </c>
      <c r="K18" s="551" t="str">
        <f>IF($F18="","",SUM(J18)-INDEX(C_Päästölaskenta!BL:BL,MATCH($C18,C_Päästölaskenta!$A:$A,0)))</f>
        <v/>
      </c>
      <c r="L18" s="552" t="str">
        <f>IF($F18="","",INDEX(C_Päästölaskenta!BM:BM,MATCH($C18,C_Päästölaskenta!$A:$A,0)))</f>
        <v/>
      </c>
      <c r="M18" s="552" t="str">
        <f>IF($F18="","",INDEX(C_Päästölaskenta!BN:BN,MATCH($C18,C_Päästölaskenta!$A:$A,0)))</f>
        <v/>
      </c>
      <c r="N18" s="613" t="str">
        <f>IF($F18="","",INDEX(C_Päästölaskenta!BO:BO,MATCH($C18,C_Päästölaskenta!$A:$A,0)))</f>
        <v/>
      </c>
      <c r="O18" s="609" t="str">
        <f>IF($F18="","",INDEX(C_Päästölaskenta!BP:BP,MATCH($C18,C_Päästölaskenta!$A:$A,0)))</f>
        <v/>
      </c>
      <c r="P18" s="552" t="str">
        <f>IF($F18="","",INDEX(C_Päästölaskenta!BQ:BQ,MATCH($C18,C_Päästölaskenta!$A:$A,0)))</f>
        <v/>
      </c>
      <c r="Q18" s="755" t="str">
        <f>IF($F18="","",INDEX(C_Päästölaskenta!BR:BR,MATCH($C18,C_Päästölaskenta!$A:$A,0)))</f>
        <v/>
      </c>
      <c r="R18" s="552" t="str">
        <f>IF($F18="","",INDEX(C_Päästölaskenta!BS:BS,MATCH($C18,C_Päästölaskenta!$A:$A,0)))</f>
        <v/>
      </c>
      <c r="S18" s="552" t="str">
        <f>IF($F18="","",INDEX(C_Päästölaskenta!BT:BT,MATCH($C18,C_Päästölaskenta!$A:$A,0)))</f>
        <v/>
      </c>
      <c r="T18" s="755" t="str">
        <f>IF($F18="","",INDEX(C_Päästölaskenta!BU:BU,MATCH($C18,C_Päästölaskenta!$A:$A,0)))</f>
        <v/>
      </c>
      <c r="U18" s="552" t="str">
        <f>IF($F18="","",INDEX(C_Päästölaskenta!BV:BV,MATCH($C18,C_Päästölaskenta!$A:$A,0)))</f>
        <v/>
      </c>
      <c r="V18" s="552" t="str">
        <f>IF($F18="","",INDEX(C_Päästölaskenta!BW:BW,MATCH($C18,C_Päästölaskenta!$A:$A,0)))</f>
        <v/>
      </c>
      <c r="W18" s="553" t="str">
        <f>IF($F18="","",INDEX(C_Päästölaskenta!BX:BX,MATCH($C18,C_Päästölaskenta!$A:$A,0)))</f>
        <v/>
      </c>
      <c r="X18" s="552" t="str">
        <f>IF($F18="","",INDEX(C_Päästölaskenta!BY:BY,MATCH($C18,C_Päästölaskenta!$A:$A,0)))</f>
        <v/>
      </c>
      <c r="Y18" s="553" t="str">
        <f>IF($F18="","",INDEX(C_Päästölaskenta!BZ:BZ,MATCH($C18,C_Päästölaskenta!$A:$A,0)))</f>
        <v/>
      </c>
      <c r="Z18" s="551" t="str">
        <f>IF($F18="","",INDEX(C_Päästölaskenta!CA:CA,MATCH($C18,C_Päästölaskenta!$A:$A,0)))</f>
        <v/>
      </c>
      <c r="AA18" s="551" t="str">
        <f>IF($F18="","",INDEX(C_Päästölaskenta!CB:CB,MATCH($C18,C_Päästölaskenta!$A:$A,0)))</f>
        <v/>
      </c>
      <c r="AB18" s="551" t="str">
        <f>IF($F18="","",INDEX(C_Päästölaskenta!CC:CC,MATCH($C18,C_Päästölaskenta!$A:$A,0)))</f>
        <v/>
      </c>
      <c r="AC18" s="551" t="str">
        <f>IF($F18="","",INDEX(C_Päästölaskenta!CD:CD,MATCH($C18,C_Päästölaskenta!$A:$A,0)))</f>
        <v/>
      </c>
      <c r="AD18" s="551" t="str">
        <f>IF($F18="","",INDEX(C_Päästölaskenta!CE:CE,MATCH($C18,C_Päästölaskenta!$A:$A,0)))</f>
        <v/>
      </c>
      <c r="AE18" s="554" t="str">
        <f>IF($F18="","",INDEX(C_Päästölaskenta!BK:BK,MATCH($C18,C_Päästölaskenta!$A:$A,0)+3))</f>
        <v/>
      </c>
      <c r="AF18" s="554" t="str">
        <f>IF($F18="","",INDEX(C_Päästölaskenta!BL:BL,MATCH($C18,C_Päästölaskenta!$A:$A,0)+3))</f>
        <v/>
      </c>
      <c r="AG18" s="554" t="str">
        <f>IF($F18="","",INDEX(C_Päästölaskenta!BM:BM,MATCH($C18,C_Päästölaskenta!$A:$A,0)+3))</f>
        <v/>
      </c>
      <c r="AJ18" s="305" t="str">
        <f>IF($F18="","",INDEX('B_Polttoainevirtojen tiedot'!$E$67:$E$91,MATCH($F18,CNTR_SourceStreamNames,0)))</f>
        <v/>
      </c>
      <c r="AK18" s="305" t="str">
        <f>IF($F18="","",INDEX('B_Polttoainevirtojen tiedot'!$I$67:$I$91,MATCH($F18,CNTR_SourceStreamNames,0)))</f>
        <v/>
      </c>
      <c r="AL18" s="305" t="str">
        <f>IF($F18="","",IF(INDEX('B_Polttoainevirtojen tiedot'!$L$67:$L$91,MATCH($F18,CNTR_SourceStreamNames,0))="","",INDEX('B_Polttoainevirtojen tiedot'!$L$67:$L$91,MATCH($F18,CNTR_SourceStreamNames,0))))</f>
        <v/>
      </c>
    </row>
    <row r="19" spans="3:38" x14ac:dyDescent="0.25">
      <c r="C19" s="555">
        <f t="shared" si="2"/>
        <v>7</v>
      </c>
      <c r="D19" s="555" t="str">
        <f t="shared" si="1"/>
        <v/>
      </c>
      <c r="E19" s="613" t="str">
        <f t="shared" si="0"/>
        <v/>
      </c>
      <c r="F19" s="283" t="str">
        <f>IF(INDEX(C_Päästölaskenta!BI:BI,MATCH($C19,C_Päästölaskenta!$A:$A,0))="","",INDEX(C_Päästölaskenta!BI:BI,MATCH($C19,C_Päästölaskenta!$A:$A,0)))</f>
        <v/>
      </c>
      <c r="G19" s="283" t="str">
        <f>IF(F19="","",INDEX(C_Päästölaskenta!K:K,MATCH($C19,C_Päästölaskenta!$A:$A,0)))</f>
        <v/>
      </c>
      <c r="H19" s="283" t="str">
        <f>IF(F19="","",INDEX(C_Päästölaskenta!K:K,MATCH($C19,C_Päästölaskenta!$A:$A,0)+1))</f>
        <v/>
      </c>
      <c r="I19" s="552" t="str">
        <f>IF($F19="","",INDEX(C_Päästölaskenta!BJ:BJ,MATCH($C19,C_Päästölaskenta!$A:$A,0)))</f>
        <v/>
      </c>
      <c r="J19" s="551" t="str">
        <f>IF($F19="","",INDEX(C_Päästölaskenta!BK:BK,MATCH($C19,C_Päästölaskenta!$A:$A,0)))</f>
        <v/>
      </c>
      <c r="K19" s="551" t="str">
        <f>IF($F19="","",SUM(J19)-INDEX(C_Päästölaskenta!BL:BL,MATCH($C19,C_Päästölaskenta!$A:$A,0)))</f>
        <v/>
      </c>
      <c r="L19" s="552" t="str">
        <f>IF($F19="","",INDEX(C_Päästölaskenta!BM:BM,MATCH($C19,C_Päästölaskenta!$A:$A,0)))</f>
        <v/>
      </c>
      <c r="M19" s="552" t="str">
        <f>IF($F19="","",INDEX(C_Päästölaskenta!BN:BN,MATCH($C19,C_Päästölaskenta!$A:$A,0)))</f>
        <v/>
      </c>
      <c r="N19" s="613" t="str">
        <f>IF($F19="","",INDEX(C_Päästölaskenta!BO:BO,MATCH($C19,C_Päästölaskenta!$A:$A,0)))</f>
        <v/>
      </c>
      <c r="O19" s="609" t="str">
        <f>IF($F19="","",INDEX(C_Päästölaskenta!BP:BP,MATCH($C19,C_Päästölaskenta!$A:$A,0)))</f>
        <v/>
      </c>
      <c r="P19" s="552" t="str">
        <f>IF($F19="","",INDEX(C_Päästölaskenta!BQ:BQ,MATCH($C19,C_Päästölaskenta!$A:$A,0)))</f>
        <v/>
      </c>
      <c r="Q19" s="755" t="str">
        <f>IF($F19="","",INDEX(C_Päästölaskenta!BR:BR,MATCH($C19,C_Päästölaskenta!$A:$A,0)))</f>
        <v/>
      </c>
      <c r="R19" s="552" t="str">
        <f>IF($F19="","",INDEX(C_Päästölaskenta!BS:BS,MATCH($C19,C_Päästölaskenta!$A:$A,0)))</f>
        <v/>
      </c>
      <c r="S19" s="552" t="str">
        <f>IF($F19="","",INDEX(C_Päästölaskenta!BT:BT,MATCH($C19,C_Päästölaskenta!$A:$A,0)))</f>
        <v/>
      </c>
      <c r="T19" s="755" t="str">
        <f>IF($F19="","",INDEX(C_Päästölaskenta!BU:BU,MATCH($C19,C_Päästölaskenta!$A:$A,0)))</f>
        <v/>
      </c>
      <c r="U19" s="552" t="str">
        <f>IF($F19="","",INDEX(C_Päästölaskenta!BV:BV,MATCH($C19,C_Päästölaskenta!$A:$A,0)))</f>
        <v/>
      </c>
      <c r="V19" s="552" t="str">
        <f>IF($F19="","",INDEX(C_Päästölaskenta!BW:BW,MATCH($C19,C_Päästölaskenta!$A:$A,0)))</f>
        <v/>
      </c>
      <c r="W19" s="553" t="str">
        <f>IF($F19="","",INDEX(C_Päästölaskenta!BX:BX,MATCH($C19,C_Päästölaskenta!$A:$A,0)))</f>
        <v/>
      </c>
      <c r="X19" s="552" t="str">
        <f>IF($F19="","",INDEX(C_Päästölaskenta!BY:BY,MATCH($C19,C_Päästölaskenta!$A:$A,0)))</f>
        <v/>
      </c>
      <c r="Y19" s="553" t="str">
        <f>IF($F19="","",INDEX(C_Päästölaskenta!BZ:BZ,MATCH($C19,C_Päästölaskenta!$A:$A,0)))</f>
        <v/>
      </c>
      <c r="Z19" s="551" t="str">
        <f>IF($F19="","",INDEX(C_Päästölaskenta!CA:CA,MATCH($C19,C_Päästölaskenta!$A:$A,0)))</f>
        <v/>
      </c>
      <c r="AA19" s="551" t="str">
        <f>IF($F19="","",INDEX(C_Päästölaskenta!CB:CB,MATCH($C19,C_Päästölaskenta!$A:$A,0)))</f>
        <v/>
      </c>
      <c r="AB19" s="551" t="str">
        <f>IF($F19="","",INDEX(C_Päästölaskenta!CC:CC,MATCH($C19,C_Päästölaskenta!$A:$A,0)))</f>
        <v/>
      </c>
      <c r="AC19" s="551" t="str">
        <f>IF($F19="","",INDEX(C_Päästölaskenta!CD:CD,MATCH($C19,C_Päästölaskenta!$A:$A,0)))</f>
        <v/>
      </c>
      <c r="AD19" s="551" t="str">
        <f>IF($F19="","",INDEX(C_Päästölaskenta!CE:CE,MATCH($C19,C_Päästölaskenta!$A:$A,0)))</f>
        <v/>
      </c>
      <c r="AE19" s="554" t="str">
        <f>IF($F19="","",INDEX(C_Päästölaskenta!BK:BK,MATCH($C19,C_Päästölaskenta!$A:$A,0)+3))</f>
        <v/>
      </c>
      <c r="AF19" s="554" t="str">
        <f>IF($F19="","",INDEX(C_Päästölaskenta!BL:BL,MATCH($C19,C_Päästölaskenta!$A:$A,0)+3))</f>
        <v/>
      </c>
      <c r="AG19" s="554" t="str">
        <f>IF($F19="","",INDEX(C_Päästölaskenta!BM:BM,MATCH($C19,C_Päästölaskenta!$A:$A,0)+3))</f>
        <v/>
      </c>
      <c r="AJ19" s="305" t="str">
        <f>IF($F19="","",INDEX('B_Polttoainevirtojen tiedot'!$E$67:$E$91,MATCH($F19,CNTR_SourceStreamNames,0)))</f>
        <v/>
      </c>
      <c r="AK19" s="305" t="str">
        <f>IF($F19="","",INDEX('B_Polttoainevirtojen tiedot'!$I$67:$I$91,MATCH($F19,CNTR_SourceStreamNames,0)))</f>
        <v/>
      </c>
      <c r="AL19" s="305" t="str">
        <f>IF($F19="","",IF(INDEX('B_Polttoainevirtojen tiedot'!$L$67:$L$91,MATCH($F19,CNTR_SourceStreamNames,0))="","",INDEX('B_Polttoainevirtojen tiedot'!$L$67:$L$91,MATCH($F19,CNTR_SourceStreamNames,0))))</f>
        <v/>
      </c>
    </row>
    <row r="20" spans="3:38" x14ac:dyDescent="0.25">
      <c r="C20" s="555">
        <f t="shared" si="2"/>
        <v>8</v>
      </c>
      <c r="D20" s="555" t="str">
        <f t="shared" si="1"/>
        <v/>
      </c>
      <c r="E20" s="613" t="str">
        <f t="shared" si="0"/>
        <v/>
      </c>
      <c r="F20" s="283" t="str">
        <f>IF(INDEX(C_Päästölaskenta!BI:BI,MATCH($C20,C_Päästölaskenta!$A:$A,0))="","",INDEX(C_Päästölaskenta!BI:BI,MATCH($C20,C_Päästölaskenta!$A:$A,0)))</f>
        <v/>
      </c>
      <c r="G20" s="283" t="str">
        <f>IF(F20="","",INDEX(C_Päästölaskenta!K:K,MATCH($C20,C_Päästölaskenta!$A:$A,0)))</f>
        <v/>
      </c>
      <c r="H20" s="283" t="str">
        <f>IF(F20="","",INDEX(C_Päästölaskenta!K:K,MATCH($C20,C_Päästölaskenta!$A:$A,0)+1))</f>
        <v/>
      </c>
      <c r="I20" s="552" t="str">
        <f>IF($F20="","",INDEX(C_Päästölaskenta!BJ:BJ,MATCH($C20,C_Päästölaskenta!$A:$A,0)))</f>
        <v/>
      </c>
      <c r="J20" s="551" t="str">
        <f>IF($F20="","",INDEX(C_Päästölaskenta!BK:BK,MATCH($C20,C_Päästölaskenta!$A:$A,0)))</f>
        <v/>
      </c>
      <c r="K20" s="551" t="str">
        <f>IF($F20="","",SUM(J20)-INDEX(C_Päästölaskenta!BL:BL,MATCH($C20,C_Päästölaskenta!$A:$A,0)))</f>
        <v/>
      </c>
      <c r="L20" s="552" t="str">
        <f>IF($F20="","",INDEX(C_Päästölaskenta!BM:BM,MATCH($C20,C_Päästölaskenta!$A:$A,0)))</f>
        <v/>
      </c>
      <c r="M20" s="552" t="str">
        <f>IF($F20="","",INDEX(C_Päästölaskenta!BN:BN,MATCH($C20,C_Päästölaskenta!$A:$A,0)))</f>
        <v/>
      </c>
      <c r="N20" s="613" t="str">
        <f>IF($F20="","",INDEX(C_Päästölaskenta!BO:BO,MATCH($C20,C_Päästölaskenta!$A:$A,0)))</f>
        <v/>
      </c>
      <c r="O20" s="609" t="str">
        <f>IF($F20="","",INDEX(C_Päästölaskenta!BP:BP,MATCH($C20,C_Päästölaskenta!$A:$A,0)))</f>
        <v/>
      </c>
      <c r="P20" s="552" t="str">
        <f>IF($F20="","",INDEX(C_Päästölaskenta!BQ:BQ,MATCH($C20,C_Päästölaskenta!$A:$A,0)))</f>
        <v/>
      </c>
      <c r="Q20" s="755" t="str">
        <f>IF($F20="","",INDEX(C_Päästölaskenta!BR:BR,MATCH($C20,C_Päästölaskenta!$A:$A,0)))</f>
        <v/>
      </c>
      <c r="R20" s="552" t="str">
        <f>IF($F20="","",INDEX(C_Päästölaskenta!BS:BS,MATCH($C20,C_Päästölaskenta!$A:$A,0)))</f>
        <v/>
      </c>
      <c r="S20" s="552" t="str">
        <f>IF($F20="","",INDEX(C_Päästölaskenta!BT:BT,MATCH($C20,C_Päästölaskenta!$A:$A,0)))</f>
        <v/>
      </c>
      <c r="T20" s="755" t="str">
        <f>IF($F20="","",INDEX(C_Päästölaskenta!BU:BU,MATCH($C20,C_Päästölaskenta!$A:$A,0)))</f>
        <v/>
      </c>
      <c r="U20" s="552" t="str">
        <f>IF($F20="","",INDEX(C_Päästölaskenta!BV:BV,MATCH($C20,C_Päästölaskenta!$A:$A,0)))</f>
        <v/>
      </c>
      <c r="V20" s="552" t="str">
        <f>IF($F20="","",INDEX(C_Päästölaskenta!BW:BW,MATCH($C20,C_Päästölaskenta!$A:$A,0)))</f>
        <v/>
      </c>
      <c r="W20" s="553" t="str">
        <f>IF($F20="","",INDEX(C_Päästölaskenta!BX:BX,MATCH($C20,C_Päästölaskenta!$A:$A,0)))</f>
        <v/>
      </c>
      <c r="X20" s="552" t="str">
        <f>IF($F20="","",INDEX(C_Päästölaskenta!BY:BY,MATCH($C20,C_Päästölaskenta!$A:$A,0)))</f>
        <v/>
      </c>
      <c r="Y20" s="553" t="str">
        <f>IF($F20="","",INDEX(C_Päästölaskenta!BZ:BZ,MATCH($C20,C_Päästölaskenta!$A:$A,0)))</f>
        <v/>
      </c>
      <c r="Z20" s="551" t="str">
        <f>IF($F20="","",INDEX(C_Päästölaskenta!CA:CA,MATCH($C20,C_Päästölaskenta!$A:$A,0)))</f>
        <v/>
      </c>
      <c r="AA20" s="551" t="str">
        <f>IF($F20="","",INDEX(C_Päästölaskenta!CB:CB,MATCH($C20,C_Päästölaskenta!$A:$A,0)))</f>
        <v/>
      </c>
      <c r="AB20" s="551" t="str">
        <f>IF($F20="","",INDEX(C_Päästölaskenta!CC:CC,MATCH($C20,C_Päästölaskenta!$A:$A,0)))</f>
        <v/>
      </c>
      <c r="AC20" s="551" t="str">
        <f>IF($F20="","",INDEX(C_Päästölaskenta!CD:CD,MATCH($C20,C_Päästölaskenta!$A:$A,0)))</f>
        <v/>
      </c>
      <c r="AD20" s="551" t="str">
        <f>IF($F20="","",INDEX(C_Päästölaskenta!CE:CE,MATCH($C20,C_Päästölaskenta!$A:$A,0)))</f>
        <v/>
      </c>
      <c r="AE20" s="554" t="str">
        <f>IF($F20="","",INDEX(C_Päästölaskenta!BK:BK,MATCH($C20,C_Päästölaskenta!$A:$A,0)+3))</f>
        <v/>
      </c>
      <c r="AF20" s="554" t="str">
        <f>IF($F20="","",INDEX(C_Päästölaskenta!BL:BL,MATCH($C20,C_Päästölaskenta!$A:$A,0)+3))</f>
        <v/>
      </c>
      <c r="AG20" s="554" t="str">
        <f>IF($F20="","",INDEX(C_Päästölaskenta!BM:BM,MATCH($C20,C_Päästölaskenta!$A:$A,0)+3))</f>
        <v/>
      </c>
      <c r="AJ20" s="305" t="str">
        <f>IF($F20="","",INDEX('B_Polttoainevirtojen tiedot'!$E$67:$E$91,MATCH($F20,CNTR_SourceStreamNames,0)))</f>
        <v/>
      </c>
      <c r="AK20" s="305" t="str">
        <f>IF($F20="","",INDEX('B_Polttoainevirtojen tiedot'!$I$67:$I$91,MATCH($F20,CNTR_SourceStreamNames,0)))</f>
        <v/>
      </c>
      <c r="AL20" s="305" t="str">
        <f>IF($F20="","",IF(INDEX('B_Polttoainevirtojen tiedot'!$L$67:$L$91,MATCH($F20,CNTR_SourceStreamNames,0))="","",INDEX('B_Polttoainevirtojen tiedot'!$L$67:$L$91,MATCH($F20,CNTR_SourceStreamNames,0))))</f>
        <v/>
      </c>
    </row>
    <row r="21" spans="3:38" x14ac:dyDescent="0.25">
      <c r="C21" s="555">
        <f t="shared" si="2"/>
        <v>9</v>
      </c>
      <c r="D21" s="555" t="str">
        <f t="shared" si="1"/>
        <v/>
      </c>
      <c r="E21" s="613" t="str">
        <f t="shared" si="0"/>
        <v/>
      </c>
      <c r="F21" s="283" t="str">
        <f>IF(INDEX(C_Päästölaskenta!BI:BI,MATCH($C21,C_Päästölaskenta!$A:$A,0))="","",INDEX(C_Päästölaskenta!BI:BI,MATCH($C21,C_Päästölaskenta!$A:$A,0)))</f>
        <v/>
      </c>
      <c r="G21" s="283" t="str">
        <f>IF(F21="","",INDEX(C_Päästölaskenta!K:K,MATCH($C21,C_Päästölaskenta!$A:$A,0)))</f>
        <v/>
      </c>
      <c r="H21" s="283" t="str">
        <f>IF(F21="","",INDEX(C_Päästölaskenta!K:K,MATCH($C21,C_Päästölaskenta!$A:$A,0)+1))</f>
        <v/>
      </c>
      <c r="I21" s="552" t="str">
        <f>IF($F21="","",INDEX(C_Päästölaskenta!BJ:BJ,MATCH($C21,C_Päästölaskenta!$A:$A,0)))</f>
        <v/>
      </c>
      <c r="J21" s="551" t="str">
        <f>IF($F21="","",INDEX(C_Päästölaskenta!BK:BK,MATCH($C21,C_Päästölaskenta!$A:$A,0)))</f>
        <v/>
      </c>
      <c r="K21" s="551" t="str">
        <f>IF($F21="","",SUM(J21)-INDEX(C_Päästölaskenta!BL:BL,MATCH($C21,C_Päästölaskenta!$A:$A,0)))</f>
        <v/>
      </c>
      <c r="L21" s="552" t="str">
        <f>IF($F21="","",INDEX(C_Päästölaskenta!BM:BM,MATCH($C21,C_Päästölaskenta!$A:$A,0)))</f>
        <v/>
      </c>
      <c r="M21" s="552" t="str">
        <f>IF($F21="","",INDEX(C_Päästölaskenta!BN:BN,MATCH($C21,C_Päästölaskenta!$A:$A,0)))</f>
        <v/>
      </c>
      <c r="N21" s="613" t="str">
        <f>IF($F21="","",INDEX(C_Päästölaskenta!BO:BO,MATCH($C21,C_Päästölaskenta!$A:$A,0)))</f>
        <v/>
      </c>
      <c r="O21" s="609" t="str">
        <f>IF($F21="","",INDEX(C_Päästölaskenta!BP:BP,MATCH($C21,C_Päästölaskenta!$A:$A,0)))</f>
        <v/>
      </c>
      <c r="P21" s="552" t="str">
        <f>IF($F21="","",INDEX(C_Päästölaskenta!BQ:BQ,MATCH($C21,C_Päästölaskenta!$A:$A,0)))</f>
        <v/>
      </c>
      <c r="Q21" s="755" t="str">
        <f>IF($F21="","",INDEX(C_Päästölaskenta!BR:BR,MATCH($C21,C_Päästölaskenta!$A:$A,0)))</f>
        <v/>
      </c>
      <c r="R21" s="552" t="str">
        <f>IF($F21="","",INDEX(C_Päästölaskenta!BS:BS,MATCH($C21,C_Päästölaskenta!$A:$A,0)))</f>
        <v/>
      </c>
      <c r="S21" s="552" t="str">
        <f>IF($F21="","",INDEX(C_Päästölaskenta!BT:BT,MATCH($C21,C_Päästölaskenta!$A:$A,0)))</f>
        <v/>
      </c>
      <c r="T21" s="755" t="str">
        <f>IF($F21="","",INDEX(C_Päästölaskenta!BU:BU,MATCH($C21,C_Päästölaskenta!$A:$A,0)))</f>
        <v/>
      </c>
      <c r="U21" s="552" t="str">
        <f>IF($F21="","",INDEX(C_Päästölaskenta!BV:BV,MATCH($C21,C_Päästölaskenta!$A:$A,0)))</f>
        <v/>
      </c>
      <c r="V21" s="552" t="str">
        <f>IF($F21="","",INDEX(C_Päästölaskenta!BW:BW,MATCH($C21,C_Päästölaskenta!$A:$A,0)))</f>
        <v/>
      </c>
      <c r="W21" s="553" t="str">
        <f>IF($F21="","",INDEX(C_Päästölaskenta!BX:BX,MATCH($C21,C_Päästölaskenta!$A:$A,0)))</f>
        <v/>
      </c>
      <c r="X21" s="552" t="str">
        <f>IF($F21="","",INDEX(C_Päästölaskenta!BY:BY,MATCH($C21,C_Päästölaskenta!$A:$A,0)))</f>
        <v/>
      </c>
      <c r="Y21" s="553" t="str">
        <f>IF($F21="","",INDEX(C_Päästölaskenta!BZ:BZ,MATCH($C21,C_Päästölaskenta!$A:$A,0)))</f>
        <v/>
      </c>
      <c r="Z21" s="551" t="str">
        <f>IF($F21="","",INDEX(C_Päästölaskenta!CA:CA,MATCH($C21,C_Päästölaskenta!$A:$A,0)))</f>
        <v/>
      </c>
      <c r="AA21" s="551" t="str">
        <f>IF($F21="","",INDEX(C_Päästölaskenta!CB:CB,MATCH($C21,C_Päästölaskenta!$A:$A,0)))</f>
        <v/>
      </c>
      <c r="AB21" s="551" t="str">
        <f>IF($F21="","",INDEX(C_Päästölaskenta!CC:CC,MATCH($C21,C_Päästölaskenta!$A:$A,0)))</f>
        <v/>
      </c>
      <c r="AC21" s="551" t="str">
        <f>IF($F21="","",INDEX(C_Päästölaskenta!CD:CD,MATCH($C21,C_Päästölaskenta!$A:$A,0)))</f>
        <v/>
      </c>
      <c r="AD21" s="551" t="str">
        <f>IF($F21="","",INDEX(C_Päästölaskenta!CE:CE,MATCH($C21,C_Päästölaskenta!$A:$A,0)))</f>
        <v/>
      </c>
      <c r="AE21" s="554" t="str">
        <f>IF($F21="","",INDEX(C_Päästölaskenta!BK:BK,MATCH($C21,C_Päästölaskenta!$A:$A,0)+3))</f>
        <v/>
      </c>
      <c r="AF21" s="554" t="str">
        <f>IF($F21="","",INDEX(C_Päästölaskenta!BL:BL,MATCH($C21,C_Päästölaskenta!$A:$A,0)+3))</f>
        <v/>
      </c>
      <c r="AG21" s="554" t="str">
        <f>IF($F21="","",INDEX(C_Päästölaskenta!BM:BM,MATCH($C21,C_Päästölaskenta!$A:$A,0)+3))</f>
        <v/>
      </c>
      <c r="AJ21" s="305" t="str">
        <f>IF($F21="","",INDEX('B_Polttoainevirtojen tiedot'!$E$67:$E$91,MATCH($F21,CNTR_SourceStreamNames,0)))</f>
        <v/>
      </c>
      <c r="AK21" s="305" t="str">
        <f>IF($F21="","",INDEX('B_Polttoainevirtojen tiedot'!$I$67:$I$91,MATCH($F21,CNTR_SourceStreamNames,0)))</f>
        <v/>
      </c>
      <c r="AL21" s="305" t="str">
        <f>IF($F21="","",IF(INDEX('B_Polttoainevirtojen tiedot'!$L$67:$L$91,MATCH($F21,CNTR_SourceStreamNames,0))="","",INDEX('B_Polttoainevirtojen tiedot'!$L$67:$L$91,MATCH($F21,CNTR_SourceStreamNames,0))))</f>
        <v/>
      </c>
    </row>
    <row r="22" spans="3:38" x14ac:dyDescent="0.25">
      <c r="C22" s="555">
        <f t="shared" si="2"/>
        <v>10</v>
      </c>
      <c r="D22" s="555" t="str">
        <f t="shared" si="1"/>
        <v/>
      </c>
      <c r="E22" s="613" t="str">
        <f t="shared" si="0"/>
        <v/>
      </c>
      <c r="F22" s="283" t="str">
        <f>IF(INDEX(C_Päästölaskenta!BI:BI,MATCH($C22,C_Päästölaskenta!$A:$A,0))="","",INDEX(C_Päästölaskenta!BI:BI,MATCH($C22,C_Päästölaskenta!$A:$A,0)))</f>
        <v/>
      </c>
      <c r="G22" s="283" t="str">
        <f>IF(F22="","",INDEX(C_Päästölaskenta!K:K,MATCH($C22,C_Päästölaskenta!$A:$A,0)))</f>
        <v/>
      </c>
      <c r="H22" s="283" t="str">
        <f>IF(F22="","",INDEX(C_Päästölaskenta!K:K,MATCH($C22,C_Päästölaskenta!$A:$A,0)+1))</f>
        <v/>
      </c>
      <c r="I22" s="552" t="str">
        <f>IF($F22="","",INDEX(C_Päästölaskenta!BJ:BJ,MATCH($C22,C_Päästölaskenta!$A:$A,0)))</f>
        <v/>
      </c>
      <c r="J22" s="551" t="str">
        <f>IF($F22="","",INDEX(C_Päästölaskenta!BK:BK,MATCH($C22,C_Päästölaskenta!$A:$A,0)))</f>
        <v/>
      </c>
      <c r="K22" s="551" t="str">
        <f>IF($F22="","",SUM(J22)-INDEX(C_Päästölaskenta!BL:BL,MATCH($C22,C_Päästölaskenta!$A:$A,0)))</f>
        <v/>
      </c>
      <c r="L22" s="552" t="str">
        <f>IF($F22="","",INDEX(C_Päästölaskenta!BM:BM,MATCH($C22,C_Päästölaskenta!$A:$A,0)))</f>
        <v/>
      </c>
      <c r="M22" s="552" t="str">
        <f>IF($F22="","",INDEX(C_Päästölaskenta!BN:BN,MATCH($C22,C_Päästölaskenta!$A:$A,0)))</f>
        <v/>
      </c>
      <c r="N22" s="613" t="str">
        <f>IF($F22="","",INDEX(C_Päästölaskenta!BO:BO,MATCH($C22,C_Päästölaskenta!$A:$A,0)))</f>
        <v/>
      </c>
      <c r="O22" s="609" t="str">
        <f>IF($F22="","",INDEX(C_Päästölaskenta!BP:BP,MATCH($C22,C_Päästölaskenta!$A:$A,0)))</f>
        <v/>
      </c>
      <c r="P22" s="552" t="str">
        <f>IF($F22="","",INDEX(C_Päästölaskenta!BQ:BQ,MATCH($C22,C_Päästölaskenta!$A:$A,0)))</f>
        <v/>
      </c>
      <c r="Q22" s="755" t="str">
        <f>IF($F22="","",INDEX(C_Päästölaskenta!BR:BR,MATCH($C22,C_Päästölaskenta!$A:$A,0)))</f>
        <v/>
      </c>
      <c r="R22" s="552" t="str">
        <f>IF($F22="","",INDEX(C_Päästölaskenta!BS:BS,MATCH($C22,C_Päästölaskenta!$A:$A,0)))</f>
        <v/>
      </c>
      <c r="S22" s="552" t="str">
        <f>IF($F22="","",INDEX(C_Päästölaskenta!BT:BT,MATCH($C22,C_Päästölaskenta!$A:$A,0)))</f>
        <v/>
      </c>
      <c r="T22" s="755" t="str">
        <f>IF($F22="","",INDEX(C_Päästölaskenta!BU:BU,MATCH($C22,C_Päästölaskenta!$A:$A,0)))</f>
        <v/>
      </c>
      <c r="U22" s="552" t="str">
        <f>IF($F22="","",INDEX(C_Päästölaskenta!BV:BV,MATCH($C22,C_Päästölaskenta!$A:$A,0)))</f>
        <v/>
      </c>
      <c r="V22" s="552" t="str">
        <f>IF($F22="","",INDEX(C_Päästölaskenta!BW:BW,MATCH($C22,C_Päästölaskenta!$A:$A,0)))</f>
        <v/>
      </c>
      <c r="W22" s="553" t="str">
        <f>IF($F22="","",INDEX(C_Päästölaskenta!BX:BX,MATCH($C22,C_Päästölaskenta!$A:$A,0)))</f>
        <v/>
      </c>
      <c r="X22" s="552" t="str">
        <f>IF($F22="","",INDEX(C_Päästölaskenta!BY:BY,MATCH($C22,C_Päästölaskenta!$A:$A,0)))</f>
        <v/>
      </c>
      <c r="Y22" s="553" t="str">
        <f>IF($F22="","",INDEX(C_Päästölaskenta!BZ:BZ,MATCH($C22,C_Päästölaskenta!$A:$A,0)))</f>
        <v/>
      </c>
      <c r="Z22" s="551" t="str">
        <f>IF($F22="","",INDEX(C_Päästölaskenta!CA:CA,MATCH($C22,C_Päästölaskenta!$A:$A,0)))</f>
        <v/>
      </c>
      <c r="AA22" s="551" t="str">
        <f>IF($F22="","",INDEX(C_Päästölaskenta!CB:CB,MATCH($C22,C_Päästölaskenta!$A:$A,0)))</f>
        <v/>
      </c>
      <c r="AB22" s="551" t="str">
        <f>IF($F22="","",INDEX(C_Päästölaskenta!CC:CC,MATCH($C22,C_Päästölaskenta!$A:$A,0)))</f>
        <v/>
      </c>
      <c r="AC22" s="551" t="str">
        <f>IF($F22="","",INDEX(C_Päästölaskenta!CD:CD,MATCH($C22,C_Päästölaskenta!$A:$A,0)))</f>
        <v/>
      </c>
      <c r="AD22" s="551" t="str">
        <f>IF($F22="","",INDEX(C_Päästölaskenta!CE:CE,MATCH($C22,C_Päästölaskenta!$A:$A,0)))</f>
        <v/>
      </c>
      <c r="AE22" s="554" t="str">
        <f>IF($F22="","",INDEX(C_Päästölaskenta!BK:BK,MATCH($C22,C_Päästölaskenta!$A:$A,0)+3))</f>
        <v/>
      </c>
      <c r="AF22" s="554" t="str">
        <f>IF($F22="","",INDEX(C_Päästölaskenta!BL:BL,MATCH($C22,C_Päästölaskenta!$A:$A,0)+3))</f>
        <v/>
      </c>
      <c r="AG22" s="554" t="str">
        <f>IF($F22="","",INDEX(C_Päästölaskenta!BM:BM,MATCH($C22,C_Päästölaskenta!$A:$A,0)+3))</f>
        <v/>
      </c>
      <c r="AJ22" s="305" t="str">
        <f>IF($F22="","",INDEX('B_Polttoainevirtojen tiedot'!$E$67:$E$91,MATCH($F22,CNTR_SourceStreamNames,0)))</f>
        <v/>
      </c>
      <c r="AK22" s="305" t="str">
        <f>IF($F22="","",INDEX('B_Polttoainevirtojen tiedot'!$I$67:$I$91,MATCH($F22,CNTR_SourceStreamNames,0)))</f>
        <v/>
      </c>
      <c r="AL22" s="305" t="str">
        <f>IF($F22="","",IF(INDEX('B_Polttoainevirtojen tiedot'!$L$67:$L$91,MATCH($F22,CNTR_SourceStreamNames,0))="","",INDEX('B_Polttoainevirtojen tiedot'!$L$67:$L$91,MATCH($F22,CNTR_SourceStreamNames,0))))</f>
        <v/>
      </c>
    </row>
    <row r="23" spans="3:38" x14ac:dyDescent="0.25">
      <c r="C23" s="555">
        <f t="shared" si="2"/>
        <v>11</v>
      </c>
      <c r="D23" s="555" t="str">
        <f t="shared" si="1"/>
        <v/>
      </c>
      <c r="E23" s="613" t="str">
        <f t="shared" si="0"/>
        <v/>
      </c>
      <c r="F23" s="283" t="str">
        <f>IF(INDEX(C_Päästölaskenta!BI:BI,MATCH($C23,C_Päästölaskenta!$A:$A,0))="","",INDEX(C_Päästölaskenta!BI:BI,MATCH($C23,C_Päästölaskenta!$A:$A,0)))</f>
        <v/>
      </c>
      <c r="G23" s="283" t="str">
        <f>IF(F23="","",INDEX(C_Päästölaskenta!K:K,MATCH($C23,C_Päästölaskenta!$A:$A,0)))</f>
        <v/>
      </c>
      <c r="H23" s="283" t="str">
        <f>IF(F23="","",INDEX(C_Päästölaskenta!K:K,MATCH($C23,C_Päästölaskenta!$A:$A,0)+1))</f>
        <v/>
      </c>
      <c r="I23" s="552" t="str">
        <f>IF($F23="","",INDEX(C_Päästölaskenta!BJ:BJ,MATCH($C23,C_Päästölaskenta!$A:$A,0)))</f>
        <v/>
      </c>
      <c r="J23" s="551" t="str">
        <f>IF($F23="","",INDEX(C_Päästölaskenta!BK:BK,MATCH($C23,C_Päästölaskenta!$A:$A,0)))</f>
        <v/>
      </c>
      <c r="K23" s="551" t="str">
        <f>IF($F23="","",SUM(J23)-INDEX(C_Päästölaskenta!BL:BL,MATCH($C23,C_Päästölaskenta!$A:$A,0)))</f>
        <v/>
      </c>
      <c r="L23" s="552" t="str">
        <f>IF($F23="","",INDEX(C_Päästölaskenta!BM:BM,MATCH($C23,C_Päästölaskenta!$A:$A,0)))</f>
        <v/>
      </c>
      <c r="M23" s="552" t="str">
        <f>IF($F23="","",INDEX(C_Päästölaskenta!BN:BN,MATCH($C23,C_Päästölaskenta!$A:$A,0)))</f>
        <v/>
      </c>
      <c r="N23" s="613" t="str">
        <f>IF($F23="","",INDEX(C_Päästölaskenta!BO:BO,MATCH($C23,C_Päästölaskenta!$A:$A,0)))</f>
        <v/>
      </c>
      <c r="O23" s="609" t="str">
        <f>IF($F23="","",INDEX(C_Päästölaskenta!BP:BP,MATCH($C23,C_Päästölaskenta!$A:$A,0)))</f>
        <v/>
      </c>
      <c r="P23" s="552" t="str">
        <f>IF($F23="","",INDEX(C_Päästölaskenta!BQ:BQ,MATCH($C23,C_Päästölaskenta!$A:$A,0)))</f>
        <v/>
      </c>
      <c r="Q23" s="755" t="str">
        <f>IF($F23="","",INDEX(C_Päästölaskenta!BR:BR,MATCH($C23,C_Päästölaskenta!$A:$A,0)))</f>
        <v/>
      </c>
      <c r="R23" s="552" t="str">
        <f>IF($F23="","",INDEX(C_Päästölaskenta!BS:BS,MATCH($C23,C_Päästölaskenta!$A:$A,0)))</f>
        <v/>
      </c>
      <c r="S23" s="552" t="str">
        <f>IF($F23="","",INDEX(C_Päästölaskenta!BT:BT,MATCH($C23,C_Päästölaskenta!$A:$A,0)))</f>
        <v/>
      </c>
      <c r="T23" s="755" t="str">
        <f>IF($F23="","",INDEX(C_Päästölaskenta!BU:BU,MATCH($C23,C_Päästölaskenta!$A:$A,0)))</f>
        <v/>
      </c>
      <c r="U23" s="552" t="str">
        <f>IF($F23="","",INDEX(C_Päästölaskenta!BV:BV,MATCH($C23,C_Päästölaskenta!$A:$A,0)))</f>
        <v/>
      </c>
      <c r="V23" s="552" t="str">
        <f>IF($F23="","",INDEX(C_Päästölaskenta!BW:BW,MATCH($C23,C_Päästölaskenta!$A:$A,0)))</f>
        <v/>
      </c>
      <c r="W23" s="553" t="str">
        <f>IF($F23="","",INDEX(C_Päästölaskenta!BX:BX,MATCH($C23,C_Päästölaskenta!$A:$A,0)))</f>
        <v/>
      </c>
      <c r="X23" s="552" t="str">
        <f>IF($F23="","",INDEX(C_Päästölaskenta!BY:BY,MATCH($C23,C_Päästölaskenta!$A:$A,0)))</f>
        <v/>
      </c>
      <c r="Y23" s="553" t="str">
        <f>IF($F23="","",INDEX(C_Päästölaskenta!BZ:BZ,MATCH($C23,C_Päästölaskenta!$A:$A,0)))</f>
        <v/>
      </c>
      <c r="Z23" s="551" t="str">
        <f>IF($F23="","",INDEX(C_Päästölaskenta!CA:CA,MATCH($C23,C_Päästölaskenta!$A:$A,0)))</f>
        <v/>
      </c>
      <c r="AA23" s="551" t="str">
        <f>IF($F23="","",INDEX(C_Päästölaskenta!CB:CB,MATCH($C23,C_Päästölaskenta!$A:$A,0)))</f>
        <v/>
      </c>
      <c r="AB23" s="551" t="str">
        <f>IF($F23="","",INDEX(C_Päästölaskenta!CC:CC,MATCH($C23,C_Päästölaskenta!$A:$A,0)))</f>
        <v/>
      </c>
      <c r="AC23" s="551" t="str">
        <f>IF($F23="","",INDEX(C_Päästölaskenta!CD:CD,MATCH($C23,C_Päästölaskenta!$A:$A,0)))</f>
        <v/>
      </c>
      <c r="AD23" s="551" t="str">
        <f>IF($F23="","",INDEX(C_Päästölaskenta!CE:CE,MATCH($C23,C_Päästölaskenta!$A:$A,0)))</f>
        <v/>
      </c>
      <c r="AE23" s="554" t="str">
        <f>IF($F23="","",INDEX(C_Päästölaskenta!BK:BK,MATCH($C23,C_Päästölaskenta!$A:$A,0)+3))</f>
        <v/>
      </c>
      <c r="AF23" s="554" t="str">
        <f>IF($F23="","",INDEX(C_Päästölaskenta!BL:BL,MATCH($C23,C_Päästölaskenta!$A:$A,0)+3))</f>
        <v/>
      </c>
      <c r="AG23" s="554" t="str">
        <f>IF($F23="","",INDEX(C_Päästölaskenta!BM:BM,MATCH($C23,C_Päästölaskenta!$A:$A,0)+3))</f>
        <v/>
      </c>
      <c r="AJ23" s="305" t="str">
        <f>IF($F23="","",INDEX('B_Polttoainevirtojen tiedot'!$E$67:$E$91,MATCH($F23,CNTR_SourceStreamNames,0)))</f>
        <v/>
      </c>
      <c r="AK23" s="305" t="str">
        <f>IF($F23="","",INDEX('B_Polttoainevirtojen tiedot'!$I$67:$I$91,MATCH($F23,CNTR_SourceStreamNames,0)))</f>
        <v/>
      </c>
      <c r="AL23" s="305" t="str">
        <f>IF($F23="","",IF(INDEX('B_Polttoainevirtojen tiedot'!$L$67:$L$91,MATCH($F23,CNTR_SourceStreamNames,0))="","",INDEX('B_Polttoainevirtojen tiedot'!$L$67:$L$91,MATCH($F23,CNTR_SourceStreamNames,0))))</f>
        <v/>
      </c>
    </row>
    <row r="24" spans="3:38" x14ac:dyDescent="0.25">
      <c r="C24" s="555">
        <f t="shared" si="2"/>
        <v>12</v>
      </c>
      <c r="D24" s="555" t="str">
        <f t="shared" si="1"/>
        <v/>
      </c>
      <c r="E24" s="613" t="str">
        <f t="shared" si="0"/>
        <v/>
      </c>
      <c r="F24" s="283" t="str">
        <f>IF(INDEX(C_Päästölaskenta!BI:BI,MATCH($C24,C_Päästölaskenta!$A:$A,0))="","",INDEX(C_Päästölaskenta!BI:BI,MATCH($C24,C_Päästölaskenta!$A:$A,0)))</f>
        <v/>
      </c>
      <c r="G24" s="283" t="str">
        <f>IF(F24="","",INDEX(C_Päästölaskenta!K:K,MATCH($C24,C_Päästölaskenta!$A:$A,0)))</f>
        <v/>
      </c>
      <c r="H24" s="283" t="str">
        <f>IF(F24="","",INDEX(C_Päästölaskenta!K:K,MATCH($C24,C_Päästölaskenta!$A:$A,0)+1))</f>
        <v/>
      </c>
      <c r="I24" s="552" t="str">
        <f>IF($F24="","",INDEX(C_Päästölaskenta!BJ:BJ,MATCH($C24,C_Päästölaskenta!$A:$A,0)))</f>
        <v/>
      </c>
      <c r="J24" s="551" t="str">
        <f>IF($F24="","",INDEX(C_Päästölaskenta!BK:BK,MATCH($C24,C_Päästölaskenta!$A:$A,0)))</f>
        <v/>
      </c>
      <c r="K24" s="551" t="str">
        <f>IF($F24="","",SUM(J24)-INDEX(C_Päästölaskenta!BL:BL,MATCH($C24,C_Päästölaskenta!$A:$A,0)))</f>
        <v/>
      </c>
      <c r="L24" s="552" t="str">
        <f>IF($F24="","",INDEX(C_Päästölaskenta!BM:BM,MATCH($C24,C_Päästölaskenta!$A:$A,0)))</f>
        <v/>
      </c>
      <c r="M24" s="552" t="str">
        <f>IF($F24="","",INDEX(C_Päästölaskenta!BN:BN,MATCH($C24,C_Päästölaskenta!$A:$A,0)))</f>
        <v/>
      </c>
      <c r="N24" s="613" t="str">
        <f>IF($F24="","",INDEX(C_Päästölaskenta!BO:BO,MATCH($C24,C_Päästölaskenta!$A:$A,0)))</f>
        <v/>
      </c>
      <c r="O24" s="609" t="str">
        <f>IF($F24="","",INDEX(C_Päästölaskenta!BP:BP,MATCH($C24,C_Päästölaskenta!$A:$A,0)))</f>
        <v/>
      </c>
      <c r="P24" s="552" t="str">
        <f>IF($F24="","",INDEX(C_Päästölaskenta!BQ:BQ,MATCH($C24,C_Päästölaskenta!$A:$A,0)))</f>
        <v/>
      </c>
      <c r="Q24" s="755" t="str">
        <f>IF($F24="","",INDEX(C_Päästölaskenta!BR:BR,MATCH($C24,C_Päästölaskenta!$A:$A,0)))</f>
        <v/>
      </c>
      <c r="R24" s="552" t="str">
        <f>IF($F24="","",INDEX(C_Päästölaskenta!BS:BS,MATCH($C24,C_Päästölaskenta!$A:$A,0)))</f>
        <v/>
      </c>
      <c r="S24" s="552" t="str">
        <f>IF($F24="","",INDEX(C_Päästölaskenta!BT:BT,MATCH($C24,C_Päästölaskenta!$A:$A,0)))</f>
        <v/>
      </c>
      <c r="T24" s="755" t="str">
        <f>IF($F24="","",INDEX(C_Päästölaskenta!BU:BU,MATCH($C24,C_Päästölaskenta!$A:$A,0)))</f>
        <v/>
      </c>
      <c r="U24" s="552" t="str">
        <f>IF($F24="","",INDEX(C_Päästölaskenta!BV:BV,MATCH($C24,C_Päästölaskenta!$A:$A,0)))</f>
        <v/>
      </c>
      <c r="V24" s="552" t="str">
        <f>IF($F24="","",INDEX(C_Päästölaskenta!BW:BW,MATCH($C24,C_Päästölaskenta!$A:$A,0)))</f>
        <v/>
      </c>
      <c r="W24" s="553" t="str">
        <f>IF($F24="","",INDEX(C_Päästölaskenta!BX:BX,MATCH($C24,C_Päästölaskenta!$A:$A,0)))</f>
        <v/>
      </c>
      <c r="X24" s="552" t="str">
        <f>IF($F24="","",INDEX(C_Päästölaskenta!BY:BY,MATCH($C24,C_Päästölaskenta!$A:$A,0)))</f>
        <v/>
      </c>
      <c r="Y24" s="553" t="str">
        <f>IF($F24="","",INDEX(C_Päästölaskenta!BZ:BZ,MATCH($C24,C_Päästölaskenta!$A:$A,0)))</f>
        <v/>
      </c>
      <c r="Z24" s="551" t="str">
        <f>IF($F24="","",INDEX(C_Päästölaskenta!CA:CA,MATCH($C24,C_Päästölaskenta!$A:$A,0)))</f>
        <v/>
      </c>
      <c r="AA24" s="551" t="str">
        <f>IF($F24="","",INDEX(C_Päästölaskenta!CB:CB,MATCH($C24,C_Päästölaskenta!$A:$A,0)))</f>
        <v/>
      </c>
      <c r="AB24" s="551" t="str">
        <f>IF($F24="","",INDEX(C_Päästölaskenta!CC:CC,MATCH($C24,C_Päästölaskenta!$A:$A,0)))</f>
        <v/>
      </c>
      <c r="AC24" s="551" t="str">
        <f>IF($F24="","",INDEX(C_Päästölaskenta!CD:CD,MATCH($C24,C_Päästölaskenta!$A:$A,0)))</f>
        <v/>
      </c>
      <c r="AD24" s="551" t="str">
        <f>IF($F24="","",INDEX(C_Päästölaskenta!CE:CE,MATCH($C24,C_Päästölaskenta!$A:$A,0)))</f>
        <v/>
      </c>
      <c r="AE24" s="554" t="str">
        <f>IF($F24="","",INDEX(C_Päästölaskenta!BK:BK,MATCH($C24,C_Päästölaskenta!$A:$A,0)+3))</f>
        <v/>
      </c>
      <c r="AF24" s="554" t="str">
        <f>IF($F24="","",INDEX(C_Päästölaskenta!BL:BL,MATCH($C24,C_Päästölaskenta!$A:$A,0)+3))</f>
        <v/>
      </c>
      <c r="AG24" s="554" t="str">
        <f>IF($F24="","",INDEX(C_Päästölaskenta!BM:BM,MATCH($C24,C_Päästölaskenta!$A:$A,0)+3))</f>
        <v/>
      </c>
      <c r="AJ24" s="305" t="str">
        <f>IF($F24="","",INDEX('B_Polttoainevirtojen tiedot'!$E$67:$E$91,MATCH($F24,CNTR_SourceStreamNames,0)))</f>
        <v/>
      </c>
      <c r="AK24" s="305" t="str">
        <f>IF($F24="","",INDEX('B_Polttoainevirtojen tiedot'!$I$67:$I$91,MATCH($F24,CNTR_SourceStreamNames,0)))</f>
        <v/>
      </c>
      <c r="AL24" s="305" t="str">
        <f>IF($F24="","",IF(INDEX('B_Polttoainevirtojen tiedot'!$L$67:$L$91,MATCH($F24,CNTR_SourceStreamNames,0))="","",INDEX('B_Polttoainevirtojen tiedot'!$L$67:$L$91,MATCH($F24,CNTR_SourceStreamNames,0))))</f>
        <v/>
      </c>
    </row>
    <row r="25" spans="3:38" x14ac:dyDescent="0.25">
      <c r="C25" s="555">
        <f t="shared" si="2"/>
        <v>13</v>
      </c>
      <c r="D25" s="555" t="str">
        <f t="shared" si="1"/>
        <v/>
      </c>
      <c r="E25" s="613" t="str">
        <f t="shared" si="0"/>
        <v/>
      </c>
      <c r="F25" s="283" t="str">
        <f>IF(INDEX(C_Päästölaskenta!BI:BI,MATCH($C25,C_Päästölaskenta!$A:$A,0))="","",INDEX(C_Päästölaskenta!BI:BI,MATCH($C25,C_Päästölaskenta!$A:$A,0)))</f>
        <v/>
      </c>
      <c r="G25" s="283" t="str">
        <f>IF(F25="","",INDEX(C_Päästölaskenta!K:K,MATCH($C25,C_Päästölaskenta!$A:$A,0)))</f>
        <v/>
      </c>
      <c r="H25" s="283" t="str">
        <f>IF(F25="","",INDEX(C_Päästölaskenta!K:K,MATCH($C25,C_Päästölaskenta!$A:$A,0)+1))</f>
        <v/>
      </c>
      <c r="I25" s="552" t="str">
        <f>IF($F25="","",INDEX(C_Päästölaskenta!BJ:BJ,MATCH($C25,C_Päästölaskenta!$A:$A,0)))</f>
        <v/>
      </c>
      <c r="J25" s="551" t="str">
        <f>IF($F25="","",INDEX(C_Päästölaskenta!BK:BK,MATCH($C25,C_Päästölaskenta!$A:$A,0)))</f>
        <v/>
      </c>
      <c r="K25" s="551" t="str">
        <f>IF($F25="","",SUM(J25)-INDEX(C_Päästölaskenta!BL:BL,MATCH($C25,C_Päästölaskenta!$A:$A,0)))</f>
        <v/>
      </c>
      <c r="L25" s="552" t="str">
        <f>IF($F25="","",INDEX(C_Päästölaskenta!BM:BM,MATCH($C25,C_Päästölaskenta!$A:$A,0)))</f>
        <v/>
      </c>
      <c r="M25" s="552" t="str">
        <f>IF($F25="","",INDEX(C_Päästölaskenta!BN:BN,MATCH($C25,C_Päästölaskenta!$A:$A,0)))</f>
        <v/>
      </c>
      <c r="N25" s="613" t="str">
        <f>IF($F25="","",INDEX(C_Päästölaskenta!BO:BO,MATCH($C25,C_Päästölaskenta!$A:$A,0)))</f>
        <v/>
      </c>
      <c r="O25" s="609" t="str">
        <f>IF($F25="","",INDEX(C_Päästölaskenta!BP:BP,MATCH($C25,C_Päästölaskenta!$A:$A,0)))</f>
        <v/>
      </c>
      <c r="P25" s="552" t="str">
        <f>IF($F25="","",INDEX(C_Päästölaskenta!BQ:BQ,MATCH($C25,C_Päästölaskenta!$A:$A,0)))</f>
        <v/>
      </c>
      <c r="Q25" s="755" t="str">
        <f>IF($F25="","",INDEX(C_Päästölaskenta!BR:BR,MATCH($C25,C_Päästölaskenta!$A:$A,0)))</f>
        <v/>
      </c>
      <c r="R25" s="552" t="str">
        <f>IF($F25="","",INDEX(C_Päästölaskenta!BS:BS,MATCH($C25,C_Päästölaskenta!$A:$A,0)))</f>
        <v/>
      </c>
      <c r="S25" s="552" t="str">
        <f>IF($F25="","",INDEX(C_Päästölaskenta!BT:BT,MATCH($C25,C_Päästölaskenta!$A:$A,0)))</f>
        <v/>
      </c>
      <c r="T25" s="755" t="str">
        <f>IF($F25="","",INDEX(C_Päästölaskenta!BU:BU,MATCH($C25,C_Päästölaskenta!$A:$A,0)))</f>
        <v/>
      </c>
      <c r="U25" s="552" t="str">
        <f>IF($F25="","",INDEX(C_Päästölaskenta!BV:BV,MATCH($C25,C_Päästölaskenta!$A:$A,0)))</f>
        <v/>
      </c>
      <c r="V25" s="552" t="str">
        <f>IF($F25="","",INDEX(C_Päästölaskenta!BW:BW,MATCH($C25,C_Päästölaskenta!$A:$A,0)))</f>
        <v/>
      </c>
      <c r="W25" s="553" t="str">
        <f>IF($F25="","",INDEX(C_Päästölaskenta!BX:BX,MATCH($C25,C_Päästölaskenta!$A:$A,0)))</f>
        <v/>
      </c>
      <c r="X25" s="552" t="str">
        <f>IF($F25="","",INDEX(C_Päästölaskenta!BY:BY,MATCH($C25,C_Päästölaskenta!$A:$A,0)))</f>
        <v/>
      </c>
      <c r="Y25" s="553" t="str">
        <f>IF($F25="","",INDEX(C_Päästölaskenta!BZ:BZ,MATCH($C25,C_Päästölaskenta!$A:$A,0)))</f>
        <v/>
      </c>
      <c r="Z25" s="551" t="str">
        <f>IF($F25="","",INDEX(C_Päästölaskenta!CA:CA,MATCH($C25,C_Päästölaskenta!$A:$A,0)))</f>
        <v/>
      </c>
      <c r="AA25" s="551" t="str">
        <f>IF($F25="","",INDEX(C_Päästölaskenta!CB:CB,MATCH($C25,C_Päästölaskenta!$A:$A,0)))</f>
        <v/>
      </c>
      <c r="AB25" s="551" t="str">
        <f>IF($F25="","",INDEX(C_Päästölaskenta!CC:CC,MATCH($C25,C_Päästölaskenta!$A:$A,0)))</f>
        <v/>
      </c>
      <c r="AC25" s="551" t="str">
        <f>IF($F25="","",INDEX(C_Päästölaskenta!CD:CD,MATCH($C25,C_Päästölaskenta!$A:$A,0)))</f>
        <v/>
      </c>
      <c r="AD25" s="551" t="str">
        <f>IF($F25="","",INDEX(C_Päästölaskenta!CE:CE,MATCH($C25,C_Päästölaskenta!$A:$A,0)))</f>
        <v/>
      </c>
      <c r="AE25" s="554" t="str">
        <f>IF($F25="","",INDEX(C_Päästölaskenta!BK:BK,MATCH($C25,C_Päästölaskenta!$A:$A,0)+3))</f>
        <v/>
      </c>
      <c r="AF25" s="554" t="str">
        <f>IF($F25="","",INDEX(C_Päästölaskenta!BL:BL,MATCH($C25,C_Päästölaskenta!$A:$A,0)+3))</f>
        <v/>
      </c>
      <c r="AG25" s="554" t="str">
        <f>IF($F25="","",INDEX(C_Päästölaskenta!BM:BM,MATCH($C25,C_Päästölaskenta!$A:$A,0)+3))</f>
        <v/>
      </c>
      <c r="AJ25" s="305" t="str">
        <f>IF($F25="","",INDEX('B_Polttoainevirtojen tiedot'!$E$67:$E$91,MATCH($F25,CNTR_SourceStreamNames,0)))</f>
        <v/>
      </c>
      <c r="AK25" s="305" t="str">
        <f>IF($F25="","",INDEX('B_Polttoainevirtojen tiedot'!$I$67:$I$91,MATCH($F25,CNTR_SourceStreamNames,0)))</f>
        <v/>
      </c>
      <c r="AL25" s="305" t="str">
        <f>IF($F25="","",IF(INDEX('B_Polttoainevirtojen tiedot'!$L$67:$L$91,MATCH($F25,CNTR_SourceStreamNames,0))="","",INDEX('B_Polttoainevirtojen tiedot'!$L$67:$L$91,MATCH($F25,CNTR_SourceStreamNames,0))))</f>
        <v/>
      </c>
    </row>
    <row r="26" spans="3:38" x14ac:dyDescent="0.25">
      <c r="C26" s="555">
        <f t="shared" si="2"/>
        <v>14</v>
      </c>
      <c r="D26" s="555" t="str">
        <f t="shared" si="1"/>
        <v/>
      </c>
      <c r="E26" s="613" t="str">
        <f t="shared" si="0"/>
        <v/>
      </c>
      <c r="F26" s="283" t="str">
        <f>IF(INDEX(C_Päästölaskenta!BI:BI,MATCH($C26,C_Päästölaskenta!$A:$A,0))="","",INDEX(C_Päästölaskenta!BI:BI,MATCH($C26,C_Päästölaskenta!$A:$A,0)))</f>
        <v/>
      </c>
      <c r="G26" s="283" t="str">
        <f>IF(F26="","",INDEX(C_Päästölaskenta!K:K,MATCH($C26,C_Päästölaskenta!$A:$A,0)))</f>
        <v/>
      </c>
      <c r="H26" s="283" t="str">
        <f>IF(F26="","",INDEX(C_Päästölaskenta!K:K,MATCH($C26,C_Päästölaskenta!$A:$A,0)+1))</f>
        <v/>
      </c>
      <c r="I26" s="552" t="str">
        <f>IF($F26="","",INDEX(C_Päästölaskenta!BJ:BJ,MATCH($C26,C_Päästölaskenta!$A:$A,0)))</f>
        <v/>
      </c>
      <c r="J26" s="551" t="str">
        <f>IF($F26="","",INDEX(C_Päästölaskenta!BK:BK,MATCH($C26,C_Päästölaskenta!$A:$A,0)))</f>
        <v/>
      </c>
      <c r="K26" s="551" t="str">
        <f>IF($F26="","",SUM(J26)-INDEX(C_Päästölaskenta!BL:BL,MATCH($C26,C_Päästölaskenta!$A:$A,0)))</f>
        <v/>
      </c>
      <c r="L26" s="552" t="str">
        <f>IF($F26="","",INDEX(C_Päästölaskenta!BM:BM,MATCH($C26,C_Päästölaskenta!$A:$A,0)))</f>
        <v/>
      </c>
      <c r="M26" s="552" t="str">
        <f>IF($F26="","",INDEX(C_Päästölaskenta!BN:BN,MATCH($C26,C_Päästölaskenta!$A:$A,0)))</f>
        <v/>
      </c>
      <c r="N26" s="613" t="str">
        <f>IF($F26="","",INDEX(C_Päästölaskenta!BO:BO,MATCH($C26,C_Päästölaskenta!$A:$A,0)))</f>
        <v/>
      </c>
      <c r="O26" s="609" t="str">
        <f>IF($F26="","",INDEX(C_Päästölaskenta!BP:BP,MATCH($C26,C_Päästölaskenta!$A:$A,0)))</f>
        <v/>
      </c>
      <c r="P26" s="552" t="str">
        <f>IF($F26="","",INDEX(C_Päästölaskenta!BQ:BQ,MATCH($C26,C_Päästölaskenta!$A:$A,0)))</f>
        <v/>
      </c>
      <c r="Q26" s="755" t="str">
        <f>IF($F26="","",INDEX(C_Päästölaskenta!BR:BR,MATCH($C26,C_Päästölaskenta!$A:$A,0)))</f>
        <v/>
      </c>
      <c r="R26" s="552" t="str">
        <f>IF($F26="","",INDEX(C_Päästölaskenta!BS:BS,MATCH($C26,C_Päästölaskenta!$A:$A,0)))</f>
        <v/>
      </c>
      <c r="S26" s="552" t="str">
        <f>IF($F26="","",INDEX(C_Päästölaskenta!BT:BT,MATCH($C26,C_Päästölaskenta!$A:$A,0)))</f>
        <v/>
      </c>
      <c r="T26" s="755" t="str">
        <f>IF($F26="","",INDEX(C_Päästölaskenta!BU:BU,MATCH($C26,C_Päästölaskenta!$A:$A,0)))</f>
        <v/>
      </c>
      <c r="U26" s="552" t="str">
        <f>IF($F26="","",INDEX(C_Päästölaskenta!BV:BV,MATCH($C26,C_Päästölaskenta!$A:$A,0)))</f>
        <v/>
      </c>
      <c r="V26" s="552" t="str">
        <f>IF($F26="","",INDEX(C_Päästölaskenta!BW:BW,MATCH($C26,C_Päästölaskenta!$A:$A,0)))</f>
        <v/>
      </c>
      <c r="W26" s="553" t="str">
        <f>IF($F26="","",INDEX(C_Päästölaskenta!BX:BX,MATCH($C26,C_Päästölaskenta!$A:$A,0)))</f>
        <v/>
      </c>
      <c r="X26" s="552" t="str">
        <f>IF($F26="","",INDEX(C_Päästölaskenta!BY:BY,MATCH($C26,C_Päästölaskenta!$A:$A,0)))</f>
        <v/>
      </c>
      <c r="Y26" s="553" t="str">
        <f>IF($F26="","",INDEX(C_Päästölaskenta!BZ:BZ,MATCH($C26,C_Päästölaskenta!$A:$A,0)))</f>
        <v/>
      </c>
      <c r="Z26" s="551" t="str">
        <f>IF($F26="","",INDEX(C_Päästölaskenta!CA:CA,MATCH($C26,C_Päästölaskenta!$A:$A,0)))</f>
        <v/>
      </c>
      <c r="AA26" s="551" t="str">
        <f>IF($F26="","",INDEX(C_Päästölaskenta!CB:CB,MATCH($C26,C_Päästölaskenta!$A:$A,0)))</f>
        <v/>
      </c>
      <c r="AB26" s="551" t="str">
        <f>IF($F26="","",INDEX(C_Päästölaskenta!CC:CC,MATCH($C26,C_Päästölaskenta!$A:$A,0)))</f>
        <v/>
      </c>
      <c r="AC26" s="551" t="str">
        <f>IF($F26="","",INDEX(C_Päästölaskenta!CD:CD,MATCH($C26,C_Päästölaskenta!$A:$A,0)))</f>
        <v/>
      </c>
      <c r="AD26" s="551" t="str">
        <f>IF($F26="","",INDEX(C_Päästölaskenta!CE:CE,MATCH($C26,C_Päästölaskenta!$A:$A,0)))</f>
        <v/>
      </c>
      <c r="AE26" s="554" t="str">
        <f>IF($F26="","",INDEX(C_Päästölaskenta!BK:BK,MATCH($C26,C_Päästölaskenta!$A:$A,0)+3))</f>
        <v/>
      </c>
      <c r="AF26" s="554" t="str">
        <f>IF($F26="","",INDEX(C_Päästölaskenta!BL:BL,MATCH($C26,C_Päästölaskenta!$A:$A,0)+3))</f>
        <v/>
      </c>
      <c r="AG26" s="554" t="str">
        <f>IF($F26="","",INDEX(C_Päästölaskenta!BM:BM,MATCH($C26,C_Päästölaskenta!$A:$A,0)+3))</f>
        <v/>
      </c>
      <c r="AJ26" s="305" t="str">
        <f>IF($F26="","",INDEX('B_Polttoainevirtojen tiedot'!$E$67:$E$91,MATCH($F26,CNTR_SourceStreamNames,0)))</f>
        <v/>
      </c>
      <c r="AK26" s="305" t="str">
        <f>IF($F26="","",INDEX('B_Polttoainevirtojen tiedot'!$I$67:$I$91,MATCH($F26,CNTR_SourceStreamNames,0)))</f>
        <v/>
      </c>
      <c r="AL26" s="305" t="str">
        <f>IF($F26="","",IF(INDEX('B_Polttoainevirtojen tiedot'!$L$67:$L$91,MATCH($F26,CNTR_SourceStreamNames,0))="","",INDEX('B_Polttoainevirtojen tiedot'!$L$67:$L$91,MATCH($F26,CNTR_SourceStreamNames,0))))</f>
        <v/>
      </c>
    </row>
    <row r="27" spans="3:38" x14ac:dyDescent="0.25">
      <c r="C27" s="555">
        <f t="shared" si="2"/>
        <v>15</v>
      </c>
      <c r="D27" s="555" t="str">
        <f t="shared" si="1"/>
        <v/>
      </c>
      <c r="E27" s="613" t="str">
        <f t="shared" si="0"/>
        <v/>
      </c>
      <c r="F27" s="283" t="str">
        <f>IF(INDEX(C_Päästölaskenta!BI:BI,MATCH($C27,C_Päästölaskenta!$A:$A,0))="","",INDEX(C_Päästölaskenta!BI:BI,MATCH($C27,C_Päästölaskenta!$A:$A,0)))</f>
        <v/>
      </c>
      <c r="G27" s="283" t="str">
        <f>IF(F27="","",INDEX(C_Päästölaskenta!K:K,MATCH($C27,C_Päästölaskenta!$A:$A,0)))</f>
        <v/>
      </c>
      <c r="H27" s="283" t="str">
        <f>IF(F27="","",INDEX(C_Päästölaskenta!K:K,MATCH($C27,C_Päästölaskenta!$A:$A,0)+1))</f>
        <v/>
      </c>
      <c r="I27" s="552" t="str">
        <f>IF($F27="","",INDEX(C_Päästölaskenta!BJ:BJ,MATCH($C27,C_Päästölaskenta!$A:$A,0)))</f>
        <v/>
      </c>
      <c r="J27" s="551" t="str">
        <f>IF($F27="","",INDEX(C_Päästölaskenta!BK:BK,MATCH($C27,C_Päästölaskenta!$A:$A,0)))</f>
        <v/>
      </c>
      <c r="K27" s="551" t="str">
        <f>IF($F27="","",SUM(J27)-INDEX(C_Päästölaskenta!BL:BL,MATCH($C27,C_Päästölaskenta!$A:$A,0)))</f>
        <v/>
      </c>
      <c r="L27" s="552" t="str">
        <f>IF($F27="","",INDEX(C_Päästölaskenta!BM:BM,MATCH($C27,C_Päästölaskenta!$A:$A,0)))</f>
        <v/>
      </c>
      <c r="M27" s="552" t="str">
        <f>IF($F27="","",INDEX(C_Päästölaskenta!BN:BN,MATCH($C27,C_Päästölaskenta!$A:$A,0)))</f>
        <v/>
      </c>
      <c r="N27" s="613" t="str">
        <f>IF($F27="","",INDEX(C_Päästölaskenta!BO:BO,MATCH($C27,C_Päästölaskenta!$A:$A,0)))</f>
        <v/>
      </c>
      <c r="O27" s="609" t="str">
        <f>IF($F27="","",INDEX(C_Päästölaskenta!BP:BP,MATCH($C27,C_Päästölaskenta!$A:$A,0)))</f>
        <v/>
      </c>
      <c r="P27" s="552" t="str">
        <f>IF($F27="","",INDEX(C_Päästölaskenta!BQ:BQ,MATCH($C27,C_Päästölaskenta!$A:$A,0)))</f>
        <v/>
      </c>
      <c r="Q27" s="755" t="str">
        <f>IF($F27="","",INDEX(C_Päästölaskenta!BR:BR,MATCH($C27,C_Päästölaskenta!$A:$A,0)))</f>
        <v/>
      </c>
      <c r="R27" s="552" t="str">
        <f>IF($F27="","",INDEX(C_Päästölaskenta!BS:BS,MATCH($C27,C_Päästölaskenta!$A:$A,0)))</f>
        <v/>
      </c>
      <c r="S27" s="552" t="str">
        <f>IF($F27="","",INDEX(C_Päästölaskenta!BT:BT,MATCH($C27,C_Päästölaskenta!$A:$A,0)))</f>
        <v/>
      </c>
      <c r="T27" s="755" t="str">
        <f>IF($F27="","",INDEX(C_Päästölaskenta!BU:BU,MATCH($C27,C_Päästölaskenta!$A:$A,0)))</f>
        <v/>
      </c>
      <c r="U27" s="552" t="str">
        <f>IF($F27="","",INDEX(C_Päästölaskenta!BV:BV,MATCH($C27,C_Päästölaskenta!$A:$A,0)))</f>
        <v/>
      </c>
      <c r="V27" s="552" t="str">
        <f>IF($F27="","",INDEX(C_Päästölaskenta!BW:BW,MATCH($C27,C_Päästölaskenta!$A:$A,0)))</f>
        <v/>
      </c>
      <c r="W27" s="553" t="str">
        <f>IF($F27="","",INDEX(C_Päästölaskenta!BX:BX,MATCH($C27,C_Päästölaskenta!$A:$A,0)))</f>
        <v/>
      </c>
      <c r="X27" s="552" t="str">
        <f>IF($F27="","",INDEX(C_Päästölaskenta!BY:BY,MATCH($C27,C_Päästölaskenta!$A:$A,0)))</f>
        <v/>
      </c>
      <c r="Y27" s="553" t="str">
        <f>IF($F27="","",INDEX(C_Päästölaskenta!BZ:BZ,MATCH($C27,C_Päästölaskenta!$A:$A,0)))</f>
        <v/>
      </c>
      <c r="Z27" s="551" t="str">
        <f>IF($F27="","",INDEX(C_Päästölaskenta!CA:CA,MATCH($C27,C_Päästölaskenta!$A:$A,0)))</f>
        <v/>
      </c>
      <c r="AA27" s="551" t="str">
        <f>IF($F27="","",INDEX(C_Päästölaskenta!CB:CB,MATCH($C27,C_Päästölaskenta!$A:$A,0)))</f>
        <v/>
      </c>
      <c r="AB27" s="551" t="str">
        <f>IF($F27="","",INDEX(C_Päästölaskenta!CC:CC,MATCH($C27,C_Päästölaskenta!$A:$A,0)))</f>
        <v/>
      </c>
      <c r="AC27" s="551" t="str">
        <f>IF($F27="","",INDEX(C_Päästölaskenta!CD:CD,MATCH($C27,C_Päästölaskenta!$A:$A,0)))</f>
        <v/>
      </c>
      <c r="AD27" s="551" t="str">
        <f>IF($F27="","",INDEX(C_Päästölaskenta!CE:CE,MATCH($C27,C_Päästölaskenta!$A:$A,0)))</f>
        <v/>
      </c>
      <c r="AE27" s="554" t="str">
        <f>IF($F27="","",INDEX(C_Päästölaskenta!BK:BK,MATCH($C27,C_Päästölaskenta!$A:$A,0)+3))</f>
        <v/>
      </c>
      <c r="AF27" s="554" t="str">
        <f>IF($F27="","",INDEX(C_Päästölaskenta!BL:BL,MATCH($C27,C_Päästölaskenta!$A:$A,0)+3))</f>
        <v/>
      </c>
      <c r="AG27" s="554" t="str">
        <f>IF($F27="","",INDEX(C_Päästölaskenta!BM:BM,MATCH($C27,C_Päästölaskenta!$A:$A,0)+3))</f>
        <v/>
      </c>
      <c r="AJ27" s="305" t="str">
        <f>IF($F27="","",INDEX('B_Polttoainevirtojen tiedot'!$E$67:$E$91,MATCH($F27,CNTR_SourceStreamNames,0)))</f>
        <v/>
      </c>
      <c r="AK27" s="305" t="str">
        <f>IF($F27="","",INDEX('B_Polttoainevirtojen tiedot'!$I$67:$I$91,MATCH($F27,CNTR_SourceStreamNames,0)))</f>
        <v/>
      </c>
      <c r="AL27" s="305" t="str">
        <f>IF($F27="","",IF(INDEX('B_Polttoainevirtojen tiedot'!$L$67:$L$91,MATCH($F27,CNTR_SourceStreamNames,0))="","",INDEX('B_Polttoainevirtojen tiedot'!$L$67:$L$91,MATCH($F27,CNTR_SourceStreamNames,0))))</f>
        <v/>
      </c>
    </row>
    <row r="28" spans="3:38" x14ac:dyDescent="0.25">
      <c r="C28" s="555">
        <f t="shared" si="2"/>
        <v>16</v>
      </c>
      <c r="D28" s="555" t="str">
        <f t="shared" si="1"/>
        <v/>
      </c>
      <c r="E28" s="613" t="str">
        <f t="shared" si="0"/>
        <v/>
      </c>
      <c r="F28" s="283" t="str">
        <f>IF(INDEX(C_Päästölaskenta!BI:BI,MATCH($C28,C_Päästölaskenta!$A:$A,0))="","",INDEX(C_Päästölaskenta!BI:BI,MATCH($C28,C_Päästölaskenta!$A:$A,0)))</f>
        <v/>
      </c>
      <c r="G28" s="283" t="str">
        <f>IF(F28="","",INDEX(C_Päästölaskenta!K:K,MATCH($C28,C_Päästölaskenta!$A:$A,0)))</f>
        <v/>
      </c>
      <c r="H28" s="283" t="str">
        <f>IF(F28="","",INDEX(C_Päästölaskenta!K:K,MATCH($C28,C_Päästölaskenta!$A:$A,0)+1))</f>
        <v/>
      </c>
      <c r="I28" s="552" t="str">
        <f>IF($F28="","",INDEX(C_Päästölaskenta!BJ:BJ,MATCH($C28,C_Päästölaskenta!$A:$A,0)))</f>
        <v/>
      </c>
      <c r="J28" s="551" t="str">
        <f>IF($F28="","",INDEX(C_Päästölaskenta!BK:BK,MATCH($C28,C_Päästölaskenta!$A:$A,0)))</f>
        <v/>
      </c>
      <c r="K28" s="551" t="str">
        <f>IF($F28="","",SUM(J28)-INDEX(C_Päästölaskenta!BL:BL,MATCH($C28,C_Päästölaskenta!$A:$A,0)))</f>
        <v/>
      </c>
      <c r="L28" s="552" t="str">
        <f>IF($F28="","",INDEX(C_Päästölaskenta!BM:BM,MATCH($C28,C_Päästölaskenta!$A:$A,0)))</f>
        <v/>
      </c>
      <c r="M28" s="552" t="str">
        <f>IF($F28="","",INDEX(C_Päästölaskenta!BN:BN,MATCH($C28,C_Päästölaskenta!$A:$A,0)))</f>
        <v/>
      </c>
      <c r="N28" s="613" t="str">
        <f>IF($F28="","",INDEX(C_Päästölaskenta!BO:BO,MATCH($C28,C_Päästölaskenta!$A:$A,0)))</f>
        <v/>
      </c>
      <c r="O28" s="609" t="str">
        <f>IF($F28="","",INDEX(C_Päästölaskenta!BP:BP,MATCH($C28,C_Päästölaskenta!$A:$A,0)))</f>
        <v/>
      </c>
      <c r="P28" s="552" t="str">
        <f>IF($F28="","",INDEX(C_Päästölaskenta!BQ:BQ,MATCH($C28,C_Päästölaskenta!$A:$A,0)))</f>
        <v/>
      </c>
      <c r="Q28" s="755" t="str">
        <f>IF($F28="","",INDEX(C_Päästölaskenta!BR:BR,MATCH($C28,C_Päästölaskenta!$A:$A,0)))</f>
        <v/>
      </c>
      <c r="R28" s="552" t="str">
        <f>IF($F28="","",INDEX(C_Päästölaskenta!BS:BS,MATCH($C28,C_Päästölaskenta!$A:$A,0)))</f>
        <v/>
      </c>
      <c r="S28" s="552" t="str">
        <f>IF($F28="","",INDEX(C_Päästölaskenta!BT:BT,MATCH($C28,C_Päästölaskenta!$A:$A,0)))</f>
        <v/>
      </c>
      <c r="T28" s="755" t="str">
        <f>IF($F28="","",INDEX(C_Päästölaskenta!BU:BU,MATCH($C28,C_Päästölaskenta!$A:$A,0)))</f>
        <v/>
      </c>
      <c r="U28" s="552" t="str">
        <f>IF($F28="","",INDEX(C_Päästölaskenta!BV:BV,MATCH($C28,C_Päästölaskenta!$A:$A,0)))</f>
        <v/>
      </c>
      <c r="V28" s="552" t="str">
        <f>IF($F28="","",INDEX(C_Päästölaskenta!BW:BW,MATCH($C28,C_Päästölaskenta!$A:$A,0)))</f>
        <v/>
      </c>
      <c r="W28" s="553" t="str">
        <f>IF($F28="","",INDEX(C_Päästölaskenta!BX:BX,MATCH($C28,C_Päästölaskenta!$A:$A,0)))</f>
        <v/>
      </c>
      <c r="X28" s="552" t="str">
        <f>IF($F28="","",INDEX(C_Päästölaskenta!BY:BY,MATCH($C28,C_Päästölaskenta!$A:$A,0)))</f>
        <v/>
      </c>
      <c r="Y28" s="553" t="str">
        <f>IF($F28="","",INDEX(C_Päästölaskenta!BZ:BZ,MATCH($C28,C_Päästölaskenta!$A:$A,0)))</f>
        <v/>
      </c>
      <c r="Z28" s="551" t="str">
        <f>IF($F28="","",INDEX(C_Päästölaskenta!CA:CA,MATCH($C28,C_Päästölaskenta!$A:$A,0)))</f>
        <v/>
      </c>
      <c r="AA28" s="551" t="str">
        <f>IF($F28="","",INDEX(C_Päästölaskenta!CB:CB,MATCH($C28,C_Päästölaskenta!$A:$A,0)))</f>
        <v/>
      </c>
      <c r="AB28" s="551" t="str">
        <f>IF($F28="","",INDEX(C_Päästölaskenta!CC:CC,MATCH($C28,C_Päästölaskenta!$A:$A,0)))</f>
        <v/>
      </c>
      <c r="AC28" s="551" t="str">
        <f>IF($F28="","",INDEX(C_Päästölaskenta!CD:CD,MATCH($C28,C_Päästölaskenta!$A:$A,0)))</f>
        <v/>
      </c>
      <c r="AD28" s="551" t="str">
        <f>IF($F28="","",INDEX(C_Päästölaskenta!CE:CE,MATCH($C28,C_Päästölaskenta!$A:$A,0)))</f>
        <v/>
      </c>
      <c r="AE28" s="554" t="str">
        <f>IF($F28="","",INDEX(C_Päästölaskenta!BK:BK,MATCH($C28,C_Päästölaskenta!$A:$A,0)+3))</f>
        <v/>
      </c>
      <c r="AF28" s="554" t="str">
        <f>IF($F28="","",INDEX(C_Päästölaskenta!BL:BL,MATCH($C28,C_Päästölaskenta!$A:$A,0)+3))</f>
        <v/>
      </c>
      <c r="AG28" s="554" t="str">
        <f>IF($F28="","",INDEX(C_Päästölaskenta!BM:BM,MATCH($C28,C_Päästölaskenta!$A:$A,0)+3))</f>
        <v/>
      </c>
      <c r="AJ28" s="305" t="str">
        <f>IF($F28="","",INDEX('B_Polttoainevirtojen tiedot'!$E$67:$E$91,MATCH($F28,CNTR_SourceStreamNames,0)))</f>
        <v/>
      </c>
      <c r="AK28" s="305" t="str">
        <f>IF($F28="","",INDEX('B_Polttoainevirtojen tiedot'!$I$67:$I$91,MATCH($F28,CNTR_SourceStreamNames,0)))</f>
        <v/>
      </c>
      <c r="AL28" s="305" t="str">
        <f>IF($F28="","",IF(INDEX('B_Polttoainevirtojen tiedot'!$L$67:$L$91,MATCH($F28,CNTR_SourceStreamNames,0))="","",INDEX('B_Polttoainevirtojen tiedot'!$L$67:$L$91,MATCH($F28,CNTR_SourceStreamNames,0))))</f>
        <v/>
      </c>
    </row>
    <row r="29" spans="3:38" x14ac:dyDescent="0.25">
      <c r="C29" s="555">
        <f t="shared" si="2"/>
        <v>17</v>
      </c>
      <c r="D29" s="555" t="str">
        <f t="shared" si="1"/>
        <v/>
      </c>
      <c r="E29" s="613" t="str">
        <f t="shared" si="0"/>
        <v/>
      </c>
      <c r="F29" s="283" t="str">
        <f>IF(INDEX(C_Päästölaskenta!BI:BI,MATCH($C29,C_Päästölaskenta!$A:$A,0))="","",INDEX(C_Päästölaskenta!BI:BI,MATCH($C29,C_Päästölaskenta!$A:$A,0)))</f>
        <v/>
      </c>
      <c r="G29" s="283" t="str">
        <f>IF(F29="","",INDEX(C_Päästölaskenta!K:K,MATCH($C29,C_Päästölaskenta!$A:$A,0)))</f>
        <v/>
      </c>
      <c r="H29" s="283" t="str">
        <f>IF(F29="","",INDEX(C_Päästölaskenta!K:K,MATCH($C29,C_Päästölaskenta!$A:$A,0)+1))</f>
        <v/>
      </c>
      <c r="I29" s="552" t="str">
        <f>IF($F29="","",INDEX(C_Päästölaskenta!BJ:BJ,MATCH($C29,C_Päästölaskenta!$A:$A,0)))</f>
        <v/>
      </c>
      <c r="J29" s="551" t="str">
        <f>IF($F29="","",INDEX(C_Päästölaskenta!BK:BK,MATCH($C29,C_Päästölaskenta!$A:$A,0)))</f>
        <v/>
      </c>
      <c r="K29" s="551" t="str">
        <f>IF($F29="","",SUM(J29)-INDEX(C_Päästölaskenta!BL:BL,MATCH($C29,C_Päästölaskenta!$A:$A,0)))</f>
        <v/>
      </c>
      <c r="L29" s="552" t="str">
        <f>IF($F29="","",INDEX(C_Päästölaskenta!BM:BM,MATCH($C29,C_Päästölaskenta!$A:$A,0)))</f>
        <v/>
      </c>
      <c r="M29" s="552" t="str">
        <f>IF($F29="","",INDEX(C_Päästölaskenta!BN:BN,MATCH($C29,C_Päästölaskenta!$A:$A,0)))</f>
        <v/>
      </c>
      <c r="N29" s="613" t="str">
        <f>IF($F29="","",INDEX(C_Päästölaskenta!BO:BO,MATCH($C29,C_Päästölaskenta!$A:$A,0)))</f>
        <v/>
      </c>
      <c r="O29" s="609" t="str">
        <f>IF($F29="","",INDEX(C_Päästölaskenta!BP:BP,MATCH($C29,C_Päästölaskenta!$A:$A,0)))</f>
        <v/>
      </c>
      <c r="P29" s="552" t="str">
        <f>IF($F29="","",INDEX(C_Päästölaskenta!BQ:BQ,MATCH($C29,C_Päästölaskenta!$A:$A,0)))</f>
        <v/>
      </c>
      <c r="Q29" s="755" t="str">
        <f>IF($F29="","",INDEX(C_Päästölaskenta!BR:BR,MATCH($C29,C_Päästölaskenta!$A:$A,0)))</f>
        <v/>
      </c>
      <c r="R29" s="552" t="str">
        <f>IF($F29="","",INDEX(C_Päästölaskenta!BS:BS,MATCH($C29,C_Päästölaskenta!$A:$A,0)))</f>
        <v/>
      </c>
      <c r="S29" s="552" t="str">
        <f>IF($F29="","",INDEX(C_Päästölaskenta!BT:BT,MATCH($C29,C_Päästölaskenta!$A:$A,0)))</f>
        <v/>
      </c>
      <c r="T29" s="755" t="str">
        <f>IF($F29="","",INDEX(C_Päästölaskenta!BU:BU,MATCH($C29,C_Päästölaskenta!$A:$A,0)))</f>
        <v/>
      </c>
      <c r="U29" s="552" t="str">
        <f>IF($F29="","",INDEX(C_Päästölaskenta!BV:BV,MATCH($C29,C_Päästölaskenta!$A:$A,0)))</f>
        <v/>
      </c>
      <c r="V29" s="552" t="str">
        <f>IF($F29="","",INDEX(C_Päästölaskenta!BW:BW,MATCH($C29,C_Päästölaskenta!$A:$A,0)))</f>
        <v/>
      </c>
      <c r="W29" s="553" t="str">
        <f>IF($F29="","",INDEX(C_Päästölaskenta!BX:BX,MATCH($C29,C_Päästölaskenta!$A:$A,0)))</f>
        <v/>
      </c>
      <c r="X29" s="552" t="str">
        <f>IF($F29="","",INDEX(C_Päästölaskenta!BY:BY,MATCH($C29,C_Päästölaskenta!$A:$A,0)))</f>
        <v/>
      </c>
      <c r="Y29" s="553" t="str">
        <f>IF($F29="","",INDEX(C_Päästölaskenta!BZ:BZ,MATCH($C29,C_Päästölaskenta!$A:$A,0)))</f>
        <v/>
      </c>
      <c r="Z29" s="551" t="str">
        <f>IF($F29="","",INDEX(C_Päästölaskenta!CA:CA,MATCH($C29,C_Päästölaskenta!$A:$A,0)))</f>
        <v/>
      </c>
      <c r="AA29" s="551" t="str">
        <f>IF($F29="","",INDEX(C_Päästölaskenta!CB:CB,MATCH($C29,C_Päästölaskenta!$A:$A,0)))</f>
        <v/>
      </c>
      <c r="AB29" s="551" t="str">
        <f>IF($F29="","",INDEX(C_Päästölaskenta!CC:CC,MATCH($C29,C_Päästölaskenta!$A:$A,0)))</f>
        <v/>
      </c>
      <c r="AC29" s="551" t="str">
        <f>IF($F29="","",INDEX(C_Päästölaskenta!CD:CD,MATCH($C29,C_Päästölaskenta!$A:$A,0)))</f>
        <v/>
      </c>
      <c r="AD29" s="551" t="str">
        <f>IF($F29="","",INDEX(C_Päästölaskenta!CE:CE,MATCH($C29,C_Päästölaskenta!$A:$A,0)))</f>
        <v/>
      </c>
      <c r="AE29" s="554" t="str">
        <f>IF($F29="","",INDEX(C_Päästölaskenta!BK:BK,MATCH($C29,C_Päästölaskenta!$A:$A,0)+3))</f>
        <v/>
      </c>
      <c r="AF29" s="554" t="str">
        <f>IF($F29="","",INDEX(C_Päästölaskenta!BL:BL,MATCH($C29,C_Päästölaskenta!$A:$A,0)+3))</f>
        <v/>
      </c>
      <c r="AG29" s="554" t="str">
        <f>IF($F29="","",INDEX(C_Päästölaskenta!BM:BM,MATCH($C29,C_Päästölaskenta!$A:$A,0)+3))</f>
        <v/>
      </c>
      <c r="AJ29" s="305" t="str">
        <f>IF($F29="","",INDEX('B_Polttoainevirtojen tiedot'!$E$67:$E$91,MATCH($F29,CNTR_SourceStreamNames,0)))</f>
        <v/>
      </c>
      <c r="AK29" s="305" t="str">
        <f>IF($F29="","",INDEX('B_Polttoainevirtojen tiedot'!$I$67:$I$91,MATCH($F29,CNTR_SourceStreamNames,0)))</f>
        <v/>
      </c>
      <c r="AL29" s="305" t="str">
        <f>IF($F29="","",IF(INDEX('B_Polttoainevirtojen tiedot'!$L$67:$L$91,MATCH($F29,CNTR_SourceStreamNames,0))="","",INDEX('B_Polttoainevirtojen tiedot'!$L$67:$L$91,MATCH($F29,CNTR_SourceStreamNames,0))))</f>
        <v/>
      </c>
    </row>
    <row r="30" spans="3:38" x14ac:dyDescent="0.25">
      <c r="C30" s="555">
        <f t="shared" si="2"/>
        <v>18</v>
      </c>
      <c r="D30" s="555" t="str">
        <f t="shared" si="1"/>
        <v/>
      </c>
      <c r="E30" s="613" t="str">
        <f t="shared" si="0"/>
        <v/>
      </c>
      <c r="F30" s="283" t="str">
        <f>IF(INDEX(C_Päästölaskenta!BI:BI,MATCH($C30,C_Päästölaskenta!$A:$A,0))="","",INDEX(C_Päästölaskenta!BI:BI,MATCH($C30,C_Päästölaskenta!$A:$A,0)))</f>
        <v/>
      </c>
      <c r="G30" s="283" t="str">
        <f>IF(F30="","",INDEX(C_Päästölaskenta!K:K,MATCH($C30,C_Päästölaskenta!$A:$A,0)))</f>
        <v/>
      </c>
      <c r="H30" s="283" t="str">
        <f>IF(F30="","",INDEX(C_Päästölaskenta!K:K,MATCH($C30,C_Päästölaskenta!$A:$A,0)+1))</f>
        <v/>
      </c>
      <c r="I30" s="552" t="str">
        <f>IF($F30="","",INDEX(C_Päästölaskenta!BJ:BJ,MATCH($C30,C_Päästölaskenta!$A:$A,0)))</f>
        <v/>
      </c>
      <c r="J30" s="551" t="str">
        <f>IF($F30="","",INDEX(C_Päästölaskenta!BK:BK,MATCH($C30,C_Päästölaskenta!$A:$A,0)))</f>
        <v/>
      </c>
      <c r="K30" s="551" t="str">
        <f>IF($F30="","",SUM(J30)-INDEX(C_Päästölaskenta!BL:BL,MATCH($C30,C_Päästölaskenta!$A:$A,0)))</f>
        <v/>
      </c>
      <c r="L30" s="552" t="str">
        <f>IF($F30="","",INDEX(C_Päästölaskenta!BM:BM,MATCH($C30,C_Päästölaskenta!$A:$A,0)))</f>
        <v/>
      </c>
      <c r="M30" s="552" t="str">
        <f>IF($F30="","",INDEX(C_Päästölaskenta!BN:BN,MATCH($C30,C_Päästölaskenta!$A:$A,0)))</f>
        <v/>
      </c>
      <c r="N30" s="613" t="str">
        <f>IF($F30="","",INDEX(C_Päästölaskenta!BO:BO,MATCH($C30,C_Päästölaskenta!$A:$A,0)))</f>
        <v/>
      </c>
      <c r="O30" s="609" t="str">
        <f>IF($F30="","",INDEX(C_Päästölaskenta!BP:BP,MATCH($C30,C_Päästölaskenta!$A:$A,0)))</f>
        <v/>
      </c>
      <c r="P30" s="552" t="str">
        <f>IF($F30="","",INDEX(C_Päästölaskenta!BQ:BQ,MATCH($C30,C_Päästölaskenta!$A:$A,0)))</f>
        <v/>
      </c>
      <c r="Q30" s="755" t="str">
        <f>IF($F30="","",INDEX(C_Päästölaskenta!BR:BR,MATCH($C30,C_Päästölaskenta!$A:$A,0)))</f>
        <v/>
      </c>
      <c r="R30" s="552" t="str">
        <f>IF($F30="","",INDEX(C_Päästölaskenta!BS:BS,MATCH($C30,C_Päästölaskenta!$A:$A,0)))</f>
        <v/>
      </c>
      <c r="S30" s="552" t="str">
        <f>IF($F30="","",INDEX(C_Päästölaskenta!BT:BT,MATCH($C30,C_Päästölaskenta!$A:$A,0)))</f>
        <v/>
      </c>
      <c r="T30" s="755" t="str">
        <f>IF($F30="","",INDEX(C_Päästölaskenta!BU:BU,MATCH($C30,C_Päästölaskenta!$A:$A,0)))</f>
        <v/>
      </c>
      <c r="U30" s="552" t="str">
        <f>IF($F30="","",INDEX(C_Päästölaskenta!BV:BV,MATCH($C30,C_Päästölaskenta!$A:$A,0)))</f>
        <v/>
      </c>
      <c r="V30" s="552" t="str">
        <f>IF($F30="","",INDEX(C_Päästölaskenta!BW:BW,MATCH($C30,C_Päästölaskenta!$A:$A,0)))</f>
        <v/>
      </c>
      <c r="W30" s="553" t="str">
        <f>IF($F30="","",INDEX(C_Päästölaskenta!BX:BX,MATCH($C30,C_Päästölaskenta!$A:$A,0)))</f>
        <v/>
      </c>
      <c r="X30" s="552" t="str">
        <f>IF($F30="","",INDEX(C_Päästölaskenta!BY:BY,MATCH($C30,C_Päästölaskenta!$A:$A,0)))</f>
        <v/>
      </c>
      <c r="Y30" s="553" t="str">
        <f>IF($F30="","",INDEX(C_Päästölaskenta!BZ:BZ,MATCH($C30,C_Päästölaskenta!$A:$A,0)))</f>
        <v/>
      </c>
      <c r="Z30" s="551" t="str">
        <f>IF($F30="","",INDEX(C_Päästölaskenta!CA:CA,MATCH($C30,C_Päästölaskenta!$A:$A,0)))</f>
        <v/>
      </c>
      <c r="AA30" s="551" t="str">
        <f>IF($F30="","",INDEX(C_Päästölaskenta!CB:CB,MATCH($C30,C_Päästölaskenta!$A:$A,0)))</f>
        <v/>
      </c>
      <c r="AB30" s="551" t="str">
        <f>IF($F30="","",INDEX(C_Päästölaskenta!CC:CC,MATCH($C30,C_Päästölaskenta!$A:$A,0)))</f>
        <v/>
      </c>
      <c r="AC30" s="551" t="str">
        <f>IF($F30="","",INDEX(C_Päästölaskenta!CD:CD,MATCH($C30,C_Päästölaskenta!$A:$A,0)))</f>
        <v/>
      </c>
      <c r="AD30" s="551" t="str">
        <f>IF($F30="","",INDEX(C_Päästölaskenta!CE:CE,MATCH($C30,C_Päästölaskenta!$A:$A,0)))</f>
        <v/>
      </c>
      <c r="AE30" s="554" t="str">
        <f>IF($F30="","",INDEX(C_Päästölaskenta!BK:BK,MATCH($C30,C_Päästölaskenta!$A:$A,0)+3))</f>
        <v/>
      </c>
      <c r="AF30" s="554" t="str">
        <f>IF($F30="","",INDEX(C_Päästölaskenta!BL:BL,MATCH($C30,C_Päästölaskenta!$A:$A,0)+3))</f>
        <v/>
      </c>
      <c r="AG30" s="554" t="str">
        <f>IF($F30="","",INDEX(C_Päästölaskenta!BM:BM,MATCH($C30,C_Päästölaskenta!$A:$A,0)+3))</f>
        <v/>
      </c>
      <c r="AJ30" s="305" t="str">
        <f>IF($F30="","",INDEX('B_Polttoainevirtojen tiedot'!$E$67:$E$91,MATCH($F30,CNTR_SourceStreamNames,0)))</f>
        <v/>
      </c>
      <c r="AK30" s="305" t="str">
        <f>IF($F30="","",INDEX('B_Polttoainevirtojen tiedot'!$I$67:$I$91,MATCH($F30,CNTR_SourceStreamNames,0)))</f>
        <v/>
      </c>
      <c r="AL30" s="305" t="str">
        <f>IF($F30="","",IF(INDEX('B_Polttoainevirtojen tiedot'!$L$67:$L$91,MATCH($F30,CNTR_SourceStreamNames,0))="","",INDEX('B_Polttoainevirtojen tiedot'!$L$67:$L$91,MATCH($F30,CNTR_SourceStreamNames,0))))</f>
        <v/>
      </c>
    </row>
    <row r="31" spans="3:38" x14ac:dyDescent="0.25">
      <c r="C31" s="555">
        <f t="shared" si="2"/>
        <v>19</v>
      </c>
      <c r="D31" s="555" t="str">
        <f t="shared" si="1"/>
        <v/>
      </c>
      <c r="E31" s="613" t="str">
        <f t="shared" si="0"/>
        <v/>
      </c>
      <c r="F31" s="283" t="str">
        <f>IF(INDEX(C_Päästölaskenta!BI:BI,MATCH($C31,C_Päästölaskenta!$A:$A,0))="","",INDEX(C_Päästölaskenta!BI:BI,MATCH($C31,C_Päästölaskenta!$A:$A,0)))</f>
        <v/>
      </c>
      <c r="G31" s="283" t="str">
        <f>IF(F31="","",INDEX(C_Päästölaskenta!K:K,MATCH($C31,C_Päästölaskenta!$A:$A,0)))</f>
        <v/>
      </c>
      <c r="H31" s="283" t="str">
        <f>IF(F31="","",INDEX(C_Päästölaskenta!K:K,MATCH($C31,C_Päästölaskenta!$A:$A,0)+1))</f>
        <v/>
      </c>
      <c r="I31" s="552" t="str">
        <f>IF($F31="","",INDEX(C_Päästölaskenta!BJ:BJ,MATCH($C31,C_Päästölaskenta!$A:$A,0)))</f>
        <v/>
      </c>
      <c r="J31" s="551" t="str">
        <f>IF($F31="","",INDEX(C_Päästölaskenta!BK:BK,MATCH($C31,C_Päästölaskenta!$A:$A,0)))</f>
        <v/>
      </c>
      <c r="K31" s="551" t="str">
        <f>IF($F31="","",SUM(J31)-INDEX(C_Päästölaskenta!BL:BL,MATCH($C31,C_Päästölaskenta!$A:$A,0)))</f>
        <v/>
      </c>
      <c r="L31" s="552" t="str">
        <f>IF($F31="","",INDEX(C_Päästölaskenta!BM:BM,MATCH($C31,C_Päästölaskenta!$A:$A,0)))</f>
        <v/>
      </c>
      <c r="M31" s="552" t="str">
        <f>IF($F31="","",INDEX(C_Päästölaskenta!BN:BN,MATCH($C31,C_Päästölaskenta!$A:$A,0)))</f>
        <v/>
      </c>
      <c r="N31" s="613" t="str">
        <f>IF($F31="","",INDEX(C_Päästölaskenta!BO:BO,MATCH($C31,C_Päästölaskenta!$A:$A,0)))</f>
        <v/>
      </c>
      <c r="O31" s="609" t="str">
        <f>IF($F31="","",INDEX(C_Päästölaskenta!BP:BP,MATCH($C31,C_Päästölaskenta!$A:$A,0)))</f>
        <v/>
      </c>
      <c r="P31" s="552" t="str">
        <f>IF($F31="","",INDEX(C_Päästölaskenta!BQ:BQ,MATCH($C31,C_Päästölaskenta!$A:$A,0)))</f>
        <v/>
      </c>
      <c r="Q31" s="755" t="str">
        <f>IF($F31="","",INDEX(C_Päästölaskenta!BR:BR,MATCH($C31,C_Päästölaskenta!$A:$A,0)))</f>
        <v/>
      </c>
      <c r="R31" s="552" t="str">
        <f>IF($F31="","",INDEX(C_Päästölaskenta!BS:BS,MATCH($C31,C_Päästölaskenta!$A:$A,0)))</f>
        <v/>
      </c>
      <c r="S31" s="552" t="str">
        <f>IF($F31="","",INDEX(C_Päästölaskenta!BT:BT,MATCH($C31,C_Päästölaskenta!$A:$A,0)))</f>
        <v/>
      </c>
      <c r="T31" s="755" t="str">
        <f>IF($F31="","",INDEX(C_Päästölaskenta!BU:BU,MATCH($C31,C_Päästölaskenta!$A:$A,0)))</f>
        <v/>
      </c>
      <c r="U31" s="552" t="str">
        <f>IF($F31="","",INDEX(C_Päästölaskenta!BV:BV,MATCH($C31,C_Päästölaskenta!$A:$A,0)))</f>
        <v/>
      </c>
      <c r="V31" s="552" t="str">
        <f>IF($F31="","",INDEX(C_Päästölaskenta!BW:BW,MATCH($C31,C_Päästölaskenta!$A:$A,0)))</f>
        <v/>
      </c>
      <c r="W31" s="553" t="str">
        <f>IF($F31="","",INDEX(C_Päästölaskenta!BX:BX,MATCH($C31,C_Päästölaskenta!$A:$A,0)))</f>
        <v/>
      </c>
      <c r="X31" s="552" t="str">
        <f>IF($F31="","",INDEX(C_Päästölaskenta!BY:BY,MATCH($C31,C_Päästölaskenta!$A:$A,0)))</f>
        <v/>
      </c>
      <c r="Y31" s="553" t="str">
        <f>IF($F31="","",INDEX(C_Päästölaskenta!BZ:BZ,MATCH($C31,C_Päästölaskenta!$A:$A,0)))</f>
        <v/>
      </c>
      <c r="Z31" s="551" t="str">
        <f>IF($F31="","",INDEX(C_Päästölaskenta!CA:CA,MATCH($C31,C_Päästölaskenta!$A:$A,0)))</f>
        <v/>
      </c>
      <c r="AA31" s="551" t="str">
        <f>IF($F31="","",INDEX(C_Päästölaskenta!CB:CB,MATCH($C31,C_Päästölaskenta!$A:$A,0)))</f>
        <v/>
      </c>
      <c r="AB31" s="551" t="str">
        <f>IF($F31="","",INDEX(C_Päästölaskenta!CC:CC,MATCH($C31,C_Päästölaskenta!$A:$A,0)))</f>
        <v/>
      </c>
      <c r="AC31" s="551" t="str">
        <f>IF($F31="","",INDEX(C_Päästölaskenta!CD:CD,MATCH($C31,C_Päästölaskenta!$A:$A,0)))</f>
        <v/>
      </c>
      <c r="AD31" s="551" t="str">
        <f>IF($F31="","",INDEX(C_Päästölaskenta!CE:CE,MATCH($C31,C_Päästölaskenta!$A:$A,0)))</f>
        <v/>
      </c>
      <c r="AE31" s="554" t="str">
        <f>IF($F31="","",INDEX(C_Päästölaskenta!BK:BK,MATCH($C31,C_Päästölaskenta!$A:$A,0)+3))</f>
        <v/>
      </c>
      <c r="AF31" s="554" t="str">
        <f>IF($F31="","",INDEX(C_Päästölaskenta!BL:BL,MATCH($C31,C_Päästölaskenta!$A:$A,0)+3))</f>
        <v/>
      </c>
      <c r="AG31" s="554" t="str">
        <f>IF($F31="","",INDEX(C_Päästölaskenta!BM:BM,MATCH($C31,C_Päästölaskenta!$A:$A,0)+3))</f>
        <v/>
      </c>
      <c r="AJ31" s="305" t="str">
        <f>IF($F31="","",INDEX('B_Polttoainevirtojen tiedot'!$E$67:$E$91,MATCH($F31,CNTR_SourceStreamNames,0)))</f>
        <v/>
      </c>
      <c r="AK31" s="305" t="str">
        <f>IF($F31="","",INDEX('B_Polttoainevirtojen tiedot'!$I$67:$I$91,MATCH($F31,CNTR_SourceStreamNames,0)))</f>
        <v/>
      </c>
      <c r="AL31" s="305" t="str">
        <f>IF($F31="","",IF(INDEX('B_Polttoainevirtojen tiedot'!$L$67:$L$91,MATCH($F31,CNTR_SourceStreamNames,0))="","",INDEX('B_Polttoainevirtojen tiedot'!$L$67:$L$91,MATCH($F31,CNTR_SourceStreamNames,0))))</f>
        <v/>
      </c>
    </row>
    <row r="32" spans="3:38" x14ac:dyDescent="0.25">
      <c r="C32" s="555">
        <f t="shared" si="2"/>
        <v>20</v>
      </c>
      <c r="D32" s="555" t="str">
        <f t="shared" si="1"/>
        <v/>
      </c>
      <c r="E32" s="613" t="str">
        <f t="shared" si="0"/>
        <v/>
      </c>
      <c r="F32" s="283" t="str">
        <f>IF(INDEX(C_Päästölaskenta!BI:BI,MATCH($C32,C_Päästölaskenta!$A:$A,0))="","",INDEX(C_Päästölaskenta!BI:BI,MATCH($C32,C_Päästölaskenta!$A:$A,0)))</f>
        <v/>
      </c>
      <c r="G32" s="283" t="str">
        <f>IF(F32="","",INDEX(C_Päästölaskenta!K:K,MATCH($C32,C_Päästölaskenta!$A:$A,0)))</f>
        <v/>
      </c>
      <c r="H32" s="283" t="str">
        <f>IF(F32="","",INDEX(C_Päästölaskenta!K:K,MATCH($C32,C_Päästölaskenta!$A:$A,0)+1))</f>
        <v/>
      </c>
      <c r="I32" s="552" t="str">
        <f>IF($F32="","",INDEX(C_Päästölaskenta!BJ:BJ,MATCH($C32,C_Päästölaskenta!$A:$A,0)))</f>
        <v/>
      </c>
      <c r="J32" s="551" t="str">
        <f>IF($F32="","",INDEX(C_Päästölaskenta!BK:BK,MATCH($C32,C_Päästölaskenta!$A:$A,0)))</f>
        <v/>
      </c>
      <c r="K32" s="551" t="str">
        <f>IF($F32="","",SUM(J32)-INDEX(C_Päästölaskenta!BL:BL,MATCH($C32,C_Päästölaskenta!$A:$A,0)))</f>
        <v/>
      </c>
      <c r="L32" s="552" t="str">
        <f>IF($F32="","",INDEX(C_Päästölaskenta!BM:BM,MATCH($C32,C_Päästölaskenta!$A:$A,0)))</f>
        <v/>
      </c>
      <c r="M32" s="552" t="str">
        <f>IF($F32="","",INDEX(C_Päästölaskenta!BN:BN,MATCH($C32,C_Päästölaskenta!$A:$A,0)))</f>
        <v/>
      </c>
      <c r="N32" s="613" t="str">
        <f>IF($F32="","",INDEX(C_Päästölaskenta!BO:BO,MATCH($C32,C_Päästölaskenta!$A:$A,0)))</f>
        <v/>
      </c>
      <c r="O32" s="609" t="str">
        <f>IF($F32="","",INDEX(C_Päästölaskenta!BP:BP,MATCH($C32,C_Päästölaskenta!$A:$A,0)))</f>
        <v/>
      </c>
      <c r="P32" s="552" t="str">
        <f>IF($F32="","",INDEX(C_Päästölaskenta!BQ:BQ,MATCH($C32,C_Päästölaskenta!$A:$A,0)))</f>
        <v/>
      </c>
      <c r="Q32" s="755" t="str">
        <f>IF($F32="","",INDEX(C_Päästölaskenta!BR:BR,MATCH($C32,C_Päästölaskenta!$A:$A,0)))</f>
        <v/>
      </c>
      <c r="R32" s="552" t="str">
        <f>IF($F32="","",INDEX(C_Päästölaskenta!BS:BS,MATCH($C32,C_Päästölaskenta!$A:$A,0)))</f>
        <v/>
      </c>
      <c r="S32" s="552" t="str">
        <f>IF($F32="","",INDEX(C_Päästölaskenta!BT:BT,MATCH($C32,C_Päästölaskenta!$A:$A,0)))</f>
        <v/>
      </c>
      <c r="T32" s="755" t="str">
        <f>IF($F32="","",INDEX(C_Päästölaskenta!BU:BU,MATCH($C32,C_Päästölaskenta!$A:$A,0)))</f>
        <v/>
      </c>
      <c r="U32" s="552" t="str">
        <f>IF($F32="","",INDEX(C_Päästölaskenta!BV:BV,MATCH($C32,C_Päästölaskenta!$A:$A,0)))</f>
        <v/>
      </c>
      <c r="V32" s="552" t="str">
        <f>IF($F32="","",INDEX(C_Päästölaskenta!BW:BW,MATCH($C32,C_Päästölaskenta!$A:$A,0)))</f>
        <v/>
      </c>
      <c r="W32" s="553" t="str">
        <f>IF($F32="","",INDEX(C_Päästölaskenta!BX:BX,MATCH($C32,C_Päästölaskenta!$A:$A,0)))</f>
        <v/>
      </c>
      <c r="X32" s="552" t="str">
        <f>IF($F32="","",INDEX(C_Päästölaskenta!BY:BY,MATCH($C32,C_Päästölaskenta!$A:$A,0)))</f>
        <v/>
      </c>
      <c r="Y32" s="553" t="str">
        <f>IF($F32="","",INDEX(C_Päästölaskenta!BZ:BZ,MATCH($C32,C_Päästölaskenta!$A:$A,0)))</f>
        <v/>
      </c>
      <c r="Z32" s="551" t="str">
        <f>IF($F32="","",INDEX(C_Päästölaskenta!CA:CA,MATCH($C32,C_Päästölaskenta!$A:$A,0)))</f>
        <v/>
      </c>
      <c r="AA32" s="551" t="str">
        <f>IF($F32="","",INDEX(C_Päästölaskenta!CB:CB,MATCH($C32,C_Päästölaskenta!$A:$A,0)))</f>
        <v/>
      </c>
      <c r="AB32" s="551" t="str">
        <f>IF($F32="","",INDEX(C_Päästölaskenta!CC:CC,MATCH($C32,C_Päästölaskenta!$A:$A,0)))</f>
        <v/>
      </c>
      <c r="AC32" s="551" t="str">
        <f>IF($F32="","",INDEX(C_Päästölaskenta!CD:CD,MATCH($C32,C_Päästölaskenta!$A:$A,0)))</f>
        <v/>
      </c>
      <c r="AD32" s="551" t="str">
        <f>IF($F32="","",INDEX(C_Päästölaskenta!CE:CE,MATCH($C32,C_Päästölaskenta!$A:$A,0)))</f>
        <v/>
      </c>
      <c r="AE32" s="554" t="str">
        <f>IF($F32="","",INDEX(C_Päästölaskenta!BK:BK,MATCH($C32,C_Päästölaskenta!$A:$A,0)+3))</f>
        <v/>
      </c>
      <c r="AF32" s="554" t="str">
        <f>IF($F32="","",INDEX(C_Päästölaskenta!BL:BL,MATCH($C32,C_Päästölaskenta!$A:$A,0)+3))</f>
        <v/>
      </c>
      <c r="AG32" s="554" t="str">
        <f>IF($F32="","",INDEX(C_Päästölaskenta!BM:BM,MATCH($C32,C_Päästölaskenta!$A:$A,0)+3))</f>
        <v/>
      </c>
      <c r="AJ32" s="305" t="str">
        <f>IF($F32="","",INDEX('B_Polttoainevirtojen tiedot'!$E$67:$E$91,MATCH($F32,CNTR_SourceStreamNames,0)))</f>
        <v/>
      </c>
      <c r="AK32" s="305" t="str">
        <f>IF($F32="","",INDEX('B_Polttoainevirtojen tiedot'!$I$67:$I$91,MATCH($F32,CNTR_SourceStreamNames,0)))</f>
        <v/>
      </c>
      <c r="AL32" s="305" t="str">
        <f>IF($F32="","",IF(INDEX('B_Polttoainevirtojen tiedot'!$L$67:$L$91,MATCH($F32,CNTR_SourceStreamNames,0))="","",INDEX('B_Polttoainevirtojen tiedot'!$L$67:$L$91,MATCH($F32,CNTR_SourceStreamNames,0))))</f>
        <v/>
      </c>
    </row>
    <row r="33" spans="3:38" x14ac:dyDescent="0.25">
      <c r="C33" s="555">
        <f>C32+1</f>
        <v>21</v>
      </c>
      <c r="D33" s="555" t="str">
        <f t="shared" si="1"/>
        <v/>
      </c>
      <c r="E33" s="613" t="str">
        <f t="shared" si="0"/>
        <v/>
      </c>
      <c r="F33" s="283" t="str">
        <f>IF(INDEX(C_Päästölaskenta!BI:BI,MATCH($C33,C_Päästölaskenta!$A:$A,0))="","",INDEX(C_Päästölaskenta!BI:BI,MATCH($C33,C_Päästölaskenta!$A:$A,0)))</f>
        <v/>
      </c>
      <c r="G33" s="283" t="str">
        <f>IF(F33="","",INDEX(C_Päästölaskenta!K:K,MATCH($C33,C_Päästölaskenta!$A:$A,0)))</f>
        <v/>
      </c>
      <c r="H33" s="283" t="str">
        <f>IF(F33="","",INDEX(C_Päästölaskenta!K:K,MATCH($C33,C_Päästölaskenta!$A:$A,0)+1))</f>
        <v/>
      </c>
      <c r="I33" s="552" t="str">
        <f>IF($F33="","",INDEX(C_Päästölaskenta!BJ:BJ,MATCH($C33,C_Päästölaskenta!$A:$A,0)))</f>
        <v/>
      </c>
      <c r="J33" s="551" t="str">
        <f>IF($F33="","",INDEX(C_Päästölaskenta!BK:BK,MATCH($C33,C_Päästölaskenta!$A:$A,0)))</f>
        <v/>
      </c>
      <c r="K33" s="551" t="str">
        <f>IF($F33="","",SUM(J33)-INDEX(C_Päästölaskenta!BL:BL,MATCH($C33,C_Päästölaskenta!$A:$A,0)))</f>
        <v/>
      </c>
      <c r="L33" s="552" t="str">
        <f>IF($F33="","",INDEX(C_Päästölaskenta!BM:BM,MATCH($C33,C_Päästölaskenta!$A:$A,0)))</f>
        <v/>
      </c>
      <c r="M33" s="552" t="str">
        <f>IF($F33="","",INDEX(C_Päästölaskenta!BN:BN,MATCH($C33,C_Päästölaskenta!$A:$A,0)))</f>
        <v/>
      </c>
      <c r="N33" s="613" t="str">
        <f>IF($F33="","",INDEX(C_Päästölaskenta!BO:BO,MATCH($C33,C_Päästölaskenta!$A:$A,0)))</f>
        <v/>
      </c>
      <c r="O33" s="609" t="str">
        <f>IF($F33="","",INDEX(C_Päästölaskenta!BP:BP,MATCH($C33,C_Päästölaskenta!$A:$A,0)))</f>
        <v/>
      </c>
      <c r="P33" s="552" t="str">
        <f>IF($F33="","",INDEX(C_Päästölaskenta!BQ:BQ,MATCH($C33,C_Päästölaskenta!$A:$A,0)))</f>
        <v/>
      </c>
      <c r="Q33" s="755" t="str">
        <f>IF($F33="","",INDEX(C_Päästölaskenta!BR:BR,MATCH($C33,C_Päästölaskenta!$A:$A,0)))</f>
        <v/>
      </c>
      <c r="R33" s="552" t="str">
        <f>IF($F33="","",INDEX(C_Päästölaskenta!BS:BS,MATCH($C33,C_Päästölaskenta!$A:$A,0)))</f>
        <v/>
      </c>
      <c r="S33" s="552" t="str">
        <f>IF($F33="","",INDEX(C_Päästölaskenta!BT:BT,MATCH($C33,C_Päästölaskenta!$A:$A,0)))</f>
        <v/>
      </c>
      <c r="T33" s="755" t="str">
        <f>IF($F33="","",INDEX(C_Päästölaskenta!BU:BU,MATCH($C33,C_Päästölaskenta!$A:$A,0)))</f>
        <v/>
      </c>
      <c r="U33" s="552" t="str">
        <f>IF($F33="","",INDEX(C_Päästölaskenta!BV:BV,MATCH($C33,C_Päästölaskenta!$A:$A,0)))</f>
        <v/>
      </c>
      <c r="V33" s="552" t="str">
        <f>IF($F33="","",INDEX(C_Päästölaskenta!BW:BW,MATCH($C33,C_Päästölaskenta!$A:$A,0)))</f>
        <v/>
      </c>
      <c r="W33" s="553" t="str">
        <f>IF($F33="","",INDEX(C_Päästölaskenta!BX:BX,MATCH($C33,C_Päästölaskenta!$A:$A,0)))</f>
        <v/>
      </c>
      <c r="X33" s="552" t="str">
        <f>IF($F33="","",INDEX(C_Päästölaskenta!BY:BY,MATCH($C33,C_Päästölaskenta!$A:$A,0)))</f>
        <v/>
      </c>
      <c r="Y33" s="553" t="str">
        <f>IF($F33="","",INDEX(C_Päästölaskenta!BZ:BZ,MATCH($C33,C_Päästölaskenta!$A:$A,0)))</f>
        <v/>
      </c>
      <c r="Z33" s="551" t="str">
        <f>IF($F33="","",INDEX(C_Päästölaskenta!CA:CA,MATCH($C33,C_Päästölaskenta!$A:$A,0)))</f>
        <v/>
      </c>
      <c r="AA33" s="551" t="str">
        <f>IF($F33="","",INDEX(C_Päästölaskenta!CB:CB,MATCH($C33,C_Päästölaskenta!$A:$A,0)))</f>
        <v/>
      </c>
      <c r="AB33" s="551" t="str">
        <f>IF($F33="","",INDEX(C_Päästölaskenta!CC:CC,MATCH($C33,C_Päästölaskenta!$A:$A,0)))</f>
        <v/>
      </c>
      <c r="AC33" s="551" t="str">
        <f>IF($F33="","",INDEX(C_Päästölaskenta!CD:CD,MATCH($C33,C_Päästölaskenta!$A:$A,0)))</f>
        <v/>
      </c>
      <c r="AD33" s="551" t="str">
        <f>IF($F33="","",INDEX(C_Päästölaskenta!CE:CE,MATCH($C33,C_Päästölaskenta!$A:$A,0)))</f>
        <v/>
      </c>
      <c r="AE33" s="554" t="str">
        <f>IF($F33="","",INDEX(C_Päästölaskenta!BK:BK,MATCH($C33,C_Päästölaskenta!$A:$A,0)+3))</f>
        <v/>
      </c>
      <c r="AF33" s="554" t="str">
        <f>IF($F33="","",INDEX(C_Päästölaskenta!BL:BL,MATCH($C33,C_Päästölaskenta!$A:$A,0)+3))</f>
        <v/>
      </c>
      <c r="AG33" s="554" t="str">
        <f>IF($F33="","",INDEX(C_Päästölaskenta!BM:BM,MATCH($C33,C_Päästölaskenta!$A:$A,0)+3))</f>
        <v/>
      </c>
      <c r="AJ33" s="305" t="str">
        <f>IF($F33="","",INDEX('B_Polttoainevirtojen tiedot'!$E$67:$E$91,MATCH($F33,CNTR_SourceStreamNames,0)))</f>
        <v/>
      </c>
      <c r="AK33" s="305" t="str">
        <f>IF($F33="","",INDEX('B_Polttoainevirtojen tiedot'!$I$67:$I$91,MATCH($F33,CNTR_SourceStreamNames,0)))</f>
        <v/>
      </c>
      <c r="AL33" s="305" t="str">
        <f>IF($F33="","",IF(INDEX('B_Polttoainevirtojen tiedot'!$L$67:$L$91,MATCH($F33,CNTR_SourceStreamNames,0))="","",INDEX('B_Polttoainevirtojen tiedot'!$L$67:$L$91,MATCH($F33,CNTR_SourceStreamNames,0))))</f>
        <v/>
      </c>
    </row>
    <row r="34" spans="3:38" x14ac:dyDescent="0.25">
      <c r="C34" s="555">
        <f>C33+1</f>
        <v>22</v>
      </c>
      <c r="D34" s="555" t="str">
        <f t="shared" si="1"/>
        <v/>
      </c>
      <c r="E34" s="613" t="str">
        <f t="shared" si="0"/>
        <v/>
      </c>
      <c r="F34" s="283" t="str">
        <f>IF(INDEX(C_Päästölaskenta!BI:BI,MATCH($C34,C_Päästölaskenta!$A:$A,0))="","",INDEX(C_Päästölaskenta!BI:BI,MATCH($C34,C_Päästölaskenta!$A:$A,0)))</f>
        <v/>
      </c>
      <c r="G34" s="283" t="str">
        <f>IF(F34="","",INDEX(C_Päästölaskenta!K:K,MATCH($C34,C_Päästölaskenta!$A:$A,0)))</f>
        <v/>
      </c>
      <c r="H34" s="283" t="str">
        <f>IF(F34="","",INDEX(C_Päästölaskenta!K:K,MATCH($C34,C_Päästölaskenta!$A:$A,0)+1))</f>
        <v/>
      </c>
      <c r="I34" s="552" t="str">
        <f>IF($F34="","",INDEX(C_Päästölaskenta!BJ:BJ,MATCH($C34,C_Päästölaskenta!$A:$A,0)))</f>
        <v/>
      </c>
      <c r="J34" s="551" t="str">
        <f>IF($F34="","",INDEX(C_Päästölaskenta!BK:BK,MATCH($C34,C_Päästölaskenta!$A:$A,0)))</f>
        <v/>
      </c>
      <c r="K34" s="551" t="str">
        <f>IF($F34="","",SUM(J34)-INDEX(C_Päästölaskenta!BL:BL,MATCH($C34,C_Päästölaskenta!$A:$A,0)))</f>
        <v/>
      </c>
      <c r="L34" s="552" t="str">
        <f>IF($F34="","",INDEX(C_Päästölaskenta!BM:BM,MATCH($C34,C_Päästölaskenta!$A:$A,0)))</f>
        <v/>
      </c>
      <c r="M34" s="552" t="str">
        <f>IF($F34="","",INDEX(C_Päästölaskenta!BN:BN,MATCH($C34,C_Päästölaskenta!$A:$A,0)))</f>
        <v/>
      </c>
      <c r="N34" s="613" t="str">
        <f>IF($F34="","",INDEX(C_Päästölaskenta!BO:BO,MATCH($C34,C_Päästölaskenta!$A:$A,0)))</f>
        <v/>
      </c>
      <c r="O34" s="609" t="str">
        <f>IF($F34="","",INDEX(C_Päästölaskenta!BP:BP,MATCH($C34,C_Päästölaskenta!$A:$A,0)))</f>
        <v/>
      </c>
      <c r="P34" s="552" t="str">
        <f>IF($F34="","",INDEX(C_Päästölaskenta!BQ:BQ,MATCH($C34,C_Päästölaskenta!$A:$A,0)))</f>
        <v/>
      </c>
      <c r="Q34" s="755" t="str">
        <f>IF($F34="","",INDEX(C_Päästölaskenta!BR:BR,MATCH($C34,C_Päästölaskenta!$A:$A,0)))</f>
        <v/>
      </c>
      <c r="R34" s="552" t="str">
        <f>IF($F34="","",INDEX(C_Päästölaskenta!BS:BS,MATCH($C34,C_Päästölaskenta!$A:$A,0)))</f>
        <v/>
      </c>
      <c r="S34" s="552" t="str">
        <f>IF($F34="","",INDEX(C_Päästölaskenta!BT:BT,MATCH($C34,C_Päästölaskenta!$A:$A,0)))</f>
        <v/>
      </c>
      <c r="T34" s="755" t="str">
        <f>IF($F34="","",INDEX(C_Päästölaskenta!BU:BU,MATCH($C34,C_Päästölaskenta!$A:$A,0)))</f>
        <v/>
      </c>
      <c r="U34" s="552" t="str">
        <f>IF($F34="","",INDEX(C_Päästölaskenta!BV:BV,MATCH($C34,C_Päästölaskenta!$A:$A,0)))</f>
        <v/>
      </c>
      <c r="V34" s="552" t="str">
        <f>IF($F34="","",INDEX(C_Päästölaskenta!BW:BW,MATCH($C34,C_Päästölaskenta!$A:$A,0)))</f>
        <v/>
      </c>
      <c r="W34" s="553" t="str">
        <f>IF($F34="","",INDEX(C_Päästölaskenta!BX:BX,MATCH($C34,C_Päästölaskenta!$A:$A,0)))</f>
        <v/>
      </c>
      <c r="X34" s="552" t="str">
        <f>IF($F34="","",INDEX(C_Päästölaskenta!BY:BY,MATCH($C34,C_Päästölaskenta!$A:$A,0)))</f>
        <v/>
      </c>
      <c r="Y34" s="553" t="str">
        <f>IF($F34="","",INDEX(C_Päästölaskenta!BZ:BZ,MATCH($C34,C_Päästölaskenta!$A:$A,0)))</f>
        <v/>
      </c>
      <c r="Z34" s="551" t="str">
        <f>IF($F34="","",INDEX(C_Päästölaskenta!CA:CA,MATCH($C34,C_Päästölaskenta!$A:$A,0)))</f>
        <v/>
      </c>
      <c r="AA34" s="551" t="str">
        <f>IF($F34="","",INDEX(C_Päästölaskenta!CB:CB,MATCH($C34,C_Päästölaskenta!$A:$A,0)))</f>
        <v/>
      </c>
      <c r="AB34" s="551" t="str">
        <f>IF($F34="","",INDEX(C_Päästölaskenta!CC:CC,MATCH($C34,C_Päästölaskenta!$A:$A,0)))</f>
        <v/>
      </c>
      <c r="AC34" s="551" t="str">
        <f>IF($F34="","",INDEX(C_Päästölaskenta!CD:CD,MATCH($C34,C_Päästölaskenta!$A:$A,0)))</f>
        <v/>
      </c>
      <c r="AD34" s="551" t="str">
        <f>IF($F34="","",INDEX(C_Päästölaskenta!CE:CE,MATCH($C34,C_Päästölaskenta!$A:$A,0)))</f>
        <v/>
      </c>
      <c r="AE34" s="554" t="str">
        <f>IF($F34="","",INDEX(C_Päästölaskenta!BK:BK,MATCH($C34,C_Päästölaskenta!$A:$A,0)+3))</f>
        <v/>
      </c>
      <c r="AF34" s="554" t="str">
        <f>IF($F34="","",INDEX(C_Päästölaskenta!BL:BL,MATCH($C34,C_Päästölaskenta!$A:$A,0)+3))</f>
        <v/>
      </c>
      <c r="AG34" s="554" t="str">
        <f>IF($F34="","",INDEX(C_Päästölaskenta!BM:BM,MATCH($C34,C_Päästölaskenta!$A:$A,0)+3))</f>
        <v/>
      </c>
      <c r="AJ34" s="305" t="str">
        <f>IF($F34="","",INDEX('B_Polttoainevirtojen tiedot'!$E$67:$E$91,MATCH($F34,CNTR_SourceStreamNames,0)))</f>
        <v/>
      </c>
      <c r="AK34" s="305" t="str">
        <f>IF($F34="","",INDEX('B_Polttoainevirtojen tiedot'!$I$67:$I$91,MATCH($F34,CNTR_SourceStreamNames,0)))</f>
        <v/>
      </c>
      <c r="AL34" s="305" t="str">
        <f>IF($F34="","",IF(INDEX('B_Polttoainevirtojen tiedot'!$L$67:$L$91,MATCH($F34,CNTR_SourceStreamNames,0))="","",INDEX('B_Polttoainevirtojen tiedot'!$L$67:$L$91,MATCH($F34,CNTR_SourceStreamNames,0))))</f>
        <v/>
      </c>
    </row>
    <row r="35" spans="3:38" x14ac:dyDescent="0.25">
      <c r="C35" s="555">
        <f>C34+1</f>
        <v>23</v>
      </c>
      <c r="D35" s="555" t="str">
        <f t="shared" si="1"/>
        <v/>
      </c>
      <c r="E35" s="613" t="str">
        <f t="shared" si="0"/>
        <v/>
      </c>
      <c r="F35" s="283" t="str">
        <f>IF(INDEX(C_Päästölaskenta!BI:BI,MATCH($C35,C_Päästölaskenta!$A:$A,0))="","",INDEX(C_Päästölaskenta!BI:BI,MATCH($C35,C_Päästölaskenta!$A:$A,0)))</f>
        <v/>
      </c>
      <c r="G35" s="283" t="str">
        <f>IF(F35="","",INDEX(C_Päästölaskenta!K:K,MATCH($C35,C_Päästölaskenta!$A:$A,0)))</f>
        <v/>
      </c>
      <c r="H35" s="283" t="str">
        <f>IF(F35="","",INDEX(C_Päästölaskenta!K:K,MATCH($C35,C_Päästölaskenta!$A:$A,0)+1))</f>
        <v/>
      </c>
      <c r="I35" s="552" t="str">
        <f>IF($F35="","",INDEX(C_Päästölaskenta!BJ:BJ,MATCH($C35,C_Päästölaskenta!$A:$A,0)))</f>
        <v/>
      </c>
      <c r="J35" s="551" t="str">
        <f>IF($F35="","",INDEX(C_Päästölaskenta!BK:BK,MATCH($C35,C_Päästölaskenta!$A:$A,0)))</f>
        <v/>
      </c>
      <c r="K35" s="551" t="str">
        <f>IF($F35="","",SUM(J35)-INDEX(C_Päästölaskenta!BL:BL,MATCH($C35,C_Päästölaskenta!$A:$A,0)))</f>
        <v/>
      </c>
      <c r="L35" s="552" t="str">
        <f>IF($F35="","",INDEX(C_Päästölaskenta!BM:BM,MATCH($C35,C_Päästölaskenta!$A:$A,0)))</f>
        <v/>
      </c>
      <c r="M35" s="552" t="str">
        <f>IF($F35="","",INDEX(C_Päästölaskenta!BN:BN,MATCH($C35,C_Päästölaskenta!$A:$A,0)))</f>
        <v/>
      </c>
      <c r="N35" s="613" t="str">
        <f>IF($F35="","",INDEX(C_Päästölaskenta!BO:BO,MATCH($C35,C_Päästölaskenta!$A:$A,0)))</f>
        <v/>
      </c>
      <c r="O35" s="609" t="str">
        <f>IF($F35="","",INDEX(C_Päästölaskenta!BP:BP,MATCH($C35,C_Päästölaskenta!$A:$A,0)))</f>
        <v/>
      </c>
      <c r="P35" s="552" t="str">
        <f>IF($F35="","",INDEX(C_Päästölaskenta!BQ:BQ,MATCH($C35,C_Päästölaskenta!$A:$A,0)))</f>
        <v/>
      </c>
      <c r="Q35" s="755" t="str">
        <f>IF($F35="","",INDEX(C_Päästölaskenta!BR:BR,MATCH($C35,C_Päästölaskenta!$A:$A,0)))</f>
        <v/>
      </c>
      <c r="R35" s="552" t="str">
        <f>IF($F35="","",INDEX(C_Päästölaskenta!BS:BS,MATCH($C35,C_Päästölaskenta!$A:$A,0)))</f>
        <v/>
      </c>
      <c r="S35" s="552" t="str">
        <f>IF($F35="","",INDEX(C_Päästölaskenta!BT:BT,MATCH($C35,C_Päästölaskenta!$A:$A,0)))</f>
        <v/>
      </c>
      <c r="T35" s="755" t="str">
        <f>IF($F35="","",INDEX(C_Päästölaskenta!BU:BU,MATCH($C35,C_Päästölaskenta!$A:$A,0)))</f>
        <v/>
      </c>
      <c r="U35" s="552" t="str">
        <f>IF($F35="","",INDEX(C_Päästölaskenta!BV:BV,MATCH($C35,C_Päästölaskenta!$A:$A,0)))</f>
        <v/>
      </c>
      <c r="V35" s="552" t="str">
        <f>IF($F35="","",INDEX(C_Päästölaskenta!BW:BW,MATCH($C35,C_Päästölaskenta!$A:$A,0)))</f>
        <v/>
      </c>
      <c r="W35" s="553" t="str">
        <f>IF($F35="","",INDEX(C_Päästölaskenta!BX:BX,MATCH($C35,C_Päästölaskenta!$A:$A,0)))</f>
        <v/>
      </c>
      <c r="X35" s="552" t="str">
        <f>IF($F35="","",INDEX(C_Päästölaskenta!BY:BY,MATCH($C35,C_Päästölaskenta!$A:$A,0)))</f>
        <v/>
      </c>
      <c r="Y35" s="553" t="str">
        <f>IF($F35="","",INDEX(C_Päästölaskenta!BZ:BZ,MATCH($C35,C_Päästölaskenta!$A:$A,0)))</f>
        <v/>
      </c>
      <c r="Z35" s="551" t="str">
        <f>IF($F35="","",INDEX(C_Päästölaskenta!CA:CA,MATCH($C35,C_Päästölaskenta!$A:$A,0)))</f>
        <v/>
      </c>
      <c r="AA35" s="551" t="str">
        <f>IF($F35="","",INDEX(C_Päästölaskenta!CB:CB,MATCH($C35,C_Päästölaskenta!$A:$A,0)))</f>
        <v/>
      </c>
      <c r="AB35" s="551" t="str">
        <f>IF($F35="","",INDEX(C_Päästölaskenta!CC:CC,MATCH($C35,C_Päästölaskenta!$A:$A,0)))</f>
        <v/>
      </c>
      <c r="AC35" s="551" t="str">
        <f>IF($F35="","",INDEX(C_Päästölaskenta!CD:CD,MATCH($C35,C_Päästölaskenta!$A:$A,0)))</f>
        <v/>
      </c>
      <c r="AD35" s="551" t="str">
        <f>IF($F35="","",INDEX(C_Päästölaskenta!CE:CE,MATCH($C35,C_Päästölaskenta!$A:$A,0)))</f>
        <v/>
      </c>
      <c r="AE35" s="554" t="str">
        <f>IF($F35="","",INDEX(C_Päästölaskenta!BK:BK,MATCH($C35,C_Päästölaskenta!$A:$A,0)+3))</f>
        <v/>
      </c>
      <c r="AF35" s="554" t="str">
        <f>IF($F35="","",INDEX(C_Päästölaskenta!BL:BL,MATCH($C35,C_Päästölaskenta!$A:$A,0)+3))</f>
        <v/>
      </c>
      <c r="AG35" s="554" t="str">
        <f>IF($F35="","",INDEX(C_Päästölaskenta!BM:BM,MATCH($C35,C_Päästölaskenta!$A:$A,0)+3))</f>
        <v/>
      </c>
      <c r="AJ35" s="305" t="str">
        <f>IF($F35="","",INDEX('B_Polttoainevirtojen tiedot'!$E$67:$E$91,MATCH($F35,CNTR_SourceStreamNames,0)))</f>
        <v/>
      </c>
      <c r="AK35" s="305" t="str">
        <f>IF($F35="","",INDEX('B_Polttoainevirtojen tiedot'!$I$67:$I$91,MATCH($F35,CNTR_SourceStreamNames,0)))</f>
        <v/>
      </c>
      <c r="AL35" s="305" t="str">
        <f>IF($F35="","",IF(INDEX('B_Polttoainevirtojen tiedot'!$L$67:$L$91,MATCH($F35,CNTR_SourceStreamNames,0))="","",INDEX('B_Polttoainevirtojen tiedot'!$L$67:$L$91,MATCH($F35,CNTR_SourceStreamNames,0))))</f>
        <v/>
      </c>
    </row>
    <row r="36" spans="3:38" x14ac:dyDescent="0.25">
      <c r="C36" s="555">
        <f>C35+1</f>
        <v>24</v>
      </c>
      <c r="D36" s="555" t="str">
        <f t="shared" si="1"/>
        <v/>
      </c>
      <c r="E36" s="613" t="str">
        <f t="shared" si="0"/>
        <v/>
      </c>
      <c r="F36" s="283" t="str">
        <f>IF(INDEX(C_Päästölaskenta!BI:BI,MATCH($C36,C_Päästölaskenta!$A:$A,0))="","",INDEX(C_Päästölaskenta!BI:BI,MATCH($C36,C_Päästölaskenta!$A:$A,0)))</f>
        <v/>
      </c>
      <c r="G36" s="283" t="str">
        <f>IF(F36="","",INDEX(C_Päästölaskenta!K:K,MATCH($C36,C_Päästölaskenta!$A:$A,0)))</f>
        <v/>
      </c>
      <c r="H36" s="283" t="str">
        <f>IF(F36="","",INDEX(C_Päästölaskenta!K:K,MATCH($C36,C_Päästölaskenta!$A:$A,0)+1))</f>
        <v/>
      </c>
      <c r="I36" s="552" t="str">
        <f>IF($F36="","",INDEX(C_Päästölaskenta!BJ:BJ,MATCH($C36,C_Päästölaskenta!$A:$A,0)))</f>
        <v/>
      </c>
      <c r="J36" s="551" t="str">
        <f>IF($F36="","",INDEX(C_Päästölaskenta!BK:BK,MATCH($C36,C_Päästölaskenta!$A:$A,0)))</f>
        <v/>
      </c>
      <c r="K36" s="551" t="str">
        <f>IF($F36="","",SUM(J36)-INDEX(C_Päästölaskenta!BL:BL,MATCH($C36,C_Päästölaskenta!$A:$A,0)))</f>
        <v/>
      </c>
      <c r="L36" s="552" t="str">
        <f>IF($F36="","",INDEX(C_Päästölaskenta!BM:BM,MATCH($C36,C_Päästölaskenta!$A:$A,0)))</f>
        <v/>
      </c>
      <c r="M36" s="552" t="str">
        <f>IF($F36="","",INDEX(C_Päästölaskenta!BN:BN,MATCH($C36,C_Päästölaskenta!$A:$A,0)))</f>
        <v/>
      </c>
      <c r="N36" s="613" t="str">
        <f>IF($F36="","",INDEX(C_Päästölaskenta!BO:BO,MATCH($C36,C_Päästölaskenta!$A:$A,0)))</f>
        <v/>
      </c>
      <c r="O36" s="609" t="str">
        <f>IF($F36="","",INDEX(C_Päästölaskenta!BP:BP,MATCH($C36,C_Päästölaskenta!$A:$A,0)))</f>
        <v/>
      </c>
      <c r="P36" s="552" t="str">
        <f>IF($F36="","",INDEX(C_Päästölaskenta!BQ:BQ,MATCH($C36,C_Päästölaskenta!$A:$A,0)))</f>
        <v/>
      </c>
      <c r="Q36" s="755" t="str">
        <f>IF($F36="","",INDEX(C_Päästölaskenta!BR:BR,MATCH($C36,C_Päästölaskenta!$A:$A,0)))</f>
        <v/>
      </c>
      <c r="R36" s="552" t="str">
        <f>IF($F36="","",INDEX(C_Päästölaskenta!BS:BS,MATCH($C36,C_Päästölaskenta!$A:$A,0)))</f>
        <v/>
      </c>
      <c r="S36" s="552" t="str">
        <f>IF($F36="","",INDEX(C_Päästölaskenta!BT:BT,MATCH($C36,C_Päästölaskenta!$A:$A,0)))</f>
        <v/>
      </c>
      <c r="T36" s="755" t="str">
        <f>IF($F36="","",INDEX(C_Päästölaskenta!BU:BU,MATCH($C36,C_Päästölaskenta!$A:$A,0)))</f>
        <v/>
      </c>
      <c r="U36" s="552" t="str">
        <f>IF($F36="","",INDEX(C_Päästölaskenta!BV:BV,MATCH($C36,C_Päästölaskenta!$A:$A,0)))</f>
        <v/>
      </c>
      <c r="V36" s="552" t="str">
        <f>IF($F36="","",INDEX(C_Päästölaskenta!BW:BW,MATCH($C36,C_Päästölaskenta!$A:$A,0)))</f>
        <v/>
      </c>
      <c r="W36" s="553" t="str">
        <f>IF($F36="","",INDEX(C_Päästölaskenta!BX:BX,MATCH($C36,C_Päästölaskenta!$A:$A,0)))</f>
        <v/>
      </c>
      <c r="X36" s="552" t="str">
        <f>IF($F36="","",INDEX(C_Päästölaskenta!BY:BY,MATCH($C36,C_Päästölaskenta!$A:$A,0)))</f>
        <v/>
      </c>
      <c r="Y36" s="553" t="str">
        <f>IF($F36="","",INDEX(C_Päästölaskenta!BZ:BZ,MATCH($C36,C_Päästölaskenta!$A:$A,0)))</f>
        <v/>
      </c>
      <c r="Z36" s="551" t="str">
        <f>IF($F36="","",INDEX(C_Päästölaskenta!CA:CA,MATCH($C36,C_Päästölaskenta!$A:$A,0)))</f>
        <v/>
      </c>
      <c r="AA36" s="551" t="str">
        <f>IF($F36="","",INDEX(C_Päästölaskenta!CB:CB,MATCH($C36,C_Päästölaskenta!$A:$A,0)))</f>
        <v/>
      </c>
      <c r="AB36" s="551" t="str">
        <f>IF($F36="","",INDEX(C_Päästölaskenta!CC:CC,MATCH($C36,C_Päästölaskenta!$A:$A,0)))</f>
        <v/>
      </c>
      <c r="AC36" s="551" t="str">
        <f>IF($F36="","",INDEX(C_Päästölaskenta!CD:CD,MATCH($C36,C_Päästölaskenta!$A:$A,0)))</f>
        <v/>
      </c>
      <c r="AD36" s="551" t="str">
        <f>IF($F36="","",INDEX(C_Päästölaskenta!CE:CE,MATCH($C36,C_Päästölaskenta!$A:$A,0)))</f>
        <v/>
      </c>
      <c r="AE36" s="554" t="str">
        <f>IF($F36="","",INDEX(C_Päästölaskenta!BK:BK,MATCH($C36,C_Päästölaskenta!$A:$A,0)+3))</f>
        <v/>
      </c>
      <c r="AF36" s="554" t="str">
        <f>IF($F36="","",INDEX(C_Päästölaskenta!BL:BL,MATCH($C36,C_Päästölaskenta!$A:$A,0)+3))</f>
        <v/>
      </c>
      <c r="AG36" s="554" t="str">
        <f>IF($F36="","",INDEX(C_Päästölaskenta!BM:BM,MATCH($C36,C_Päästölaskenta!$A:$A,0)+3))</f>
        <v/>
      </c>
      <c r="AJ36" s="305" t="str">
        <f>IF($F36="","",INDEX('B_Polttoainevirtojen tiedot'!$E$67:$E$91,MATCH($F36,CNTR_SourceStreamNames,0)))</f>
        <v/>
      </c>
      <c r="AK36" s="305" t="str">
        <f>IF($F36="","",INDEX('B_Polttoainevirtojen tiedot'!$I$67:$I$91,MATCH($F36,CNTR_SourceStreamNames,0)))</f>
        <v/>
      </c>
      <c r="AL36" s="305" t="str">
        <f>IF($F36="","",IF(INDEX('B_Polttoainevirtojen tiedot'!$L$67:$L$91,MATCH($F36,CNTR_SourceStreamNames,0))="","",INDEX('B_Polttoainevirtojen tiedot'!$L$67:$L$91,MATCH($F36,CNTR_SourceStreamNames,0))))</f>
        <v/>
      </c>
    </row>
    <row r="37" spans="3:38" x14ac:dyDescent="0.25">
      <c r="C37" s="555">
        <f>C36+1</f>
        <v>25</v>
      </c>
      <c r="D37" s="555" t="str">
        <f t="shared" si="1"/>
        <v/>
      </c>
      <c r="E37" s="613" t="str">
        <f t="shared" si="0"/>
        <v/>
      </c>
      <c r="F37" s="283" t="str">
        <f>IF(INDEX(C_Päästölaskenta!BI:BI,MATCH($C37,C_Päästölaskenta!$A:$A,0))="","",INDEX(C_Päästölaskenta!BI:BI,MATCH($C37,C_Päästölaskenta!$A:$A,0)))</f>
        <v/>
      </c>
      <c r="G37" s="283" t="str">
        <f>IF(F37="","",INDEX(C_Päästölaskenta!K:K,MATCH($C37,C_Päästölaskenta!$A:$A,0)))</f>
        <v/>
      </c>
      <c r="H37" s="283" t="str">
        <f>IF(F37="","",INDEX(C_Päästölaskenta!K:K,MATCH($C37,C_Päästölaskenta!$A:$A,0)+1))</f>
        <v/>
      </c>
      <c r="I37" s="552" t="str">
        <f>IF($F37="","",INDEX(C_Päästölaskenta!BJ:BJ,MATCH($C37,C_Päästölaskenta!$A:$A,0)))</f>
        <v/>
      </c>
      <c r="J37" s="551" t="str">
        <f>IF($F37="","",INDEX(C_Päästölaskenta!BK:BK,MATCH($C37,C_Päästölaskenta!$A:$A,0)))</f>
        <v/>
      </c>
      <c r="K37" s="551" t="str">
        <f>IF($F37="","",SUM(J37)-INDEX(C_Päästölaskenta!BL:BL,MATCH($C37,C_Päästölaskenta!$A:$A,0)))</f>
        <v/>
      </c>
      <c r="L37" s="552" t="str">
        <f>IF($F37="","",INDEX(C_Päästölaskenta!BM:BM,MATCH($C37,C_Päästölaskenta!$A:$A,0)))</f>
        <v/>
      </c>
      <c r="M37" s="552" t="str">
        <f>IF($F37="","",INDEX(C_Päästölaskenta!BN:BN,MATCH($C37,C_Päästölaskenta!$A:$A,0)))</f>
        <v/>
      </c>
      <c r="N37" s="613" t="str">
        <f>IF($F37="","",INDEX(C_Päästölaskenta!BO:BO,MATCH($C37,C_Päästölaskenta!$A:$A,0)))</f>
        <v/>
      </c>
      <c r="O37" s="609" t="str">
        <f>IF($F37="","",INDEX(C_Päästölaskenta!BP:BP,MATCH($C37,C_Päästölaskenta!$A:$A,0)))</f>
        <v/>
      </c>
      <c r="P37" s="552" t="str">
        <f>IF($F37="","",INDEX(C_Päästölaskenta!BQ:BQ,MATCH($C37,C_Päästölaskenta!$A:$A,0)))</f>
        <v/>
      </c>
      <c r="Q37" s="755" t="str">
        <f>IF($F37="","",INDEX(C_Päästölaskenta!BR:BR,MATCH($C37,C_Päästölaskenta!$A:$A,0)))</f>
        <v/>
      </c>
      <c r="R37" s="552" t="str">
        <f>IF($F37="","",INDEX(C_Päästölaskenta!BS:BS,MATCH($C37,C_Päästölaskenta!$A:$A,0)))</f>
        <v/>
      </c>
      <c r="S37" s="552" t="str">
        <f>IF($F37="","",INDEX(C_Päästölaskenta!BT:BT,MATCH($C37,C_Päästölaskenta!$A:$A,0)))</f>
        <v/>
      </c>
      <c r="T37" s="755" t="str">
        <f>IF($F37="","",INDEX(C_Päästölaskenta!BU:BU,MATCH($C37,C_Päästölaskenta!$A:$A,0)))</f>
        <v/>
      </c>
      <c r="U37" s="552" t="str">
        <f>IF($F37="","",INDEX(C_Päästölaskenta!BV:BV,MATCH($C37,C_Päästölaskenta!$A:$A,0)))</f>
        <v/>
      </c>
      <c r="V37" s="552" t="str">
        <f>IF($F37="","",INDEX(C_Päästölaskenta!BW:BW,MATCH($C37,C_Päästölaskenta!$A:$A,0)))</f>
        <v/>
      </c>
      <c r="W37" s="553" t="str">
        <f>IF($F37="","",INDEX(C_Päästölaskenta!BX:BX,MATCH($C37,C_Päästölaskenta!$A:$A,0)))</f>
        <v/>
      </c>
      <c r="X37" s="552" t="str">
        <f>IF($F37="","",INDEX(C_Päästölaskenta!BY:BY,MATCH($C37,C_Päästölaskenta!$A:$A,0)))</f>
        <v/>
      </c>
      <c r="Y37" s="553" t="str">
        <f>IF($F37="","",INDEX(C_Päästölaskenta!BZ:BZ,MATCH($C37,C_Päästölaskenta!$A:$A,0)))</f>
        <v/>
      </c>
      <c r="Z37" s="551" t="str">
        <f>IF($F37="","",INDEX(C_Päästölaskenta!CA:CA,MATCH($C37,C_Päästölaskenta!$A:$A,0)))</f>
        <v/>
      </c>
      <c r="AA37" s="551" t="str">
        <f>IF($F37="","",INDEX(C_Päästölaskenta!CB:CB,MATCH($C37,C_Päästölaskenta!$A:$A,0)))</f>
        <v/>
      </c>
      <c r="AB37" s="551" t="str">
        <f>IF($F37="","",INDEX(C_Päästölaskenta!CC:CC,MATCH($C37,C_Päästölaskenta!$A:$A,0)))</f>
        <v/>
      </c>
      <c r="AC37" s="551" t="str">
        <f>IF($F37="","",INDEX(C_Päästölaskenta!CD:CD,MATCH($C37,C_Päästölaskenta!$A:$A,0)))</f>
        <v/>
      </c>
      <c r="AD37" s="551" t="str">
        <f>IF($F37="","",INDEX(C_Päästölaskenta!CE:CE,MATCH($C37,C_Päästölaskenta!$A:$A,0)))</f>
        <v/>
      </c>
      <c r="AE37" s="554" t="str">
        <f>IF($F37="","",INDEX(C_Päästölaskenta!BK:BK,MATCH($C37,C_Päästölaskenta!$A:$A,0)+3))</f>
        <v/>
      </c>
      <c r="AF37" s="554" t="str">
        <f>IF($F37="","",INDEX(C_Päästölaskenta!BL:BL,MATCH($C37,C_Päästölaskenta!$A:$A,0)+3))</f>
        <v/>
      </c>
      <c r="AG37" s="554" t="str">
        <f>IF($F37="","",INDEX(C_Päästölaskenta!BM:BM,MATCH($C37,C_Päästölaskenta!$A:$A,0)+3))</f>
        <v/>
      </c>
      <c r="AJ37" s="305" t="str">
        <f>IF($F37="","",INDEX('B_Polttoainevirtojen tiedot'!$E$67:$E$91,MATCH($F37,CNTR_SourceStreamNames,0)))</f>
        <v/>
      </c>
      <c r="AK37" s="305" t="str">
        <f>IF($F37="","",INDEX('B_Polttoainevirtojen tiedot'!$I$67:$I$91,MATCH($F37,CNTR_SourceStreamNames,0)))</f>
        <v/>
      </c>
      <c r="AL37" s="305" t="str">
        <f>IF($F37="","",IF(INDEX('B_Polttoainevirtojen tiedot'!$L$67:$L$91,MATCH($F37,CNTR_SourceStreamNames,0))="","",INDEX('B_Polttoainevirtojen tiedot'!$L$67:$L$91,MATCH($F37,CNTR_SourceStreamNames,0))))</f>
        <v/>
      </c>
    </row>
  </sheetData>
  <sheetProtection sheet="1" formatCells="0" formatColumns="0" formatRows="0"/>
  <mergeCells count="7">
    <mergeCell ref="E6:F6"/>
    <mergeCell ref="X11:Y11"/>
    <mergeCell ref="I11:L11"/>
    <mergeCell ref="M11:O11"/>
    <mergeCell ref="P11:R11"/>
    <mergeCell ref="S11:U11"/>
    <mergeCell ref="V11:W11"/>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tabColor indexed="12"/>
  </sheetPr>
  <dimension ref="A1:K610"/>
  <sheetViews>
    <sheetView topLeftCell="A333" zoomScaleNormal="100" workbookViewId="0">
      <selection activeCell="B361" sqref="B361"/>
    </sheetView>
  </sheetViews>
  <sheetFormatPr defaultColWidth="9.1796875" defaultRowHeight="12.5" x14ac:dyDescent="0.25"/>
  <cols>
    <col min="1" max="1" width="8.26953125" customWidth="1"/>
    <col min="2" max="3" width="70.7265625" customWidth="1"/>
  </cols>
  <sheetData>
    <row r="1" spans="1:4" ht="14.5" x14ac:dyDescent="0.35">
      <c r="A1" s="30" t="s">
        <v>151</v>
      </c>
      <c r="B1" s="30" t="s">
        <v>152</v>
      </c>
      <c r="C1" s="30" t="s">
        <v>153</v>
      </c>
      <c r="D1" s="317"/>
    </row>
    <row r="2" spans="1:4" x14ac:dyDescent="0.25">
      <c r="A2" s="218">
        <v>11</v>
      </c>
      <c r="B2" s="187" t="s">
        <v>154</v>
      </c>
      <c r="C2" s="187" t="s">
        <v>155</v>
      </c>
    </row>
    <row r="3" spans="1:4" x14ac:dyDescent="0.25">
      <c r="A3" s="218">
        <v>43</v>
      </c>
      <c r="B3" s="187" t="s">
        <v>156</v>
      </c>
      <c r="C3" s="187" t="s">
        <v>157</v>
      </c>
    </row>
    <row r="4" spans="1:4" ht="13.5" thickBot="1" x14ac:dyDescent="0.3">
      <c r="A4" s="218">
        <v>44</v>
      </c>
      <c r="B4" s="139" t="s">
        <v>158</v>
      </c>
      <c r="C4" s="139" t="s">
        <v>159</v>
      </c>
    </row>
    <row r="5" spans="1:4" ht="13" thickBot="1" x14ac:dyDescent="0.3">
      <c r="A5" s="218">
        <v>50</v>
      </c>
      <c r="B5" s="189" t="s">
        <v>160</v>
      </c>
      <c r="C5" s="189" t="s">
        <v>161</v>
      </c>
    </row>
    <row r="6" spans="1:4" x14ac:dyDescent="0.25">
      <c r="A6" s="218">
        <v>51</v>
      </c>
      <c r="B6" s="190" t="s">
        <v>162</v>
      </c>
      <c r="C6" s="190" t="s">
        <v>163</v>
      </c>
    </row>
    <row r="7" spans="1:4" ht="13.5" thickBot="1" x14ac:dyDescent="0.3">
      <c r="A7" s="218">
        <v>52</v>
      </c>
      <c r="B7" s="139" t="s">
        <v>164</v>
      </c>
      <c r="C7" s="139" t="s">
        <v>165</v>
      </c>
    </row>
    <row r="8" spans="1:4" x14ac:dyDescent="0.25">
      <c r="A8" s="218">
        <v>53</v>
      </c>
      <c r="B8" s="191" t="s">
        <v>166</v>
      </c>
      <c r="C8" s="191" t="s">
        <v>167</v>
      </c>
    </row>
    <row r="9" spans="1:4" x14ac:dyDescent="0.25">
      <c r="A9" s="218">
        <v>54</v>
      </c>
      <c r="B9" s="192" t="s">
        <v>168</v>
      </c>
      <c r="C9" s="192" t="s">
        <v>169</v>
      </c>
    </row>
    <row r="10" spans="1:4" x14ac:dyDescent="0.25">
      <c r="A10" s="218">
        <v>55</v>
      </c>
      <c r="B10" s="192" t="s">
        <v>170</v>
      </c>
      <c r="C10" s="192" t="s">
        <v>171</v>
      </c>
    </row>
    <row r="11" spans="1:4" ht="13" thickBot="1" x14ac:dyDescent="0.3">
      <c r="A11" s="218">
        <v>56</v>
      </c>
      <c r="B11" s="193" t="s">
        <v>172</v>
      </c>
      <c r="C11" s="193" t="s">
        <v>173</v>
      </c>
    </row>
    <row r="12" spans="1:4" ht="26.5" thickBot="1" x14ac:dyDescent="0.3">
      <c r="A12" s="218">
        <v>57</v>
      </c>
      <c r="B12" s="194" t="s">
        <v>174</v>
      </c>
      <c r="C12" s="194" t="s">
        <v>175</v>
      </c>
    </row>
    <row r="13" spans="1:4" ht="13.5" thickBot="1" x14ac:dyDescent="0.35">
      <c r="A13" s="218">
        <v>58</v>
      </c>
      <c r="B13" s="195" t="s">
        <v>176</v>
      </c>
      <c r="C13" s="195" t="s">
        <v>177</v>
      </c>
      <c r="D13" t="s">
        <v>178</v>
      </c>
    </row>
    <row r="14" spans="1:4" x14ac:dyDescent="0.25">
      <c r="A14" s="218">
        <v>59</v>
      </c>
      <c r="B14" t="s">
        <v>179</v>
      </c>
      <c r="C14" t="s">
        <v>180</v>
      </c>
    </row>
    <row r="15" spans="1:4" x14ac:dyDescent="0.25">
      <c r="A15" s="218">
        <v>60</v>
      </c>
      <c r="B15" t="s">
        <v>181</v>
      </c>
      <c r="C15" t="s">
        <v>182</v>
      </c>
    </row>
    <row r="16" spans="1:4" x14ac:dyDescent="0.25">
      <c r="A16" s="218">
        <v>61</v>
      </c>
      <c r="B16" t="s">
        <v>183</v>
      </c>
      <c r="C16" t="s">
        <v>184</v>
      </c>
    </row>
    <row r="17" spans="1:3" ht="18" x14ac:dyDescent="0.25">
      <c r="A17" s="218">
        <v>64</v>
      </c>
      <c r="B17" s="196" t="s">
        <v>185</v>
      </c>
      <c r="C17" s="196" t="s">
        <v>186</v>
      </c>
    </row>
    <row r="18" spans="1:3" x14ac:dyDescent="0.25">
      <c r="A18" s="218">
        <v>66</v>
      </c>
      <c r="B18" s="197" t="s">
        <v>187</v>
      </c>
      <c r="C18" s="197" t="s">
        <v>188</v>
      </c>
    </row>
    <row r="19" spans="1:3" ht="25" x14ac:dyDescent="0.25">
      <c r="A19" s="218">
        <v>79</v>
      </c>
      <c r="B19" s="197" t="s">
        <v>189</v>
      </c>
      <c r="C19" s="197" t="s">
        <v>190</v>
      </c>
    </row>
    <row r="20" spans="1:3" ht="13" x14ac:dyDescent="0.25">
      <c r="A20" s="218">
        <v>81</v>
      </c>
      <c r="B20" s="202" t="s">
        <v>191</v>
      </c>
      <c r="C20" s="202" t="s">
        <v>192</v>
      </c>
    </row>
    <row r="21" spans="1:3" x14ac:dyDescent="0.25">
      <c r="A21" s="218">
        <v>82</v>
      </c>
      <c r="B21" s="198" t="s">
        <v>193</v>
      </c>
      <c r="C21" s="198" t="s">
        <v>194</v>
      </c>
    </row>
    <row r="22" spans="1:3" ht="37.5" x14ac:dyDescent="0.25">
      <c r="A22" s="218">
        <v>84</v>
      </c>
      <c r="B22" s="197" t="s">
        <v>195</v>
      </c>
      <c r="C22" s="197" t="s">
        <v>196</v>
      </c>
    </row>
    <row r="23" spans="1:3" ht="37.5" x14ac:dyDescent="0.25">
      <c r="A23" s="218">
        <v>85</v>
      </c>
      <c r="B23" s="197" t="s">
        <v>197</v>
      </c>
      <c r="C23" s="197" t="s">
        <v>198</v>
      </c>
    </row>
    <row r="24" spans="1:3" ht="17.5" x14ac:dyDescent="0.25">
      <c r="A24" s="218">
        <v>87</v>
      </c>
      <c r="B24" s="798" t="s">
        <v>199</v>
      </c>
      <c r="C24" s="199" t="s">
        <v>200</v>
      </c>
    </row>
    <row r="25" spans="1:3" ht="15.5" x14ac:dyDescent="0.25">
      <c r="A25" s="218">
        <v>93</v>
      </c>
      <c r="B25" s="764" t="s">
        <v>201</v>
      </c>
      <c r="C25" s="762" t="s">
        <v>202</v>
      </c>
    </row>
    <row r="26" spans="1:3" ht="13" x14ac:dyDescent="0.3">
      <c r="A26" s="218">
        <v>94</v>
      </c>
      <c r="B26" s="200" t="s">
        <v>203</v>
      </c>
      <c r="C26" s="200" t="s">
        <v>204</v>
      </c>
    </row>
    <row r="27" spans="1:3" x14ac:dyDescent="0.25">
      <c r="A27" s="218">
        <v>95</v>
      </c>
      <c r="B27" s="763" t="s">
        <v>205</v>
      </c>
      <c r="C27" s="763" t="s">
        <v>206</v>
      </c>
    </row>
    <row r="28" spans="1:3" x14ac:dyDescent="0.25">
      <c r="A28" s="218">
        <v>96</v>
      </c>
      <c r="B28" t="s">
        <v>207</v>
      </c>
      <c r="C28" t="s">
        <v>208</v>
      </c>
    </row>
    <row r="29" spans="1:3" x14ac:dyDescent="0.25">
      <c r="A29" s="218">
        <v>97</v>
      </c>
      <c r="B29" s="763" t="s">
        <v>209</v>
      </c>
      <c r="C29" s="763" t="s">
        <v>210</v>
      </c>
    </row>
    <row r="30" spans="1:3" x14ac:dyDescent="0.25">
      <c r="A30" s="218">
        <v>99</v>
      </c>
      <c r="B30" s="763" t="s">
        <v>211</v>
      </c>
      <c r="C30" s="763" t="s">
        <v>212</v>
      </c>
    </row>
    <row r="31" spans="1:3" ht="13" x14ac:dyDescent="0.3">
      <c r="A31" s="218">
        <v>100</v>
      </c>
      <c r="B31" s="200" t="s">
        <v>213</v>
      </c>
      <c r="C31" s="200" t="s">
        <v>214</v>
      </c>
    </row>
    <row r="32" spans="1:3" x14ac:dyDescent="0.25">
      <c r="A32" s="218">
        <v>101</v>
      </c>
      <c r="B32" s="799" t="s">
        <v>215</v>
      </c>
      <c r="C32" s="76" t="s">
        <v>216</v>
      </c>
    </row>
    <row r="33" spans="1:3" ht="13" x14ac:dyDescent="0.3">
      <c r="A33" s="218">
        <v>102</v>
      </c>
      <c r="B33" s="200" t="s">
        <v>217</v>
      </c>
      <c r="C33" s="200" t="s">
        <v>218</v>
      </c>
    </row>
    <row r="34" spans="1:3" x14ac:dyDescent="0.25">
      <c r="A34" s="218">
        <v>103</v>
      </c>
      <c r="B34" s="799" t="s">
        <v>219</v>
      </c>
      <c r="C34" s="76" t="s">
        <v>220</v>
      </c>
    </row>
    <row r="35" spans="1:3" ht="15.5" x14ac:dyDescent="0.25">
      <c r="A35" s="218">
        <v>104</v>
      </c>
      <c r="B35" s="764" t="s">
        <v>221</v>
      </c>
      <c r="C35" s="764" t="s">
        <v>222</v>
      </c>
    </row>
    <row r="36" spans="1:3" ht="62.5" x14ac:dyDescent="0.25">
      <c r="A36" s="218">
        <v>107</v>
      </c>
      <c r="B36" s="197" t="s">
        <v>223</v>
      </c>
      <c r="C36" s="197" t="s">
        <v>224</v>
      </c>
    </row>
    <row r="37" spans="1:3" x14ac:dyDescent="0.25">
      <c r="A37" s="218">
        <v>108</v>
      </c>
      <c r="B37" s="198" t="s">
        <v>1823</v>
      </c>
      <c r="C37" s="198" t="s">
        <v>225</v>
      </c>
    </row>
    <row r="38" spans="1:3" ht="13" x14ac:dyDescent="0.25">
      <c r="A38" s="218">
        <v>109</v>
      </c>
      <c r="B38" s="58" t="s">
        <v>226</v>
      </c>
      <c r="C38" s="58" t="s">
        <v>227</v>
      </c>
    </row>
    <row r="39" spans="1:3" x14ac:dyDescent="0.25">
      <c r="A39" s="218">
        <v>110</v>
      </c>
      <c r="B39" s="197" t="s">
        <v>228</v>
      </c>
      <c r="C39" s="197" t="s">
        <v>229</v>
      </c>
    </row>
    <row r="40" spans="1:3" x14ac:dyDescent="0.25">
      <c r="A40" s="218">
        <v>111</v>
      </c>
      <c r="B40" s="201" t="s">
        <v>230</v>
      </c>
      <c r="C40" s="201" t="s">
        <v>231</v>
      </c>
    </row>
    <row r="41" spans="1:3" ht="25" x14ac:dyDescent="0.25">
      <c r="A41" s="218">
        <v>112</v>
      </c>
      <c r="B41" s="197" t="s">
        <v>232</v>
      </c>
      <c r="C41" s="197" t="s">
        <v>233</v>
      </c>
    </row>
    <row r="42" spans="1:3" x14ac:dyDescent="0.25">
      <c r="A42" s="218">
        <v>114</v>
      </c>
      <c r="B42" s="197" t="s">
        <v>234</v>
      </c>
      <c r="C42" s="197" t="s">
        <v>235</v>
      </c>
    </row>
    <row r="43" spans="1:3" ht="25" x14ac:dyDescent="0.25">
      <c r="A43" s="218">
        <v>115</v>
      </c>
      <c r="B43" s="197" t="s">
        <v>236</v>
      </c>
      <c r="C43" s="197" t="s">
        <v>237</v>
      </c>
    </row>
    <row r="44" spans="1:3" x14ac:dyDescent="0.25">
      <c r="A44" s="218">
        <v>116</v>
      </c>
      <c r="B44" s="197" t="s">
        <v>238</v>
      </c>
      <c r="C44" s="197" t="s">
        <v>239</v>
      </c>
    </row>
    <row r="45" spans="1:3" x14ac:dyDescent="0.25">
      <c r="A45" s="218">
        <v>118</v>
      </c>
      <c r="B45" s="197" t="s">
        <v>240</v>
      </c>
      <c r="C45" s="197" t="s">
        <v>241</v>
      </c>
    </row>
    <row r="46" spans="1:3" ht="62.5" x14ac:dyDescent="0.25">
      <c r="A46" s="218">
        <v>120</v>
      </c>
      <c r="B46" s="767" t="s">
        <v>242</v>
      </c>
      <c r="C46" s="767" t="s">
        <v>243</v>
      </c>
    </row>
    <row r="47" spans="1:3" ht="62.5" x14ac:dyDescent="0.25">
      <c r="A47" s="218">
        <v>121</v>
      </c>
      <c r="B47" s="765" t="s">
        <v>244</v>
      </c>
      <c r="C47" s="765" t="s">
        <v>245</v>
      </c>
    </row>
    <row r="48" spans="1:3" ht="15.5" x14ac:dyDescent="0.25">
      <c r="A48" s="218">
        <v>128</v>
      </c>
      <c r="B48" s="764" t="s">
        <v>246</v>
      </c>
      <c r="C48" s="764" t="s">
        <v>247</v>
      </c>
    </row>
    <row r="49" spans="1:11" x14ac:dyDescent="0.25">
      <c r="A49" s="218">
        <v>139</v>
      </c>
      <c r="B49" s="204" t="s">
        <v>248</v>
      </c>
      <c r="C49" s="204" t="s">
        <v>249</v>
      </c>
    </row>
    <row r="50" spans="1:11" x14ac:dyDescent="0.25">
      <c r="A50" s="218">
        <v>141</v>
      </c>
      <c r="B50" s="204" t="s">
        <v>250</v>
      </c>
      <c r="C50" s="204" t="s">
        <v>251</v>
      </c>
    </row>
    <row r="51" spans="1:11" x14ac:dyDescent="0.25">
      <c r="A51" s="218">
        <v>144</v>
      </c>
      <c r="B51" s="204" t="s">
        <v>252</v>
      </c>
      <c r="C51" s="204" t="s">
        <v>253</v>
      </c>
    </row>
    <row r="52" spans="1:11" x14ac:dyDescent="0.25">
      <c r="A52" s="218">
        <v>151</v>
      </c>
      <c r="B52" s="136" t="s">
        <v>254</v>
      </c>
      <c r="C52" s="136" t="s">
        <v>255</v>
      </c>
    </row>
    <row r="53" spans="1:11" x14ac:dyDescent="0.25">
      <c r="A53" s="218">
        <v>152</v>
      </c>
      <c r="B53" s="136" t="s">
        <v>256</v>
      </c>
      <c r="C53" s="136" t="s">
        <v>257</v>
      </c>
      <c r="D53" t="s">
        <v>258</v>
      </c>
    </row>
    <row r="54" spans="1:11" x14ac:dyDescent="0.25">
      <c r="A54" s="218">
        <v>153</v>
      </c>
      <c r="B54" s="136" t="s">
        <v>259</v>
      </c>
      <c r="C54" s="136" t="s">
        <v>260</v>
      </c>
    </row>
    <row r="55" spans="1:11" ht="23" x14ac:dyDescent="0.25">
      <c r="A55" s="218">
        <v>154</v>
      </c>
      <c r="B55" s="181" t="s">
        <v>261</v>
      </c>
      <c r="C55" s="181" t="s">
        <v>262</v>
      </c>
    </row>
    <row r="56" spans="1:11" x14ac:dyDescent="0.25">
      <c r="A56" s="218">
        <v>164</v>
      </c>
      <c r="B56" s="205" t="s">
        <v>263</v>
      </c>
      <c r="C56" s="205" t="s">
        <v>264</v>
      </c>
    </row>
    <row r="57" spans="1:11" x14ac:dyDescent="0.25">
      <c r="A57" s="218">
        <v>165</v>
      </c>
      <c r="B57" s="205" t="s">
        <v>265</v>
      </c>
      <c r="C57" s="205" t="s">
        <v>266</v>
      </c>
    </row>
    <row r="58" spans="1:11" x14ac:dyDescent="0.25">
      <c r="A58" s="218">
        <v>166</v>
      </c>
      <c r="B58" s="205" t="s">
        <v>267</v>
      </c>
      <c r="C58" s="205" t="s">
        <v>268</v>
      </c>
      <c r="D58" t="s">
        <v>269</v>
      </c>
    </row>
    <row r="59" spans="1:11" x14ac:dyDescent="0.25">
      <c r="A59" s="218">
        <v>167</v>
      </c>
      <c r="B59" s="205" t="s">
        <v>270</v>
      </c>
      <c r="C59" s="205" t="s">
        <v>271</v>
      </c>
    </row>
    <row r="60" spans="1:11" x14ac:dyDescent="0.25">
      <c r="A60" s="218">
        <v>168</v>
      </c>
      <c r="B60" s="205" t="s">
        <v>272</v>
      </c>
      <c r="C60" s="205" t="s">
        <v>273</v>
      </c>
    </row>
    <row r="61" spans="1:11" x14ac:dyDescent="0.25">
      <c r="A61" s="218">
        <v>169</v>
      </c>
      <c r="B61" s="205" t="s">
        <v>274</v>
      </c>
      <c r="C61" s="205" t="s">
        <v>275</v>
      </c>
      <c r="D61" t="s">
        <v>276</v>
      </c>
    </row>
    <row r="62" spans="1:11" ht="13" x14ac:dyDescent="0.25">
      <c r="A62" s="218">
        <v>172</v>
      </c>
      <c r="B62" s="35" t="s">
        <v>277</v>
      </c>
      <c r="C62" s="35" t="s">
        <v>278</v>
      </c>
    </row>
    <row r="63" spans="1:11" ht="13" x14ac:dyDescent="0.25">
      <c r="A63" s="218">
        <v>174</v>
      </c>
      <c r="B63" s="35" t="s">
        <v>279</v>
      </c>
      <c r="C63" s="35" t="s">
        <v>280</v>
      </c>
    </row>
    <row r="64" spans="1:11" ht="13" x14ac:dyDescent="0.25">
      <c r="A64" s="218">
        <v>175</v>
      </c>
      <c r="B64" s="35" t="s">
        <v>281</v>
      </c>
      <c r="C64" s="35" t="s">
        <v>282</v>
      </c>
      <c r="K64" s="831"/>
    </row>
    <row r="65" spans="1:4" ht="13" x14ac:dyDescent="0.25">
      <c r="A65" s="218">
        <v>176</v>
      </c>
      <c r="B65" s="35" t="s">
        <v>283</v>
      </c>
      <c r="C65" s="35" t="s">
        <v>284</v>
      </c>
    </row>
    <row r="66" spans="1:4" ht="13" x14ac:dyDescent="0.25">
      <c r="A66" s="218">
        <v>177</v>
      </c>
      <c r="B66" s="35" t="s">
        <v>285</v>
      </c>
      <c r="C66" s="35" t="s">
        <v>286</v>
      </c>
    </row>
    <row r="67" spans="1:4" ht="13" x14ac:dyDescent="0.25">
      <c r="A67" s="218">
        <v>178</v>
      </c>
      <c r="B67" s="35" t="s">
        <v>287</v>
      </c>
      <c r="C67" s="35" t="s">
        <v>288</v>
      </c>
    </row>
    <row r="68" spans="1:4" ht="13" x14ac:dyDescent="0.25">
      <c r="A68" s="218">
        <v>180</v>
      </c>
      <c r="B68" s="35" t="s">
        <v>289</v>
      </c>
      <c r="C68" s="35" t="s">
        <v>290</v>
      </c>
      <c r="D68" t="s">
        <v>291</v>
      </c>
    </row>
    <row r="69" spans="1:4" ht="13" x14ac:dyDescent="0.25">
      <c r="A69" s="218">
        <v>181</v>
      </c>
      <c r="B69" s="35" t="s">
        <v>292</v>
      </c>
      <c r="C69" s="35" t="s">
        <v>293</v>
      </c>
      <c r="D69" t="s">
        <v>294</v>
      </c>
    </row>
    <row r="70" spans="1:4" ht="13" x14ac:dyDescent="0.25">
      <c r="A70" s="218">
        <v>182</v>
      </c>
      <c r="B70" s="35" t="s">
        <v>295</v>
      </c>
      <c r="C70" s="35" t="s">
        <v>296</v>
      </c>
    </row>
    <row r="71" spans="1:4" x14ac:dyDescent="0.25">
      <c r="A71" s="218">
        <v>388</v>
      </c>
      <c r="B71" s="182" t="s">
        <v>297</v>
      </c>
      <c r="C71" s="182" t="s">
        <v>298</v>
      </c>
    </row>
    <row r="72" spans="1:4" x14ac:dyDescent="0.25">
      <c r="A72" s="218">
        <v>492</v>
      </c>
      <c r="B72" s="208" t="s">
        <v>299</v>
      </c>
      <c r="C72" s="208" t="s">
        <v>300</v>
      </c>
      <c r="D72" t="s">
        <v>301</v>
      </c>
    </row>
    <row r="73" spans="1:4" x14ac:dyDescent="0.25">
      <c r="A73" s="218">
        <v>504</v>
      </c>
      <c r="B73" s="210" t="s">
        <v>302</v>
      </c>
      <c r="C73" s="210" t="s">
        <v>303</v>
      </c>
      <c r="D73" t="s">
        <v>304</v>
      </c>
    </row>
    <row r="74" spans="1:4" x14ac:dyDescent="0.25">
      <c r="A74" s="218">
        <v>509</v>
      </c>
      <c r="B74" s="211" t="s">
        <v>305</v>
      </c>
      <c r="C74" s="211" t="s">
        <v>306</v>
      </c>
      <c r="D74" t="s">
        <v>307</v>
      </c>
    </row>
    <row r="75" spans="1:4" ht="13" x14ac:dyDescent="0.25">
      <c r="A75" s="218">
        <v>526</v>
      </c>
      <c r="B75" s="186" t="s">
        <v>308</v>
      </c>
      <c r="C75" s="186" t="s">
        <v>309</v>
      </c>
    </row>
    <row r="76" spans="1:4" ht="13" x14ac:dyDescent="0.25">
      <c r="A76" s="218">
        <v>527</v>
      </c>
      <c r="B76" s="186" t="s">
        <v>310</v>
      </c>
      <c r="C76" s="186" t="s">
        <v>311</v>
      </c>
      <c r="D76" t="s">
        <v>312</v>
      </c>
    </row>
    <row r="77" spans="1:4" ht="13" x14ac:dyDescent="0.25">
      <c r="A77" s="218">
        <v>529</v>
      </c>
      <c r="B77" s="185" t="s">
        <v>119</v>
      </c>
      <c r="C77" s="185" t="s">
        <v>313</v>
      </c>
    </row>
    <row r="78" spans="1:4" ht="13" x14ac:dyDescent="0.25">
      <c r="A78" s="218">
        <v>781</v>
      </c>
      <c r="B78" s="58" t="s">
        <v>314</v>
      </c>
      <c r="C78" s="58" t="s">
        <v>315</v>
      </c>
    </row>
    <row r="79" spans="1:4" x14ac:dyDescent="0.25">
      <c r="A79" s="218">
        <v>784</v>
      </c>
      <c r="B79" s="47" t="s">
        <v>316</v>
      </c>
      <c r="C79" s="47" t="s">
        <v>317</v>
      </c>
    </row>
    <row r="80" spans="1:4" x14ac:dyDescent="0.25">
      <c r="A80" s="218">
        <v>787</v>
      </c>
      <c r="B80" s="47" t="s">
        <v>318</v>
      </c>
      <c r="C80" s="47" t="s">
        <v>319</v>
      </c>
    </row>
    <row r="81" spans="1:3" x14ac:dyDescent="0.25">
      <c r="A81" s="218">
        <v>789</v>
      </c>
      <c r="B81" s="47" t="s">
        <v>320</v>
      </c>
      <c r="C81" s="47" t="s">
        <v>321</v>
      </c>
    </row>
    <row r="82" spans="1:3" x14ac:dyDescent="0.25">
      <c r="A82" s="218">
        <v>790</v>
      </c>
      <c r="B82" s="47" t="s">
        <v>322</v>
      </c>
      <c r="C82" s="47" t="s">
        <v>323</v>
      </c>
    </row>
    <row r="83" spans="1:3" x14ac:dyDescent="0.25">
      <c r="A83" s="218">
        <v>791</v>
      </c>
      <c r="B83" s="47" t="s">
        <v>324</v>
      </c>
      <c r="C83" s="47" t="s">
        <v>325</v>
      </c>
    </row>
    <row r="84" spans="1:3" x14ac:dyDescent="0.25">
      <c r="A84" s="218">
        <v>792</v>
      </c>
      <c r="B84" s="47" t="s">
        <v>326</v>
      </c>
      <c r="C84" s="47" t="s">
        <v>327</v>
      </c>
    </row>
    <row r="85" spans="1:3" x14ac:dyDescent="0.25">
      <c r="A85" s="218">
        <v>793</v>
      </c>
      <c r="B85" s="47" t="s">
        <v>328</v>
      </c>
      <c r="C85" s="47" t="s">
        <v>329</v>
      </c>
    </row>
    <row r="86" spans="1:3" x14ac:dyDescent="0.25">
      <c r="A86" s="218">
        <v>795</v>
      </c>
      <c r="B86" s="47" t="s">
        <v>330</v>
      </c>
      <c r="C86" s="47" t="s">
        <v>331</v>
      </c>
    </row>
    <row r="87" spans="1:3" x14ac:dyDescent="0.25">
      <c r="A87" s="218">
        <v>796</v>
      </c>
      <c r="B87" s="47" t="s">
        <v>332</v>
      </c>
      <c r="C87" s="47" t="s">
        <v>333</v>
      </c>
    </row>
    <row r="88" spans="1:3" x14ac:dyDescent="0.25">
      <c r="A88" s="218">
        <v>797</v>
      </c>
      <c r="B88" s="47" t="s">
        <v>334</v>
      </c>
      <c r="C88" s="47" t="s">
        <v>335</v>
      </c>
    </row>
    <row r="89" spans="1:3" x14ac:dyDescent="0.25">
      <c r="A89" s="218">
        <v>798</v>
      </c>
      <c r="B89" s="47" t="s">
        <v>336</v>
      </c>
      <c r="C89" s="47" t="s">
        <v>337</v>
      </c>
    </row>
    <row r="90" spans="1:3" x14ac:dyDescent="0.25">
      <c r="A90" s="218">
        <v>800</v>
      </c>
      <c r="B90" s="47" t="s">
        <v>338</v>
      </c>
      <c r="C90" s="47" t="s">
        <v>339</v>
      </c>
    </row>
    <row r="91" spans="1:3" x14ac:dyDescent="0.25">
      <c r="A91" s="218">
        <v>803</v>
      </c>
      <c r="B91" s="47" t="s">
        <v>340</v>
      </c>
      <c r="C91" s="47" t="s">
        <v>341</v>
      </c>
    </row>
    <row r="92" spans="1:3" x14ac:dyDescent="0.25">
      <c r="A92" s="218">
        <v>804</v>
      </c>
      <c r="B92" s="47" t="s">
        <v>342</v>
      </c>
      <c r="C92" s="47" t="s">
        <v>343</v>
      </c>
    </row>
    <row r="93" spans="1:3" x14ac:dyDescent="0.25">
      <c r="A93" s="218">
        <v>805</v>
      </c>
      <c r="B93" s="212" t="s">
        <v>344</v>
      </c>
      <c r="C93" s="212" t="s">
        <v>345</v>
      </c>
    </row>
    <row r="94" spans="1:3" x14ac:dyDescent="0.25">
      <c r="A94" s="218">
        <v>806</v>
      </c>
      <c r="B94" s="212" t="s">
        <v>346</v>
      </c>
      <c r="C94" s="212" t="s">
        <v>347</v>
      </c>
    </row>
    <row r="95" spans="1:3" x14ac:dyDescent="0.25">
      <c r="A95" s="218">
        <v>807</v>
      </c>
      <c r="B95" s="213" t="s">
        <v>348</v>
      </c>
      <c r="C95" s="213" t="s">
        <v>348</v>
      </c>
    </row>
    <row r="96" spans="1:3" x14ac:dyDescent="0.25">
      <c r="A96" s="218">
        <v>808</v>
      </c>
      <c r="B96" s="214" t="s">
        <v>349</v>
      </c>
      <c r="C96" s="214" t="s">
        <v>350</v>
      </c>
    </row>
    <row r="97" spans="1:3" x14ac:dyDescent="0.25">
      <c r="A97" s="218">
        <v>809</v>
      </c>
      <c r="B97" s="213" t="s">
        <v>351</v>
      </c>
      <c r="C97" s="213" t="s">
        <v>352</v>
      </c>
    </row>
    <row r="98" spans="1:3" x14ac:dyDescent="0.25">
      <c r="A98" s="218">
        <v>811</v>
      </c>
      <c r="B98" s="213" t="s">
        <v>353</v>
      </c>
      <c r="C98" s="213" t="s">
        <v>354</v>
      </c>
    </row>
    <row r="99" spans="1:3" x14ac:dyDescent="0.25">
      <c r="A99" s="218">
        <v>812</v>
      </c>
      <c r="B99" s="213" t="s">
        <v>355</v>
      </c>
      <c r="C99" s="213" t="s">
        <v>356</v>
      </c>
    </row>
    <row r="100" spans="1:3" x14ac:dyDescent="0.25">
      <c r="A100" s="218">
        <v>813</v>
      </c>
      <c r="B100" s="213" t="s">
        <v>357</v>
      </c>
      <c r="C100" s="213" t="s">
        <v>358</v>
      </c>
    </row>
    <row r="101" spans="1:3" x14ac:dyDescent="0.25">
      <c r="A101" s="218">
        <v>814</v>
      </c>
      <c r="B101" s="213" t="s">
        <v>359</v>
      </c>
      <c r="C101" s="213" t="s">
        <v>360</v>
      </c>
    </row>
    <row r="102" spans="1:3" x14ac:dyDescent="0.25">
      <c r="A102" s="218">
        <v>815</v>
      </c>
      <c r="B102" s="213" t="s">
        <v>361</v>
      </c>
      <c r="C102" s="213" t="s">
        <v>362</v>
      </c>
    </row>
    <row r="103" spans="1:3" x14ac:dyDescent="0.25">
      <c r="A103" s="218">
        <v>816</v>
      </c>
      <c r="B103" s="213" t="s">
        <v>363</v>
      </c>
      <c r="C103" s="213" t="s">
        <v>364</v>
      </c>
    </row>
    <row r="104" spans="1:3" x14ac:dyDescent="0.25">
      <c r="A104" s="218">
        <v>817</v>
      </c>
      <c r="B104" s="213" t="s">
        <v>365</v>
      </c>
      <c r="C104" s="213" t="s">
        <v>366</v>
      </c>
    </row>
    <row r="105" spans="1:3" x14ac:dyDescent="0.25">
      <c r="A105" s="218">
        <v>818</v>
      </c>
      <c r="B105" s="213" t="s">
        <v>367</v>
      </c>
      <c r="C105" s="213" t="s">
        <v>368</v>
      </c>
    </row>
    <row r="106" spans="1:3" x14ac:dyDescent="0.25">
      <c r="A106" s="218">
        <v>819</v>
      </c>
      <c r="B106" s="213" t="s">
        <v>369</v>
      </c>
      <c r="C106" s="213" t="s">
        <v>370</v>
      </c>
    </row>
    <row r="107" spans="1:3" x14ac:dyDescent="0.25">
      <c r="A107" s="218">
        <v>820</v>
      </c>
      <c r="B107" s="213" t="s">
        <v>371</v>
      </c>
      <c r="C107" s="213" t="s">
        <v>372</v>
      </c>
    </row>
    <row r="108" spans="1:3" x14ac:dyDescent="0.25">
      <c r="A108" s="218">
        <v>821</v>
      </c>
      <c r="B108" s="213" t="s">
        <v>373</v>
      </c>
      <c r="C108" s="213" t="s">
        <v>373</v>
      </c>
    </row>
    <row r="109" spans="1:3" x14ac:dyDescent="0.25">
      <c r="A109" s="218">
        <v>822</v>
      </c>
      <c r="B109" s="213" t="s">
        <v>374</v>
      </c>
      <c r="C109" s="213" t="s">
        <v>374</v>
      </c>
    </row>
    <row r="110" spans="1:3" x14ac:dyDescent="0.25">
      <c r="A110" s="218">
        <v>823</v>
      </c>
      <c r="B110" s="213" t="s">
        <v>375</v>
      </c>
      <c r="C110" s="213" t="s">
        <v>376</v>
      </c>
    </row>
    <row r="111" spans="1:3" x14ac:dyDescent="0.25">
      <c r="A111" s="218">
        <v>824</v>
      </c>
      <c r="B111" s="213" t="s">
        <v>377</v>
      </c>
      <c r="C111" s="213" t="s">
        <v>378</v>
      </c>
    </row>
    <row r="112" spans="1:3" x14ac:dyDescent="0.25">
      <c r="A112" s="218">
        <v>825</v>
      </c>
      <c r="B112" s="213" t="s">
        <v>379</v>
      </c>
      <c r="C112" s="213" t="s">
        <v>379</v>
      </c>
    </row>
    <row r="113" spans="1:4" x14ac:dyDescent="0.25">
      <c r="A113" s="218">
        <v>826</v>
      </c>
      <c r="B113" s="213" t="s">
        <v>380</v>
      </c>
      <c r="C113" s="213" t="s">
        <v>381</v>
      </c>
    </row>
    <row r="114" spans="1:4" x14ac:dyDescent="0.25">
      <c r="A114" s="218">
        <v>827</v>
      </c>
      <c r="B114" s="213" t="s">
        <v>382</v>
      </c>
      <c r="C114" s="213" t="s">
        <v>383</v>
      </c>
    </row>
    <row r="115" spans="1:4" x14ac:dyDescent="0.25">
      <c r="A115" s="218">
        <v>828</v>
      </c>
      <c r="B115" s="213" t="s">
        <v>384</v>
      </c>
      <c r="C115" s="213" t="s">
        <v>385</v>
      </c>
    </row>
    <row r="116" spans="1:4" x14ac:dyDescent="0.25">
      <c r="A116" s="218">
        <v>829</v>
      </c>
      <c r="B116" s="213" t="s">
        <v>386</v>
      </c>
      <c r="C116" s="213" t="s">
        <v>387</v>
      </c>
    </row>
    <row r="117" spans="1:4" x14ac:dyDescent="0.25">
      <c r="A117" s="218">
        <v>830</v>
      </c>
      <c r="B117" s="213" t="s">
        <v>388</v>
      </c>
      <c r="C117" s="213" t="s">
        <v>388</v>
      </c>
    </row>
    <row r="118" spans="1:4" x14ac:dyDescent="0.25">
      <c r="A118" s="218">
        <v>831</v>
      </c>
      <c r="B118" s="213" t="s">
        <v>389</v>
      </c>
      <c r="C118" s="213" t="s">
        <v>389</v>
      </c>
    </row>
    <row r="119" spans="1:4" x14ac:dyDescent="0.25">
      <c r="A119" s="218">
        <v>832</v>
      </c>
      <c r="B119" s="213" t="s">
        <v>390</v>
      </c>
      <c r="C119" s="213" t="s">
        <v>390</v>
      </c>
    </row>
    <row r="120" spans="1:4" x14ac:dyDescent="0.25">
      <c r="A120" s="218">
        <v>833</v>
      </c>
      <c r="B120" s="213" t="s">
        <v>391</v>
      </c>
      <c r="C120" s="213" t="s">
        <v>392</v>
      </c>
    </row>
    <row r="121" spans="1:4" x14ac:dyDescent="0.25">
      <c r="A121" s="218">
        <v>834</v>
      </c>
      <c r="B121" s="213" t="s">
        <v>393</v>
      </c>
      <c r="C121" s="213" t="s">
        <v>394</v>
      </c>
    </row>
    <row r="122" spans="1:4" x14ac:dyDescent="0.25">
      <c r="A122" s="218">
        <v>836</v>
      </c>
      <c r="B122" s="212" t="s">
        <v>395</v>
      </c>
      <c r="C122" s="212" t="s">
        <v>396</v>
      </c>
    </row>
    <row r="123" spans="1:4" x14ac:dyDescent="0.25">
      <c r="A123" s="218">
        <v>837</v>
      </c>
      <c r="B123" s="212" t="s">
        <v>397</v>
      </c>
      <c r="C123" s="212" t="s">
        <v>398</v>
      </c>
    </row>
    <row r="124" spans="1:4" ht="13" x14ac:dyDescent="0.3">
      <c r="A124" s="218">
        <v>923</v>
      </c>
      <c r="B124" s="215" t="s">
        <v>399</v>
      </c>
      <c r="C124" s="215" t="s">
        <v>400</v>
      </c>
    </row>
    <row r="125" spans="1:4" x14ac:dyDescent="0.25">
      <c r="A125" s="218">
        <v>927</v>
      </c>
      <c r="B125" s="38" t="s">
        <v>401</v>
      </c>
      <c r="C125" s="38" t="s">
        <v>401</v>
      </c>
    </row>
    <row r="126" spans="1:4" ht="13" x14ac:dyDescent="0.3">
      <c r="A126" s="218">
        <v>953</v>
      </c>
      <c r="B126" s="216" t="s">
        <v>402</v>
      </c>
      <c r="C126" s="216" t="s">
        <v>403</v>
      </c>
    </row>
    <row r="127" spans="1:4" ht="13" x14ac:dyDescent="0.3">
      <c r="A127" s="218">
        <v>954</v>
      </c>
      <c r="B127" s="216" t="s">
        <v>404</v>
      </c>
      <c r="C127" s="216" t="s">
        <v>405</v>
      </c>
      <c r="D127" t="s">
        <v>406</v>
      </c>
    </row>
    <row r="128" spans="1:4" ht="13" x14ac:dyDescent="0.3">
      <c r="A128" s="218">
        <v>956</v>
      </c>
      <c r="B128" s="216" t="s">
        <v>407</v>
      </c>
      <c r="C128" s="216" t="s">
        <v>408</v>
      </c>
    </row>
    <row r="129" spans="1:4" ht="13" x14ac:dyDescent="0.3">
      <c r="A129" s="218">
        <v>957</v>
      </c>
      <c r="B129" s="216" t="s">
        <v>409</v>
      </c>
      <c r="C129" s="216" t="s">
        <v>410</v>
      </c>
    </row>
    <row r="130" spans="1:4" ht="13" x14ac:dyDescent="0.3">
      <c r="A130" s="218">
        <v>959</v>
      </c>
      <c r="B130" s="216" t="s">
        <v>411</v>
      </c>
      <c r="C130" s="216" t="s">
        <v>412</v>
      </c>
    </row>
    <row r="131" spans="1:4" ht="13" x14ac:dyDescent="0.3">
      <c r="A131" s="218">
        <v>960</v>
      </c>
      <c r="B131" s="216" t="s">
        <v>413</v>
      </c>
      <c r="C131" s="216" t="s">
        <v>414</v>
      </c>
    </row>
    <row r="132" spans="1:4" x14ac:dyDescent="0.25">
      <c r="A132" s="218">
        <v>961</v>
      </c>
      <c r="B132" s="68" t="s">
        <v>415</v>
      </c>
      <c r="C132" s="68" t="s">
        <v>416</v>
      </c>
    </row>
    <row r="133" spans="1:4" x14ac:dyDescent="0.25">
      <c r="A133" s="218">
        <v>963</v>
      </c>
      <c r="B133" s="47" t="s">
        <v>417</v>
      </c>
      <c r="C133" s="47" t="s">
        <v>418</v>
      </c>
    </row>
    <row r="134" spans="1:4" x14ac:dyDescent="0.25">
      <c r="A134" s="218">
        <v>964</v>
      </c>
      <c r="B134" s="47" t="s">
        <v>64</v>
      </c>
      <c r="C134" s="47" t="s">
        <v>419</v>
      </c>
    </row>
    <row r="135" spans="1:4" x14ac:dyDescent="0.25">
      <c r="A135" s="218">
        <v>965</v>
      </c>
      <c r="B135" s="217" t="s">
        <v>420</v>
      </c>
      <c r="C135" s="217" t="s">
        <v>420</v>
      </c>
    </row>
    <row r="136" spans="1:4" x14ac:dyDescent="0.25">
      <c r="A136" s="218">
        <v>966</v>
      </c>
      <c r="B136" s="217" t="s">
        <v>421</v>
      </c>
      <c r="C136" s="217" t="s">
        <v>421</v>
      </c>
    </row>
    <row r="137" spans="1:4" x14ac:dyDescent="0.25">
      <c r="A137" s="218">
        <v>967</v>
      </c>
      <c r="B137" s="217" t="s">
        <v>422</v>
      </c>
      <c r="C137" s="217" t="s">
        <v>422</v>
      </c>
    </row>
    <row r="138" spans="1:4" x14ac:dyDescent="0.25">
      <c r="A138" s="218">
        <v>968</v>
      </c>
      <c r="B138" s="217" t="s">
        <v>423</v>
      </c>
      <c r="C138" s="217" t="s">
        <v>423</v>
      </c>
    </row>
    <row r="139" spans="1:4" x14ac:dyDescent="0.25">
      <c r="A139" s="218">
        <v>969</v>
      </c>
      <c r="B139" s="47" t="s">
        <v>61</v>
      </c>
      <c r="C139" s="47" t="s">
        <v>424</v>
      </c>
    </row>
    <row r="140" spans="1:4" x14ac:dyDescent="0.25">
      <c r="A140" s="218">
        <v>970</v>
      </c>
      <c r="B140" s="47" t="s">
        <v>425</v>
      </c>
      <c r="C140" s="47" t="s">
        <v>426</v>
      </c>
    </row>
    <row r="141" spans="1:4" ht="13" x14ac:dyDescent="0.3">
      <c r="A141" s="218">
        <v>1058</v>
      </c>
      <c r="B141" s="216" t="s">
        <v>427</v>
      </c>
      <c r="C141" s="216" t="s">
        <v>428</v>
      </c>
    </row>
    <row r="142" spans="1:4" x14ac:dyDescent="0.25">
      <c r="A142" s="218">
        <v>1060</v>
      </c>
      <c r="B142" s="72" t="s">
        <v>429</v>
      </c>
      <c r="C142" s="72" t="s">
        <v>430</v>
      </c>
    </row>
    <row r="143" spans="1:4" x14ac:dyDescent="0.25">
      <c r="A143" s="218">
        <v>1132</v>
      </c>
      <c r="B143" s="68" t="s">
        <v>431</v>
      </c>
      <c r="C143" s="68" t="s">
        <v>432</v>
      </c>
      <c r="D143" t="s">
        <v>433</v>
      </c>
    </row>
    <row r="144" spans="1:4" ht="74.5" customHeight="1" x14ac:dyDescent="0.25">
      <c r="A144" s="219">
        <v>1504</v>
      </c>
      <c r="B144" s="197" t="s">
        <v>434</v>
      </c>
      <c r="C144" s="197" t="s">
        <v>435</v>
      </c>
    </row>
    <row r="145" spans="1:3" ht="20" x14ac:dyDescent="0.25">
      <c r="A145" s="219">
        <v>1521</v>
      </c>
      <c r="B145" s="835" t="s">
        <v>1832</v>
      </c>
      <c r="C145" s="209" t="s">
        <v>436</v>
      </c>
    </row>
    <row r="146" spans="1:3" ht="20" x14ac:dyDescent="0.25">
      <c r="A146" s="219">
        <v>1522</v>
      </c>
      <c r="B146" s="782" t="s">
        <v>1761</v>
      </c>
      <c r="C146" s="782" t="s">
        <v>437</v>
      </c>
    </row>
    <row r="147" spans="1:3" x14ac:dyDescent="0.25">
      <c r="A147" s="219">
        <v>1523</v>
      </c>
      <c r="B147" s="34"/>
      <c r="C147" s="34" t="s">
        <v>438</v>
      </c>
    </row>
    <row r="148" spans="1:3" ht="20" x14ac:dyDescent="0.25">
      <c r="A148" s="219">
        <v>1524</v>
      </c>
      <c r="B148" s="786"/>
      <c r="C148" s="786" t="s">
        <v>439</v>
      </c>
    </row>
    <row r="149" spans="1:3" ht="20" x14ac:dyDescent="0.25">
      <c r="A149" s="219">
        <v>1526</v>
      </c>
      <c r="B149" s="782" t="s">
        <v>1760</v>
      </c>
      <c r="C149" s="782" t="s">
        <v>440</v>
      </c>
    </row>
    <row r="150" spans="1:3" ht="170" x14ac:dyDescent="0.25">
      <c r="A150" s="219">
        <v>1527</v>
      </c>
      <c r="B150" s="34" t="s">
        <v>1829</v>
      </c>
      <c r="C150" s="34" t="s">
        <v>441</v>
      </c>
    </row>
    <row r="151" spans="1:3" ht="20" x14ac:dyDescent="0.25">
      <c r="A151" s="219">
        <v>1530</v>
      </c>
      <c r="B151" s="209" t="s">
        <v>1767</v>
      </c>
      <c r="C151" s="209" t="s">
        <v>442</v>
      </c>
    </row>
    <row r="152" spans="1:3" ht="20" x14ac:dyDescent="0.25">
      <c r="A152" s="219">
        <v>1531</v>
      </c>
      <c r="B152" s="208" t="s">
        <v>1768</v>
      </c>
      <c r="C152" s="208" t="s">
        <v>443</v>
      </c>
    </row>
    <row r="153" spans="1:3" ht="20" x14ac:dyDescent="0.25">
      <c r="A153" s="219">
        <v>1532</v>
      </c>
      <c r="B153" s="209" t="s">
        <v>1770</v>
      </c>
      <c r="C153" s="209" t="s">
        <v>444</v>
      </c>
    </row>
    <row r="154" spans="1:3" ht="48.5" customHeight="1" x14ac:dyDescent="0.25">
      <c r="A154" s="219">
        <v>1535</v>
      </c>
      <c r="B154" s="209" t="s">
        <v>1801</v>
      </c>
      <c r="C154" s="209" t="s">
        <v>445</v>
      </c>
    </row>
    <row r="155" spans="1:3" x14ac:dyDescent="0.25">
      <c r="A155" s="219">
        <v>1536</v>
      </c>
      <c r="B155" s="34" t="s">
        <v>1791</v>
      </c>
      <c r="C155" s="34" t="s">
        <v>446</v>
      </c>
    </row>
    <row r="156" spans="1:3" ht="30" x14ac:dyDescent="0.25">
      <c r="A156" s="219">
        <v>1538</v>
      </c>
      <c r="B156" s="34" t="s">
        <v>1831</v>
      </c>
      <c r="C156" s="34" t="s">
        <v>447</v>
      </c>
    </row>
    <row r="157" spans="1:3" ht="160" x14ac:dyDescent="0.25">
      <c r="A157" s="219">
        <v>1540</v>
      </c>
      <c r="B157" s="786" t="s">
        <v>1802</v>
      </c>
      <c r="C157" s="786" t="s">
        <v>448</v>
      </c>
    </row>
    <row r="158" spans="1:3" x14ac:dyDescent="0.25">
      <c r="A158" s="219">
        <v>1541</v>
      </c>
      <c r="B158" s="209" t="s">
        <v>1785</v>
      </c>
      <c r="C158" s="209" t="s">
        <v>449</v>
      </c>
    </row>
    <row r="159" spans="1:3" x14ac:dyDescent="0.25">
      <c r="A159" s="219">
        <v>1545</v>
      </c>
      <c r="B159" s="211" t="s">
        <v>1787</v>
      </c>
      <c r="C159" s="211" t="s">
        <v>450</v>
      </c>
    </row>
    <row r="160" spans="1:3" ht="25" x14ac:dyDescent="0.5">
      <c r="A160" s="219">
        <v>1586</v>
      </c>
      <c r="B160" s="223"/>
      <c r="C160" s="223" t="s">
        <v>451</v>
      </c>
    </row>
    <row r="161" spans="1:4" x14ac:dyDescent="0.25">
      <c r="A161" s="219">
        <v>1594</v>
      </c>
      <c r="B161" s="47" t="s">
        <v>452</v>
      </c>
      <c r="C161" s="47" t="s">
        <v>453</v>
      </c>
    </row>
    <row r="162" spans="1:4" x14ac:dyDescent="0.25">
      <c r="A162" s="219">
        <v>1595</v>
      </c>
      <c r="B162" s="47" t="s">
        <v>454</v>
      </c>
      <c r="C162" s="47" t="s">
        <v>455</v>
      </c>
    </row>
    <row r="163" spans="1:4" x14ac:dyDescent="0.25">
      <c r="A163" s="219">
        <v>1596</v>
      </c>
      <c r="B163" s="47" t="s">
        <v>456</v>
      </c>
      <c r="C163" s="47" t="s">
        <v>457</v>
      </c>
    </row>
    <row r="164" spans="1:4" x14ac:dyDescent="0.25">
      <c r="A164" s="219">
        <v>1597</v>
      </c>
      <c r="B164" s="47" t="s">
        <v>458</v>
      </c>
      <c r="C164" s="47" t="s">
        <v>459</v>
      </c>
    </row>
    <row r="165" spans="1:4" ht="13" x14ac:dyDescent="0.3">
      <c r="A165" s="219">
        <v>1614</v>
      </c>
      <c r="B165" s="216" t="s">
        <v>460</v>
      </c>
      <c r="C165" s="216" t="s">
        <v>461</v>
      </c>
    </row>
    <row r="166" spans="1:4" ht="13.5" thickBot="1" x14ac:dyDescent="0.35">
      <c r="A166" s="219">
        <v>1616</v>
      </c>
      <c r="B166" s="216" t="s">
        <v>462</v>
      </c>
      <c r="C166" s="216" t="s">
        <v>463</v>
      </c>
    </row>
    <row r="167" spans="1:4" ht="13" x14ac:dyDescent="0.25">
      <c r="A167" s="219">
        <v>2002</v>
      </c>
      <c r="B167" s="203" t="s">
        <v>464</v>
      </c>
      <c r="C167" s="203" t="s">
        <v>465</v>
      </c>
    </row>
    <row r="168" spans="1:4" ht="15.5" x14ac:dyDescent="0.25">
      <c r="A168" s="219">
        <v>2004</v>
      </c>
      <c r="B168" s="311" t="s">
        <v>466</v>
      </c>
      <c r="C168" s="311" t="s">
        <v>467</v>
      </c>
    </row>
    <row r="169" spans="1:4" x14ac:dyDescent="0.25">
      <c r="A169" s="219">
        <v>2005</v>
      </c>
      <c r="B169" s="188" t="s">
        <v>468</v>
      </c>
      <c r="C169" s="188" t="s">
        <v>469</v>
      </c>
    </row>
    <row r="170" spans="1:4" x14ac:dyDescent="0.25">
      <c r="A170" s="219">
        <v>2006</v>
      </c>
      <c r="B170" s="188" t="s">
        <v>470</v>
      </c>
      <c r="C170" s="188" t="s">
        <v>471</v>
      </c>
    </row>
    <row r="171" spans="1:4" x14ac:dyDescent="0.25">
      <c r="A171" s="219">
        <v>2008</v>
      </c>
      <c r="B171" s="241" t="s">
        <v>472</v>
      </c>
      <c r="C171" s="241" t="s">
        <v>472</v>
      </c>
    </row>
    <row r="172" spans="1:4" ht="91" x14ac:dyDescent="0.25">
      <c r="A172" s="219">
        <v>2011</v>
      </c>
      <c r="B172" s="760" t="s">
        <v>473</v>
      </c>
      <c r="C172" s="760" t="s">
        <v>474</v>
      </c>
    </row>
    <row r="173" spans="1:4" ht="25" x14ac:dyDescent="0.25">
      <c r="A173" s="848">
        <v>2017</v>
      </c>
      <c r="B173" s="845" t="s">
        <v>1809</v>
      </c>
      <c r="C173" s="759" t="s">
        <v>475</v>
      </c>
      <c r="D173" t="s">
        <v>476</v>
      </c>
    </row>
    <row r="174" spans="1:4" ht="37.5" x14ac:dyDescent="0.25">
      <c r="A174" s="219">
        <v>2019</v>
      </c>
      <c r="B174" s="197" t="s">
        <v>477</v>
      </c>
      <c r="C174" s="197" t="s">
        <v>478</v>
      </c>
    </row>
    <row r="175" spans="1:4" x14ac:dyDescent="0.25">
      <c r="A175" s="219">
        <v>2022</v>
      </c>
      <c r="B175" s="306" t="s">
        <v>479</v>
      </c>
      <c r="C175" s="306" t="s">
        <v>479</v>
      </c>
    </row>
    <row r="176" spans="1:4" ht="26.5" thickBot="1" x14ac:dyDescent="0.3">
      <c r="A176" s="219">
        <v>2024</v>
      </c>
      <c r="B176" s="202" t="s">
        <v>480</v>
      </c>
      <c r="C176" s="202" t="s">
        <v>481</v>
      </c>
    </row>
    <row r="177" spans="1:4" ht="130.5" thickBot="1" x14ac:dyDescent="0.3">
      <c r="A177" s="219">
        <v>2025</v>
      </c>
      <c r="B177" s="766" t="s">
        <v>482</v>
      </c>
      <c r="C177" s="766" t="s">
        <v>483</v>
      </c>
    </row>
    <row r="178" spans="1:4" ht="15.5" x14ac:dyDescent="0.35">
      <c r="A178" s="219">
        <v>2035</v>
      </c>
      <c r="B178" s="42" t="s">
        <v>484</v>
      </c>
      <c r="C178" s="42" t="s">
        <v>485</v>
      </c>
    </row>
    <row r="179" spans="1:4" ht="15.5" x14ac:dyDescent="0.35">
      <c r="A179" s="219">
        <v>2036</v>
      </c>
      <c r="B179" s="42" t="s">
        <v>486</v>
      </c>
      <c r="C179" s="42" t="s">
        <v>487</v>
      </c>
    </row>
    <row r="180" spans="1:4" ht="13" x14ac:dyDescent="0.25">
      <c r="A180" s="219">
        <v>2037</v>
      </c>
      <c r="B180" s="139" t="s">
        <v>488</v>
      </c>
      <c r="C180" s="139" t="s">
        <v>489</v>
      </c>
    </row>
    <row r="181" spans="1:4" x14ac:dyDescent="0.25">
      <c r="A181" s="219">
        <v>2038</v>
      </c>
      <c r="B181" s="205" t="s">
        <v>490</v>
      </c>
      <c r="C181" s="205" t="s">
        <v>491</v>
      </c>
      <c r="D181" t="s">
        <v>492</v>
      </c>
    </row>
    <row r="182" spans="1:4" x14ac:dyDescent="0.25">
      <c r="A182" s="219">
        <v>2039</v>
      </c>
      <c r="B182" s="205" t="s">
        <v>493</v>
      </c>
      <c r="C182" s="205" t="s">
        <v>494</v>
      </c>
      <c r="D182" t="s">
        <v>495</v>
      </c>
    </row>
    <row r="183" spans="1:4" ht="30" x14ac:dyDescent="0.25">
      <c r="A183" s="219">
        <v>2040</v>
      </c>
      <c r="B183" s="34" t="s">
        <v>496</v>
      </c>
      <c r="C183" s="34" t="s">
        <v>497</v>
      </c>
    </row>
    <row r="184" spans="1:4" x14ac:dyDescent="0.25">
      <c r="A184" s="219">
        <v>2041</v>
      </c>
      <c r="B184" s="312"/>
      <c r="C184" s="312" t="s">
        <v>498</v>
      </c>
    </row>
    <row r="185" spans="1:4" x14ac:dyDescent="0.25">
      <c r="A185" s="219">
        <v>2042</v>
      </c>
      <c r="B185" s="205" t="s">
        <v>499</v>
      </c>
      <c r="C185" s="205" t="s">
        <v>500</v>
      </c>
    </row>
    <row r="186" spans="1:4" ht="40" x14ac:dyDescent="0.25">
      <c r="A186" s="219">
        <v>2043</v>
      </c>
      <c r="B186" s="34" t="s">
        <v>501</v>
      </c>
      <c r="C186" s="34" t="s">
        <v>502</v>
      </c>
    </row>
    <row r="187" spans="1:4" ht="13" x14ac:dyDescent="0.3">
      <c r="A187" s="219">
        <v>2044</v>
      </c>
      <c r="B187" s="205" t="s">
        <v>503</v>
      </c>
      <c r="C187" s="206" t="s">
        <v>504</v>
      </c>
    </row>
    <row r="188" spans="1:4" ht="34" customHeight="1" x14ac:dyDescent="0.25">
      <c r="A188" s="219">
        <v>2045</v>
      </c>
      <c r="B188" s="34" t="s">
        <v>1811</v>
      </c>
      <c r="C188" s="34" t="s">
        <v>505</v>
      </c>
    </row>
    <row r="189" spans="1:4" ht="13" x14ac:dyDescent="0.25">
      <c r="A189" s="219">
        <v>2046</v>
      </c>
      <c r="B189" s="35" t="s">
        <v>506</v>
      </c>
      <c r="C189" s="35" t="s">
        <v>507</v>
      </c>
    </row>
    <row r="190" spans="1:4" ht="15.5" x14ac:dyDescent="0.25">
      <c r="A190" s="219">
        <v>2070</v>
      </c>
      <c r="B190" s="24" t="s">
        <v>508</v>
      </c>
      <c r="C190" s="24" t="s">
        <v>509</v>
      </c>
    </row>
    <row r="191" spans="1:4" x14ac:dyDescent="0.25">
      <c r="A191" s="219">
        <v>2071</v>
      </c>
      <c r="B191" s="313" t="s">
        <v>1779</v>
      </c>
      <c r="C191" s="313" t="s">
        <v>510</v>
      </c>
    </row>
    <row r="192" spans="1:4" ht="13" x14ac:dyDescent="0.25">
      <c r="A192" s="219">
        <v>2072</v>
      </c>
      <c r="B192" s="139" t="s">
        <v>511</v>
      </c>
      <c r="C192" s="139" t="s">
        <v>512</v>
      </c>
    </row>
    <row r="193" spans="1:3" x14ac:dyDescent="0.25">
      <c r="A193" s="219">
        <v>2076</v>
      </c>
      <c r="B193" s="776" t="s">
        <v>1803</v>
      </c>
      <c r="C193" s="776" t="s">
        <v>513</v>
      </c>
    </row>
    <row r="194" spans="1:3" x14ac:dyDescent="0.25">
      <c r="A194" s="219">
        <v>2077</v>
      </c>
      <c r="B194" s="182" t="s">
        <v>514</v>
      </c>
      <c r="C194" s="182" t="s">
        <v>515</v>
      </c>
    </row>
    <row r="195" spans="1:3" x14ac:dyDescent="0.25">
      <c r="A195" s="219">
        <v>2078</v>
      </c>
      <c r="B195" s="182" t="s">
        <v>516</v>
      </c>
      <c r="C195" s="182" t="s">
        <v>517</v>
      </c>
    </row>
    <row r="196" spans="1:3" x14ac:dyDescent="0.25">
      <c r="A196" s="219">
        <v>2079</v>
      </c>
      <c r="B196" s="779" t="s">
        <v>27</v>
      </c>
      <c r="C196" s="779" t="s">
        <v>518</v>
      </c>
    </row>
    <row r="197" spans="1:3" x14ac:dyDescent="0.25">
      <c r="A197" s="219">
        <v>2080</v>
      </c>
      <c r="B197" s="779" t="s">
        <v>519</v>
      </c>
      <c r="C197" s="779" t="s">
        <v>520</v>
      </c>
    </row>
    <row r="198" spans="1:3" x14ac:dyDescent="0.25">
      <c r="A198" s="219">
        <v>2081</v>
      </c>
      <c r="B198" s="780" t="s">
        <v>521</v>
      </c>
      <c r="C198" s="780" t="s">
        <v>522</v>
      </c>
    </row>
    <row r="199" spans="1:3" x14ac:dyDescent="0.25">
      <c r="A199" s="219">
        <v>2082</v>
      </c>
      <c r="B199" s="780" t="s">
        <v>523</v>
      </c>
      <c r="C199" s="780" t="s">
        <v>524</v>
      </c>
    </row>
    <row r="200" spans="1:3" ht="13" x14ac:dyDescent="0.25">
      <c r="A200" s="219">
        <v>2083</v>
      </c>
      <c r="B200" s="139" t="s">
        <v>525</v>
      </c>
      <c r="C200" s="139" t="s">
        <v>526</v>
      </c>
    </row>
    <row r="201" spans="1:3" x14ac:dyDescent="0.25">
      <c r="A201" s="219">
        <v>2085</v>
      </c>
      <c r="B201" s="776" t="s">
        <v>527</v>
      </c>
      <c r="C201" s="776" t="s">
        <v>528</v>
      </c>
    </row>
    <row r="202" spans="1:3" x14ac:dyDescent="0.25">
      <c r="A202" s="219">
        <v>2086</v>
      </c>
      <c r="B202" s="779" t="s">
        <v>529</v>
      </c>
      <c r="C202" s="779" t="s">
        <v>530</v>
      </c>
    </row>
    <row r="203" spans="1:3" x14ac:dyDescent="0.25">
      <c r="A203" s="219">
        <v>2087</v>
      </c>
      <c r="B203" s="780" t="s">
        <v>42</v>
      </c>
      <c r="C203" s="780" t="s">
        <v>531</v>
      </c>
    </row>
    <row r="204" spans="1:3" x14ac:dyDescent="0.25">
      <c r="A204" s="219">
        <v>2088</v>
      </c>
      <c r="B204" s="780" t="s">
        <v>532</v>
      </c>
      <c r="C204" s="780" t="s">
        <v>533</v>
      </c>
    </row>
    <row r="205" spans="1:3" ht="15.5" x14ac:dyDescent="0.25">
      <c r="A205" s="219">
        <v>2089</v>
      </c>
      <c r="B205" s="24" t="s">
        <v>534</v>
      </c>
      <c r="C205" s="24" t="s">
        <v>535</v>
      </c>
    </row>
    <row r="206" spans="1:3" ht="13" x14ac:dyDescent="0.25">
      <c r="A206" s="219">
        <v>2090</v>
      </c>
      <c r="B206" s="781" t="s">
        <v>536</v>
      </c>
      <c r="C206" s="781" t="s">
        <v>537</v>
      </c>
    </row>
    <row r="207" spans="1:3" x14ac:dyDescent="0.25">
      <c r="A207" s="219">
        <v>2097</v>
      </c>
      <c r="B207" s="776" t="s">
        <v>538</v>
      </c>
      <c r="C207" s="776" t="s">
        <v>539</v>
      </c>
    </row>
    <row r="208" spans="1:3" x14ac:dyDescent="0.25">
      <c r="A208" s="219">
        <v>2098</v>
      </c>
      <c r="B208" s="776" t="s">
        <v>540</v>
      </c>
      <c r="C208" s="776" t="s">
        <v>541</v>
      </c>
    </row>
    <row r="209" spans="1:4" x14ac:dyDescent="0.25">
      <c r="A209" s="219">
        <v>2099</v>
      </c>
      <c r="B209" s="776" t="s">
        <v>542</v>
      </c>
      <c r="C209" s="776" t="s">
        <v>543</v>
      </c>
    </row>
    <row r="210" spans="1:4" x14ac:dyDescent="0.25">
      <c r="A210" s="219">
        <v>2101</v>
      </c>
      <c r="B210" s="778" t="s">
        <v>92</v>
      </c>
      <c r="C210" s="778" t="s">
        <v>544</v>
      </c>
    </row>
    <row r="211" spans="1:4" x14ac:dyDescent="0.25">
      <c r="A211" s="219">
        <v>2103</v>
      </c>
      <c r="B211" s="777" t="s">
        <v>545</v>
      </c>
      <c r="C211" s="777" t="s">
        <v>546</v>
      </c>
    </row>
    <row r="212" spans="1:4" ht="13" thickBot="1" x14ac:dyDescent="0.3">
      <c r="A212" s="219">
        <v>2114</v>
      </c>
      <c r="B212" s="182" t="s">
        <v>547</v>
      </c>
      <c r="C212" s="182" t="s">
        <v>548</v>
      </c>
    </row>
    <row r="213" spans="1:4" ht="13" thickBot="1" x14ac:dyDescent="0.3">
      <c r="A213" s="219">
        <v>2117</v>
      </c>
      <c r="B213" s="314" t="s">
        <v>549</v>
      </c>
      <c r="C213" s="314" t="s">
        <v>550</v>
      </c>
    </row>
    <row r="214" spans="1:4" ht="13" thickBot="1" x14ac:dyDescent="0.3">
      <c r="A214" s="219">
        <v>2118</v>
      </c>
      <c r="B214" s="314" t="s">
        <v>551</v>
      </c>
      <c r="C214" s="314" t="s">
        <v>552</v>
      </c>
    </row>
    <row r="215" spans="1:4" ht="13" x14ac:dyDescent="0.25">
      <c r="A215" s="219">
        <v>2195</v>
      </c>
      <c r="B215" s="307" t="s">
        <v>553</v>
      </c>
      <c r="C215" s="307" t="s">
        <v>554</v>
      </c>
    </row>
    <row r="216" spans="1:4" ht="13" x14ac:dyDescent="0.25">
      <c r="A216" s="219">
        <v>2199</v>
      </c>
      <c r="B216" s="315" t="s">
        <v>555</v>
      </c>
      <c r="C216" s="315" t="s">
        <v>556</v>
      </c>
      <c r="D216" t="s">
        <v>557</v>
      </c>
    </row>
    <row r="217" spans="1:4" ht="13" x14ac:dyDescent="0.25">
      <c r="A217" s="219">
        <v>2212</v>
      </c>
      <c r="B217" s="184" t="s">
        <v>558</v>
      </c>
      <c r="C217" s="184" t="s">
        <v>559</v>
      </c>
    </row>
    <row r="218" spans="1:4" x14ac:dyDescent="0.25">
      <c r="A218" s="219">
        <v>2215</v>
      </c>
      <c r="B218" s="309" t="s">
        <v>560</v>
      </c>
      <c r="C218" s="309" t="s">
        <v>561</v>
      </c>
    </row>
    <row r="219" spans="1:4" x14ac:dyDescent="0.25">
      <c r="A219" s="219">
        <v>2216</v>
      </c>
      <c r="B219" s="308" t="s">
        <v>562</v>
      </c>
      <c r="C219" s="308" t="s">
        <v>563</v>
      </c>
    </row>
    <row r="220" spans="1:4" x14ac:dyDescent="0.25">
      <c r="A220" s="219">
        <v>2217</v>
      </c>
      <c r="B220" s="309" t="s">
        <v>564</v>
      </c>
      <c r="C220" s="309" t="s">
        <v>565</v>
      </c>
    </row>
    <row r="221" spans="1:4" ht="20" x14ac:dyDescent="0.25">
      <c r="A221" s="219">
        <v>2225</v>
      </c>
      <c r="B221" s="209" t="s">
        <v>1833</v>
      </c>
      <c r="C221" s="209" t="s">
        <v>566</v>
      </c>
    </row>
    <row r="222" spans="1:4" ht="20" x14ac:dyDescent="0.25">
      <c r="A222" s="219">
        <v>2226</v>
      </c>
      <c r="B222" s="34"/>
      <c r="C222" s="34" t="s">
        <v>567</v>
      </c>
    </row>
    <row r="223" spans="1:4" ht="20" x14ac:dyDescent="0.25">
      <c r="A223" s="219">
        <v>2227</v>
      </c>
      <c r="B223" s="787"/>
      <c r="C223" s="787" t="s">
        <v>568</v>
      </c>
    </row>
    <row r="224" spans="1:4" ht="40" x14ac:dyDescent="0.25">
      <c r="A224" s="219">
        <v>2228</v>
      </c>
      <c r="B224" s="782" t="s">
        <v>1762</v>
      </c>
      <c r="C224" s="782" t="s">
        <v>569</v>
      </c>
    </row>
    <row r="225" spans="1:4" ht="30" x14ac:dyDescent="0.25">
      <c r="A225" s="219">
        <v>2229</v>
      </c>
      <c r="B225" s="784" t="s">
        <v>1769</v>
      </c>
      <c r="C225" s="784" t="s">
        <v>570</v>
      </c>
    </row>
    <row r="226" spans="1:4" ht="50" x14ac:dyDescent="0.25">
      <c r="A226" s="219">
        <v>2230</v>
      </c>
      <c r="B226" s="782" t="s">
        <v>1830</v>
      </c>
      <c r="C226" s="782" t="s">
        <v>571</v>
      </c>
    </row>
    <row r="227" spans="1:4" ht="20" x14ac:dyDescent="0.25">
      <c r="A227" s="219">
        <v>2231</v>
      </c>
      <c r="B227" s="34" t="s">
        <v>1784</v>
      </c>
      <c r="C227" s="34" t="s">
        <v>572</v>
      </c>
    </row>
    <row r="228" spans="1:4" ht="30" x14ac:dyDescent="0.25">
      <c r="A228" s="219">
        <v>2232</v>
      </c>
      <c r="B228" s="786" t="s">
        <v>1786</v>
      </c>
      <c r="C228" s="786" t="s">
        <v>573</v>
      </c>
    </row>
    <row r="229" spans="1:4" ht="20" x14ac:dyDescent="0.25">
      <c r="A229" s="219">
        <v>2233</v>
      </c>
      <c r="B229" s="786" t="s">
        <v>1788</v>
      </c>
      <c r="C229" s="786" t="s">
        <v>574</v>
      </c>
    </row>
    <row r="230" spans="1:4" x14ac:dyDescent="0.25">
      <c r="A230" s="219">
        <v>2234</v>
      </c>
      <c r="B230" s="211" t="s">
        <v>1789</v>
      </c>
      <c r="C230" s="211" t="s">
        <v>575</v>
      </c>
    </row>
    <row r="231" spans="1:4" ht="34.5" customHeight="1" x14ac:dyDescent="0.25">
      <c r="A231" s="219">
        <v>2235</v>
      </c>
      <c r="B231" s="786" t="s">
        <v>1790</v>
      </c>
      <c r="C231" s="786" t="s">
        <v>576</v>
      </c>
    </row>
    <row r="232" spans="1:4" x14ac:dyDescent="0.25">
      <c r="A232" s="219">
        <v>2236</v>
      </c>
      <c r="B232" s="183" t="s">
        <v>577</v>
      </c>
      <c r="C232" s="183" t="s">
        <v>578</v>
      </c>
    </row>
    <row r="233" spans="1:4" ht="64" customHeight="1" x14ac:dyDescent="0.25">
      <c r="A233" s="219">
        <v>2261</v>
      </c>
      <c r="B233" s="310" t="s">
        <v>1807</v>
      </c>
      <c r="C233" s="310" t="s">
        <v>579</v>
      </c>
    </row>
    <row r="234" spans="1:4" ht="25" x14ac:dyDescent="0.5">
      <c r="A234" s="219">
        <v>2262</v>
      </c>
      <c r="B234" s="223" t="s">
        <v>534</v>
      </c>
      <c r="C234" s="223" t="s">
        <v>580</v>
      </c>
    </row>
    <row r="235" spans="1:4" x14ac:dyDescent="0.25">
      <c r="A235" s="219">
        <v>2276</v>
      </c>
      <c r="B235" s="47" t="s">
        <v>581</v>
      </c>
      <c r="C235" s="47" t="s">
        <v>582</v>
      </c>
      <c r="D235" t="s">
        <v>583</v>
      </c>
    </row>
    <row r="236" spans="1:4" x14ac:dyDescent="0.25">
      <c r="A236" s="219">
        <v>2277</v>
      </c>
      <c r="B236" s="47" t="s">
        <v>584</v>
      </c>
      <c r="C236" s="47" t="s">
        <v>585</v>
      </c>
    </row>
    <row r="237" spans="1:4" x14ac:dyDescent="0.25">
      <c r="A237" s="219">
        <v>2278</v>
      </c>
      <c r="B237" s="47" t="s">
        <v>586</v>
      </c>
      <c r="C237" s="47" t="s">
        <v>587</v>
      </c>
    </row>
    <row r="238" spans="1:4" x14ac:dyDescent="0.25">
      <c r="A238" s="219">
        <v>2279</v>
      </c>
      <c r="B238" s="47" t="s">
        <v>588</v>
      </c>
      <c r="C238" s="47" t="s">
        <v>589</v>
      </c>
    </row>
    <row r="239" spans="1:4" x14ac:dyDescent="0.25">
      <c r="A239" s="219">
        <v>2280</v>
      </c>
      <c r="B239" s="47" t="s">
        <v>590</v>
      </c>
      <c r="C239" s="47" t="s">
        <v>591</v>
      </c>
    </row>
    <row r="240" spans="1:4" x14ac:dyDescent="0.25">
      <c r="A240" s="219">
        <v>2281</v>
      </c>
      <c r="B240" s="38" t="s">
        <v>29</v>
      </c>
      <c r="C240" s="38" t="s">
        <v>592</v>
      </c>
    </row>
    <row r="241" spans="1:3" x14ac:dyDescent="0.25">
      <c r="A241" s="219">
        <v>2282</v>
      </c>
      <c r="B241" s="38" t="s">
        <v>593</v>
      </c>
      <c r="C241" s="38" t="s">
        <v>594</v>
      </c>
    </row>
    <row r="242" spans="1:3" x14ac:dyDescent="0.25">
      <c r="A242" s="219">
        <v>2283</v>
      </c>
      <c r="B242" s="38" t="s">
        <v>595</v>
      </c>
      <c r="C242" s="38" t="s">
        <v>596</v>
      </c>
    </row>
    <row r="243" spans="1:3" x14ac:dyDescent="0.25">
      <c r="A243" s="219">
        <v>2284</v>
      </c>
      <c r="B243" s="38" t="s">
        <v>529</v>
      </c>
      <c r="C243" s="38" t="s">
        <v>597</v>
      </c>
    </row>
    <row r="244" spans="1:3" x14ac:dyDescent="0.25">
      <c r="A244" s="219">
        <v>2285</v>
      </c>
      <c r="B244" s="38" t="s">
        <v>598</v>
      </c>
      <c r="C244" s="38" t="s">
        <v>599</v>
      </c>
    </row>
    <row r="245" spans="1:3" x14ac:dyDescent="0.25">
      <c r="A245" s="219">
        <v>2286</v>
      </c>
      <c r="B245" s="284" t="s">
        <v>138</v>
      </c>
      <c r="C245" s="284" t="s">
        <v>600</v>
      </c>
    </row>
    <row r="246" spans="1:3" x14ac:dyDescent="0.25">
      <c r="A246" s="219">
        <v>2287</v>
      </c>
      <c r="B246" s="284" t="s">
        <v>601</v>
      </c>
      <c r="C246" s="284" t="s">
        <v>602</v>
      </c>
    </row>
    <row r="247" spans="1:3" x14ac:dyDescent="0.25">
      <c r="A247" s="219">
        <v>2288</v>
      </c>
      <c r="B247" s="278" t="s">
        <v>135</v>
      </c>
      <c r="C247" s="278" t="s">
        <v>603</v>
      </c>
    </row>
    <row r="248" spans="1:3" x14ac:dyDescent="0.25">
      <c r="A248" s="219">
        <v>2289</v>
      </c>
      <c r="B248" s="278" t="s">
        <v>604</v>
      </c>
      <c r="C248" s="278" t="s">
        <v>605</v>
      </c>
    </row>
    <row r="249" spans="1:3" x14ac:dyDescent="0.25">
      <c r="A249" s="219">
        <v>2290</v>
      </c>
      <c r="B249" s="284" t="s">
        <v>140</v>
      </c>
      <c r="C249" s="284" t="s">
        <v>606</v>
      </c>
    </row>
    <row r="250" spans="1:3" x14ac:dyDescent="0.25">
      <c r="A250" s="219">
        <v>2291</v>
      </c>
      <c r="B250" s="284" t="s">
        <v>607</v>
      </c>
      <c r="C250" s="284" t="s">
        <v>608</v>
      </c>
    </row>
    <row r="251" spans="1:3" x14ac:dyDescent="0.25">
      <c r="A251" s="219">
        <v>2292</v>
      </c>
      <c r="B251" s="284" t="s">
        <v>609</v>
      </c>
      <c r="C251" s="284" t="s">
        <v>609</v>
      </c>
    </row>
    <row r="252" spans="1:3" x14ac:dyDescent="0.25">
      <c r="A252" s="219">
        <v>2293</v>
      </c>
      <c r="B252" s="284" t="s">
        <v>1764</v>
      </c>
      <c r="C252" s="284" t="s">
        <v>610</v>
      </c>
    </row>
    <row r="253" spans="1:3" x14ac:dyDescent="0.25">
      <c r="A253" s="219">
        <v>2294</v>
      </c>
      <c r="B253" s="278" t="s">
        <v>611</v>
      </c>
      <c r="C253" s="278" t="s">
        <v>612</v>
      </c>
    </row>
    <row r="254" spans="1:3" x14ac:dyDescent="0.25">
      <c r="A254" s="219">
        <v>2295</v>
      </c>
      <c r="B254" s="278" t="s">
        <v>613</v>
      </c>
      <c r="C254" s="278" t="s">
        <v>614</v>
      </c>
    </row>
    <row r="255" spans="1:3" x14ac:dyDescent="0.25">
      <c r="A255" s="219">
        <v>2296</v>
      </c>
      <c r="B255" s="278" t="s">
        <v>615</v>
      </c>
      <c r="C255" s="278" t="s">
        <v>616</v>
      </c>
    </row>
    <row r="256" spans="1:3" x14ac:dyDescent="0.25">
      <c r="A256" s="219">
        <v>2297</v>
      </c>
      <c r="B256" s="284" t="s">
        <v>1765</v>
      </c>
      <c r="C256" s="278" t="s">
        <v>617</v>
      </c>
    </row>
    <row r="257" spans="1:4" x14ac:dyDescent="0.25">
      <c r="A257" s="219">
        <v>2298</v>
      </c>
      <c r="B257" s="278" t="s">
        <v>618</v>
      </c>
      <c r="C257" s="278" t="s">
        <v>619</v>
      </c>
    </row>
    <row r="258" spans="1:4" x14ac:dyDescent="0.25">
      <c r="A258" s="219">
        <v>2299</v>
      </c>
      <c r="B258" s="278" t="s">
        <v>620</v>
      </c>
      <c r="C258" s="278" t="s">
        <v>621</v>
      </c>
    </row>
    <row r="259" spans="1:4" x14ac:dyDescent="0.25">
      <c r="A259" s="219">
        <v>2300</v>
      </c>
      <c r="B259" s="278" t="s">
        <v>622</v>
      </c>
      <c r="C259" s="278" t="s">
        <v>623</v>
      </c>
    </row>
    <row r="260" spans="1:4" x14ac:dyDescent="0.25">
      <c r="A260" s="219">
        <v>2301</v>
      </c>
      <c r="B260" s="278" t="s">
        <v>624</v>
      </c>
      <c r="C260" s="278" t="s">
        <v>625</v>
      </c>
    </row>
    <row r="261" spans="1:4" x14ac:dyDescent="0.25">
      <c r="A261" s="219">
        <v>2302</v>
      </c>
      <c r="B261" s="38" t="s">
        <v>626</v>
      </c>
      <c r="C261" s="38" t="s">
        <v>626</v>
      </c>
    </row>
    <row r="262" spans="1:4" x14ac:dyDescent="0.25">
      <c r="A262" s="219">
        <v>2303</v>
      </c>
      <c r="B262" s="38" t="s">
        <v>627</v>
      </c>
      <c r="C262" s="38" t="s">
        <v>627</v>
      </c>
    </row>
    <row r="263" spans="1:4" x14ac:dyDescent="0.25">
      <c r="A263" s="219">
        <v>2311</v>
      </c>
      <c r="B263" s="47" t="s">
        <v>628</v>
      </c>
      <c r="C263" s="47" t="s">
        <v>629</v>
      </c>
    </row>
    <row r="264" spans="1:4" x14ac:dyDescent="0.25">
      <c r="A264" s="219">
        <v>2312</v>
      </c>
      <c r="B264" s="47" t="s">
        <v>630</v>
      </c>
      <c r="C264" s="47" t="s">
        <v>631</v>
      </c>
    </row>
    <row r="265" spans="1:4" x14ac:dyDescent="0.25">
      <c r="A265" s="219">
        <v>2313</v>
      </c>
      <c r="B265" s="316" t="s">
        <v>632</v>
      </c>
      <c r="C265" s="316" t="s">
        <v>633</v>
      </c>
    </row>
    <row r="266" spans="1:4" x14ac:dyDescent="0.25">
      <c r="A266" s="219">
        <v>2314</v>
      </c>
      <c r="B266" s="316" t="s">
        <v>1766</v>
      </c>
      <c r="C266" s="316" t="s">
        <v>634</v>
      </c>
    </row>
    <row r="267" spans="1:4" x14ac:dyDescent="0.25">
      <c r="A267" s="219">
        <v>2315</v>
      </c>
      <c r="B267" s="47" t="s">
        <v>635</v>
      </c>
      <c r="C267" s="47" t="s">
        <v>635</v>
      </c>
    </row>
    <row r="268" spans="1:4" ht="25" x14ac:dyDescent="0.25">
      <c r="A268" s="219">
        <v>2500</v>
      </c>
      <c r="B268" s="713" t="s">
        <v>636</v>
      </c>
      <c r="C268" s="713" t="s">
        <v>637</v>
      </c>
      <c r="D268" s="714" t="s">
        <v>638</v>
      </c>
    </row>
    <row r="269" spans="1:4" x14ac:dyDescent="0.25">
      <c r="A269" s="219">
        <v>2501</v>
      </c>
      <c r="B269" s="188" t="s">
        <v>639</v>
      </c>
      <c r="C269" s="188" t="s">
        <v>640</v>
      </c>
      <c r="D269" s="714" t="s">
        <v>641</v>
      </c>
    </row>
    <row r="270" spans="1:4" ht="52" x14ac:dyDescent="0.25">
      <c r="A270" s="219">
        <v>2502</v>
      </c>
      <c r="B270" s="781" t="s">
        <v>642</v>
      </c>
      <c r="C270" s="781" t="s">
        <v>643</v>
      </c>
      <c r="D270" s="714" t="s">
        <v>644</v>
      </c>
    </row>
    <row r="271" spans="1:4" ht="75" x14ac:dyDescent="0.25">
      <c r="A271" s="219">
        <v>2503</v>
      </c>
      <c r="B271" s="197" t="s">
        <v>645</v>
      </c>
      <c r="C271" s="197" t="s">
        <v>646</v>
      </c>
      <c r="D271" s="714" t="s">
        <v>647</v>
      </c>
    </row>
    <row r="272" spans="1:4" ht="25" x14ac:dyDescent="0.25">
      <c r="A272" s="219">
        <v>2504</v>
      </c>
      <c r="B272" s="197" t="s">
        <v>648</v>
      </c>
      <c r="C272" s="197" t="s">
        <v>649</v>
      </c>
      <c r="D272" s="714" t="s">
        <v>650</v>
      </c>
    </row>
    <row r="273" spans="1:4" ht="39" x14ac:dyDescent="0.25">
      <c r="A273" s="219">
        <v>2505</v>
      </c>
      <c r="B273" s="760" t="s">
        <v>651</v>
      </c>
      <c r="C273" s="760" t="s">
        <v>652</v>
      </c>
      <c r="D273" s="714" t="s">
        <v>653</v>
      </c>
    </row>
    <row r="274" spans="1:4" ht="25" x14ac:dyDescent="0.25">
      <c r="A274" s="219">
        <v>2506</v>
      </c>
      <c r="B274" s="197" t="s">
        <v>654</v>
      </c>
      <c r="C274" s="197" t="s">
        <v>655</v>
      </c>
      <c r="D274" s="714" t="s">
        <v>656</v>
      </c>
    </row>
    <row r="275" spans="1:4" ht="62.5" x14ac:dyDescent="0.25">
      <c r="A275" s="219">
        <v>2507</v>
      </c>
      <c r="B275" s="197" t="s">
        <v>657</v>
      </c>
      <c r="C275" s="197" t="s">
        <v>658</v>
      </c>
      <c r="D275" s="714" t="s">
        <v>659</v>
      </c>
    </row>
    <row r="276" spans="1:4" ht="25" x14ac:dyDescent="0.25">
      <c r="A276" s="219">
        <v>2508</v>
      </c>
      <c r="B276" s="197" t="s">
        <v>660</v>
      </c>
      <c r="C276" s="197" t="s">
        <v>661</v>
      </c>
      <c r="D276" s="714" t="s">
        <v>662</v>
      </c>
    </row>
    <row r="277" spans="1:4" ht="122.5" x14ac:dyDescent="0.25">
      <c r="A277" s="219">
        <v>2509</v>
      </c>
      <c r="B277" s="815" t="s">
        <v>1808</v>
      </c>
      <c r="C277" s="761" t="s">
        <v>663</v>
      </c>
      <c r="D277" s="714" t="s">
        <v>664</v>
      </c>
    </row>
    <row r="278" spans="1:4" ht="26" x14ac:dyDescent="0.25">
      <c r="A278" s="219">
        <v>2510</v>
      </c>
      <c r="B278" s="715" t="s">
        <v>665</v>
      </c>
      <c r="C278" s="715" t="s">
        <v>666</v>
      </c>
      <c r="D278" s="714" t="s">
        <v>667</v>
      </c>
    </row>
    <row r="279" spans="1:4" ht="26" x14ac:dyDescent="0.25">
      <c r="A279" s="219">
        <v>2511</v>
      </c>
      <c r="B279" s="715" t="s">
        <v>668</v>
      </c>
      <c r="C279" s="715" t="s">
        <v>669</v>
      </c>
      <c r="D279" s="714" t="s">
        <v>670</v>
      </c>
    </row>
    <row r="280" spans="1:4" ht="52" x14ac:dyDescent="0.25">
      <c r="A280" s="219">
        <v>2512</v>
      </c>
      <c r="B280" s="715" t="s">
        <v>671</v>
      </c>
      <c r="C280" s="715" t="s">
        <v>672</v>
      </c>
      <c r="D280" s="714" t="s">
        <v>673</v>
      </c>
    </row>
    <row r="281" spans="1:4" ht="50" x14ac:dyDescent="0.25">
      <c r="A281" s="219">
        <v>2513</v>
      </c>
      <c r="B281" s="197" t="s">
        <v>1810</v>
      </c>
      <c r="C281" s="197" t="s">
        <v>674</v>
      </c>
      <c r="D281" s="714" t="s">
        <v>675</v>
      </c>
    </row>
    <row r="282" spans="1:4" ht="25" x14ac:dyDescent="0.25">
      <c r="A282" s="219">
        <v>2514</v>
      </c>
      <c r="B282" s="197" t="s">
        <v>676</v>
      </c>
      <c r="C282" s="197" t="s">
        <v>677</v>
      </c>
      <c r="D282" s="714" t="s">
        <v>678</v>
      </c>
    </row>
    <row r="283" spans="1:4" ht="37.5" x14ac:dyDescent="0.25">
      <c r="A283" s="219">
        <v>2515</v>
      </c>
      <c r="B283" s="197" t="s">
        <v>679</v>
      </c>
      <c r="C283" s="197" t="s">
        <v>680</v>
      </c>
      <c r="D283" s="714" t="s">
        <v>681</v>
      </c>
    </row>
    <row r="284" spans="1:4" ht="104" x14ac:dyDescent="0.25">
      <c r="A284" s="219">
        <v>2516</v>
      </c>
      <c r="B284" s="202" t="s">
        <v>682</v>
      </c>
      <c r="C284" s="202" t="s">
        <v>683</v>
      </c>
      <c r="D284" s="714" t="s">
        <v>684</v>
      </c>
    </row>
    <row r="285" spans="1:4" ht="50" x14ac:dyDescent="0.25">
      <c r="A285" s="219">
        <v>2517</v>
      </c>
      <c r="B285" s="197" t="s">
        <v>685</v>
      </c>
      <c r="C285" s="197" t="s">
        <v>686</v>
      </c>
      <c r="D285" s="714" t="s">
        <v>687</v>
      </c>
    </row>
    <row r="286" spans="1:4" ht="37.5" x14ac:dyDescent="0.25">
      <c r="A286" s="219">
        <v>2518</v>
      </c>
      <c r="B286" s="197" t="s">
        <v>688</v>
      </c>
      <c r="C286" s="197" t="s">
        <v>689</v>
      </c>
      <c r="D286" s="714" t="s">
        <v>690</v>
      </c>
    </row>
    <row r="287" spans="1:4" ht="25" x14ac:dyDescent="0.25">
      <c r="A287" s="219">
        <v>2519</v>
      </c>
      <c r="B287" s="197" t="s">
        <v>691</v>
      </c>
      <c r="C287" s="197" t="s">
        <v>692</v>
      </c>
      <c r="D287" s="714" t="s">
        <v>693</v>
      </c>
    </row>
    <row r="288" spans="1:4" ht="37.5" x14ac:dyDescent="0.25">
      <c r="A288" s="219">
        <v>2520</v>
      </c>
      <c r="B288" s="716" t="s">
        <v>694</v>
      </c>
      <c r="C288" s="716" t="s">
        <v>695</v>
      </c>
      <c r="D288" s="714" t="s">
        <v>696</v>
      </c>
    </row>
    <row r="289" spans="1:4" ht="75.5" thickBot="1" x14ac:dyDescent="0.3">
      <c r="A289" s="219">
        <v>2521</v>
      </c>
      <c r="B289" s="197" t="s">
        <v>697</v>
      </c>
      <c r="C289" s="197" t="s">
        <v>698</v>
      </c>
      <c r="D289" s="714" t="s">
        <v>699</v>
      </c>
    </row>
    <row r="290" spans="1:4" ht="13" x14ac:dyDescent="0.25">
      <c r="A290" s="219">
        <v>2522</v>
      </c>
      <c r="B290" s="203" t="s">
        <v>700</v>
      </c>
      <c r="C290" s="203" t="s">
        <v>701</v>
      </c>
      <c r="D290" s="714" t="s">
        <v>702</v>
      </c>
    </row>
    <row r="291" spans="1:4" ht="18" x14ac:dyDescent="0.25">
      <c r="A291" s="219">
        <v>2523</v>
      </c>
      <c r="B291" s="196" t="s">
        <v>700</v>
      </c>
      <c r="C291" s="196" t="s">
        <v>703</v>
      </c>
      <c r="D291" s="714" t="s">
        <v>704</v>
      </c>
    </row>
    <row r="292" spans="1:4" ht="18" x14ac:dyDescent="0.25">
      <c r="A292" s="219">
        <v>2524</v>
      </c>
      <c r="B292" s="772" t="s">
        <v>705</v>
      </c>
      <c r="C292" s="772" t="s">
        <v>706</v>
      </c>
      <c r="D292" s="714" t="s">
        <v>707</v>
      </c>
    </row>
    <row r="293" spans="1:4" ht="24" customHeight="1" x14ac:dyDescent="0.25">
      <c r="A293" s="219">
        <v>2525</v>
      </c>
      <c r="B293" s="773" t="s">
        <v>1812</v>
      </c>
      <c r="C293" s="773" t="s">
        <v>708</v>
      </c>
      <c r="D293" s="714" t="s">
        <v>709</v>
      </c>
    </row>
    <row r="294" spans="1:4" ht="30" x14ac:dyDescent="0.25">
      <c r="A294" s="219">
        <v>2526</v>
      </c>
      <c r="B294" s="774" t="s">
        <v>710</v>
      </c>
      <c r="C294" s="774" t="s">
        <v>711</v>
      </c>
      <c r="D294" s="714" t="s">
        <v>712</v>
      </c>
    </row>
    <row r="295" spans="1:4" x14ac:dyDescent="0.25">
      <c r="A295" s="219">
        <v>2527</v>
      </c>
      <c r="B295" s="717"/>
      <c r="C295" s="717" t="s">
        <v>713</v>
      </c>
      <c r="D295" s="714" t="s">
        <v>714</v>
      </c>
    </row>
    <row r="296" spans="1:4" ht="15.5" x14ac:dyDescent="0.35">
      <c r="A296" s="219">
        <v>2528</v>
      </c>
      <c r="B296" s="816" t="s">
        <v>715</v>
      </c>
      <c r="C296" s="42" t="s">
        <v>716</v>
      </c>
      <c r="D296" s="714" t="s">
        <v>717</v>
      </c>
    </row>
    <row r="297" spans="1:4" ht="13" x14ac:dyDescent="0.3">
      <c r="A297" s="219">
        <v>2529</v>
      </c>
      <c r="B297" s="206" t="s">
        <v>718</v>
      </c>
      <c r="C297" s="206" t="s">
        <v>719</v>
      </c>
      <c r="D297" s="714" t="s">
        <v>720</v>
      </c>
    </row>
    <row r="298" spans="1:4" x14ac:dyDescent="0.25">
      <c r="A298" s="219">
        <v>2530</v>
      </c>
      <c r="B298" s="769" t="s">
        <v>721</v>
      </c>
      <c r="C298" s="769" t="s">
        <v>722</v>
      </c>
      <c r="D298" s="714" t="s">
        <v>723</v>
      </c>
    </row>
    <row r="299" spans="1:4" x14ac:dyDescent="0.25">
      <c r="A299" s="219">
        <v>2531</v>
      </c>
      <c r="B299" s="769" t="s">
        <v>724</v>
      </c>
      <c r="C299" s="769" t="s">
        <v>725</v>
      </c>
      <c r="D299" s="714" t="s">
        <v>726</v>
      </c>
    </row>
    <row r="300" spans="1:4" x14ac:dyDescent="0.25">
      <c r="A300" s="219">
        <v>2532</v>
      </c>
      <c r="B300" s="769" t="s">
        <v>727</v>
      </c>
      <c r="C300" s="769" t="s">
        <v>728</v>
      </c>
      <c r="D300" s="714" t="s">
        <v>729</v>
      </c>
    </row>
    <row r="301" spans="1:4" ht="13" x14ac:dyDescent="0.3">
      <c r="A301" s="219">
        <v>2533</v>
      </c>
      <c r="B301" s="206" t="s">
        <v>730</v>
      </c>
      <c r="C301" s="206" t="s">
        <v>731</v>
      </c>
      <c r="D301" s="714" t="s">
        <v>732</v>
      </c>
    </row>
    <row r="302" spans="1:4" x14ac:dyDescent="0.25">
      <c r="A302" s="219">
        <v>2534</v>
      </c>
      <c r="B302" s="769" t="s">
        <v>733</v>
      </c>
      <c r="C302" s="769" t="s">
        <v>734</v>
      </c>
      <c r="D302" s="714" t="s">
        <v>735</v>
      </c>
    </row>
    <row r="303" spans="1:4" x14ac:dyDescent="0.25">
      <c r="A303" s="219">
        <v>2535</v>
      </c>
      <c r="B303" s="769" t="s">
        <v>736</v>
      </c>
      <c r="C303" s="769" t="s">
        <v>737</v>
      </c>
      <c r="D303" s="714" t="s">
        <v>738</v>
      </c>
    </row>
    <row r="304" spans="1:4" ht="43" customHeight="1" x14ac:dyDescent="0.25">
      <c r="A304" s="219">
        <v>2536</v>
      </c>
      <c r="B304" s="811" t="s">
        <v>739</v>
      </c>
      <c r="C304" s="58" t="s">
        <v>740</v>
      </c>
      <c r="D304" s="714" t="s">
        <v>741</v>
      </c>
    </row>
    <row r="305" spans="1:4" ht="50" x14ac:dyDescent="0.25">
      <c r="A305" s="219">
        <v>2537</v>
      </c>
      <c r="B305" s="770" t="s">
        <v>742</v>
      </c>
      <c r="C305" s="770" t="s">
        <v>743</v>
      </c>
      <c r="D305" s="714" t="s">
        <v>744</v>
      </c>
    </row>
    <row r="306" spans="1:4" ht="30" x14ac:dyDescent="0.25">
      <c r="A306" s="219">
        <v>2538</v>
      </c>
      <c r="B306" s="771" t="s">
        <v>745</v>
      </c>
      <c r="C306" s="771" t="s">
        <v>746</v>
      </c>
      <c r="D306" s="714" t="s">
        <v>747</v>
      </c>
    </row>
    <row r="307" spans="1:4" ht="15.5" x14ac:dyDescent="0.35">
      <c r="A307" s="219">
        <v>2539</v>
      </c>
      <c r="B307" s="42" t="s">
        <v>748</v>
      </c>
      <c r="C307" s="42" t="s">
        <v>749</v>
      </c>
      <c r="D307" s="714" t="s">
        <v>750</v>
      </c>
    </row>
    <row r="308" spans="1:4" ht="13" x14ac:dyDescent="0.25">
      <c r="A308" s="219">
        <v>2540</v>
      </c>
      <c r="B308" s="58" t="s">
        <v>751</v>
      </c>
      <c r="C308" s="58" t="s">
        <v>752</v>
      </c>
      <c r="D308" s="714" t="s">
        <v>753</v>
      </c>
    </row>
    <row r="309" spans="1:4" x14ac:dyDescent="0.25">
      <c r="A309" s="219">
        <v>2541</v>
      </c>
      <c r="B309" s="768" t="s">
        <v>754</v>
      </c>
      <c r="C309" s="768" t="s">
        <v>755</v>
      </c>
      <c r="D309" s="714" t="s">
        <v>756</v>
      </c>
    </row>
    <row r="310" spans="1:4" x14ac:dyDescent="0.25">
      <c r="A310" s="219">
        <v>2542</v>
      </c>
      <c r="B310" s="768" t="s">
        <v>757</v>
      </c>
      <c r="C310" s="768" t="s">
        <v>758</v>
      </c>
      <c r="D310" s="714" t="s">
        <v>759</v>
      </c>
    </row>
    <row r="311" spans="1:4" x14ac:dyDescent="0.25">
      <c r="A311" s="219">
        <v>2543</v>
      </c>
      <c r="B311" s="768" t="s">
        <v>272</v>
      </c>
      <c r="C311" s="768" t="s">
        <v>760</v>
      </c>
      <c r="D311" s="714" t="s">
        <v>761</v>
      </c>
    </row>
    <row r="312" spans="1:4" ht="13" x14ac:dyDescent="0.25">
      <c r="A312" s="219">
        <v>2544</v>
      </c>
      <c r="B312" s="58" t="s">
        <v>762</v>
      </c>
      <c r="C312" s="58" t="s">
        <v>763</v>
      </c>
      <c r="D312" s="714" t="s">
        <v>764</v>
      </c>
    </row>
    <row r="313" spans="1:4" ht="20" x14ac:dyDescent="0.25">
      <c r="A313" s="219">
        <v>2545</v>
      </c>
      <c r="B313" s="770" t="s">
        <v>765</v>
      </c>
      <c r="C313" s="770" t="s">
        <v>766</v>
      </c>
      <c r="D313" s="714" t="s">
        <v>767</v>
      </c>
    </row>
    <row r="314" spans="1:4" x14ac:dyDescent="0.25">
      <c r="A314" s="219">
        <v>2546</v>
      </c>
      <c r="B314" s="768" t="s">
        <v>768</v>
      </c>
      <c r="C314" s="768" t="s">
        <v>769</v>
      </c>
      <c r="D314" s="714" t="s">
        <v>770</v>
      </c>
    </row>
    <row r="315" spans="1:4" ht="13" x14ac:dyDescent="0.25">
      <c r="A315" s="219">
        <v>2547</v>
      </c>
      <c r="B315" s="58" t="s">
        <v>771</v>
      </c>
      <c r="C315" s="58" t="s">
        <v>772</v>
      </c>
      <c r="D315" s="714" t="s">
        <v>773</v>
      </c>
    </row>
    <row r="316" spans="1:4" ht="30" x14ac:dyDescent="0.25">
      <c r="A316" s="219">
        <v>2548</v>
      </c>
      <c r="B316" s="770" t="s">
        <v>774</v>
      </c>
      <c r="C316" s="770" t="s">
        <v>775</v>
      </c>
      <c r="D316" s="714" t="s">
        <v>776</v>
      </c>
    </row>
    <row r="317" spans="1:4" ht="20" x14ac:dyDescent="0.25">
      <c r="A317" s="219">
        <v>2549</v>
      </c>
      <c r="B317" s="770" t="s">
        <v>777</v>
      </c>
      <c r="C317" s="770" t="s">
        <v>778</v>
      </c>
      <c r="D317" s="714" t="s">
        <v>779</v>
      </c>
    </row>
    <row r="318" spans="1:4" ht="20" x14ac:dyDescent="0.25">
      <c r="A318" s="219">
        <v>2550</v>
      </c>
      <c r="B318" s="770" t="s">
        <v>780</v>
      </c>
      <c r="C318" s="770" t="s">
        <v>781</v>
      </c>
      <c r="D318" s="714" t="s">
        <v>782</v>
      </c>
    </row>
    <row r="319" spans="1:4" x14ac:dyDescent="0.25">
      <c r="A319" s="219">
        <v>2551</v>
      </c>
      <c r="B319" s="768" t="s">
        <v>783</v>
      </c>
      <c r="C319" s="768" t="s">
        <v>784</v>
      </c>
      <c r="D319" s="714" t="s">
        <v>785</v>
      </c>
    </row>
    <row r="320" spans="1:4" ht="13" thickBot="1" x14ac:dyDescent="0.3">
      <c r="A320" s="219">
        <v>2552</v>
      </c>
      <c r="B320" s="769" t="s">
        <v>786</v>
      </c>
      <c r="C320" s="769" t="s">
        <v>787</v>
      </c>
      <c r="D320" s="714" t="s">
        <v>788</v>
      </c>
    </row>
    <row r="321" spans="1:4" ht="13" x14ac:dyDescent="0.25">
      <c r="A321" s="219">
        <v>2553</v>
      </c>
      <c r="B321" s="203" t="s">
        <v>789</v>
      </c>
      <c r="C321" s="203" t="s">
        <v>790</v>
      </c>
      <c r="D321" s="714" t="s">
        <v>791</v>
      </c>
    </row>
    <row r="322" spans="1:4" ht="36" x14ac:dyDescent="0.25">
      <c r="A322" s="219">
        <v>2554</v>
      </c>
      <c r="B322" s="534" t="s">
        <v>789</v>
      </c>
      <c r="C322" s="534" t="s">
        <v>792</v>
      </c>
      <c r="D322" s="714" t="s">
        <v>793</v>
      </c>
    </row>
    <row r="323" spans="1:4" ht="80" customHeight="1" x14ac:dyDescent="0.25">
      <c r="A323" s="219">
        <v>2555</v>
      </c>
      <c r="B323" s="34" t="s">
        <v>1813</v>
      </c>
      <c r="C323" s="34" t="s">
        <v>794</v>
      </c>
      <c r="D323" s="714" t="s">
        <v>795</v>
      </c>
    </row>
    <row r="324" spans="1:4" ht="40" x14ac:dyDescent="0.25">
      <c r="A324" s="219">
        <v>2556</v>
      </c>
      <c r="B324" s="34" t="s">
        <v>796</v>
      </c>
      <c r="C324" s="34" t="s">
        <v>797</v>
      </c>
      <c r="D324" s="714" t="s">
        <v>798</v>
      </c>
    </row>
    <row r="325" spans="1:4" ht="20" x14ac:dyDescent="0.25">
      <c r="A325" s="219">
        <v>2557</v>
      </c>
      <c r="B325" s="775" t="s">
        <v>1071</v>
      </c>
      <c r="C325" s="775" t="s">
        <v>799</v>
      </c>
      <c r="D325" s="714" t="s">
        <v>800</v>
      </c>
    </row>
    <row r="326" spans="1:4" ht="50" x14ac:dyDescent="0.25">
      <c r="A326" s="219">
        <v>2558</v>
      </c>
      <c r="B326" s="34" t="s">
        <v>1814</v>
      </c>
      <c r="C326" s="34" t="s">
        <v>801</v>
      </c>
      <c r="D326" s="714" t="s">
        <v>802</v>
      </c>
    </row>
    <row r="327" spans="1:4" ht="20" x14ac:dyDescent="0.25">
      <c r="A327" s="219">
        <v>2559</v>
      </c>
      <c r="B327" s="34" t="s">
        <v>1816</v>
      </c>
      <c r="C327" s="34" t="s">
        <v>803</v>
      </c>
      <c r="D327" s="714" t="s">
        <v>804</v>
      </c>
    </row>
    <row r="328" spans="1:4" ht="30" x14ac:dyDescent="0.25">
      <c r="A328" s="219">
        <v>2560</v>
      </c>
      <c r="B328" s="34" t="s">
        <v>1815</v>
      </c>
      <c r="C328" s="34" t="s">
        <v>805</v>
      </c>
      <c r="D328" s="714" t="s">
        <v>806</v>
      </c>
    </row>
    <row r="329" spans="1:4" x14ac:dyDescent="0.25">
      <c r="A329" s="219">
        <v>2561</v>
      </c>
      <c r="B329" s="34" t="s">
        <v>807</v>
      </c>
      <c r="C329" s="34" t="s">
        <v>808</v>
      </c>
      <c r="D329" s="714" t="s">
        <v>809</v>
      </c>
    </row>
    <row r="330" spans="1:4" ht="20" x14ac:dyDescent="0.25">
      <c r="A330" s="219">
        <v>2562</v>
      </c>
      <c r="B330" s="34" t="s">
        <v>810</v>
      </c>
      <c r="C330" s="34" t="s">
        <v>811</v>
      </c>
      <c r="D330" s="714" t="s">
        <v>812</v>
      </c>
    </row>
    <row r="331" spans="1:4" x14ac:dyDescent="0.25">
      <c r="A331" s="219">
        <v>2563</v>
      </c>
      <c r="B331" s="34" t="s">
        <v>813</v>
      </c>
      <c r="C331" s="34" t="s">
        <v>814</v>
      </c>
      <c r="D331" s="714" t="s">
        <v>815</v>
      </c>
    </row>
    <row r="332" spans="1:4" ht="20" x14ac:dyDescent="0.25">
      <c r="A332" s="219">
        <v>2564</v>
      </c>
      <c r="B332" s="34" t="s">
        <v>1821</v>
      </c>
      <c r="C332" s="34" t="s">
        <v>816</v>
      </c>
      <c r="D332" s="714" t="s">
        <v>817</v>
      </c>
    </row>
    <row r="333" spans="1:4" ht="54.5" customHeight="1" x14ac:dyDescent="0.25">
      <c r="A333" s="219">
        <v>2565</v>
      </c>
      <c r="B333" s="775" t="s">
        <v>1817</v>
      </c>
      <c r="C333" s="775" t="s">
        <v>818</v>
      </c>
      <c r="D333" s="714" t="s">
        <v>819</v>
      </c>
    </row>
    <row r="334" spans="1:4" x14ac:dyDescent="0.25">
      <c r="A334" s="219">
        <v>2566</v>
      </c>
      <c r="B334" s="34"/>
      <c r="C334" s="34" t="s">
        <v>820</v>
      </c>
      <c r="D334" s="714" t="s">
        <v>821</v>
      </c>
    </row>
    <row r="335" spans="1:4" ht="40" x14ac:dyDescent="0.25">
      <c r="A335" s="219">
        <v>2567</v>
      </c>
      <c r="B335" s="34" t="s">
        <v>1822</v>
      </c>
      <c r="C335" s="34" t="s">
        <v>822</v>
      </c>
      <c r="D335" s="714" t="s">
        <v>823</v>
      </c>
    </row>
    <row r="336" spans="1:4" ht="50" x14ac:dyDescent="0.25">
      <c r="A336" s="219">
        <v>2568</v>
      </c>
      <c r="B336" s="34" t="s">
        <v>1825</v>
      </c>
      <c r="C336" s="34" t="s">
        <v>824</v>
      </c>
      <c r="D336" s="714" t="s">
        <v>825</v>
      </c>
    </row>
    <row r="337" spans="1:4" x14ac:dyDescent="0.25">
      <c r="A337" s="219">
        <v>2569</v>
      </c>
      <c r="B337" s="775" t="s">
        <v>826</v>
      </c>
      <c r="C337" s="775" t="s">
        <v>827</v>
      </c>
      <c r="D337" s="714" t="s">
        <v>828</v>
      </c>
    </row>
    <row r="338" spans="1:4" x14ac:dyDescent="0.25">
      <c r="A338" s="219">
        <v>2570</v>
      </c>
      <c r="B338" s="776" t="s">
        <v>829</v>
      </c>
      <c r="C338" s="776" t="s">
        <v>830</v>
      </c>
      <c r="D338" s="714" t="s">
        <v>831</v>
      </c>
    </row>
    <row r="339" spans="1:4" x14ac:dyDescent="0.25">
      <c r="A339" s="219">
        <v>2571</v>
      </c>
      <c r="B339" s="776" t="s">
        <v>832</v>
      </c>
      <c r="C339" s="776" t="s">
        <v>833</v>
      </c>
      <c r="D339" s="714" t="s">
        <v>834</v>
      </c>
    </row>
    <row r="340" spans="1:4" x14ac:dyDescent="0.25">
      <c r="A340" s="219">
        <v>2572</v>
      </c>
      <c r="B340" s="776" t="s">
        <v>1756</v>
      </c>
      <c r="C340" s="776" t="s">
        <v>835</v>
      </c>
      <c r="D340" s="714" t="s">
        <v>836</v>
      </c>
    </row>
    <row r="341" spans="1:4" x14ac:dyDescent="0.25">
      <c r="A341" s="219">
        <v>2573</v>
      </c>
      <c r="B341" s="718" t="s">
        <v>837</v>
      </c>
      <c r="C341" s="718" t="s">
        <v>838</v>
      </c>
      <c r="D341" s="714" t="s">
        <v>839</v>
      </c>
    </row>
    <row r="342" spans="1:4" x14ac:dyDescent="0.25">
      <c r="A342" s="219">
        <v>2574</v>
      </c>
      <c r="B342" s="719" t="s">
        <v>840</v>
      </c>
      <c r="C342" s="719" t="s">
        <v>841</v>
      </c>
      <c r="D342" s="714" t="s">
        <v>842</v>
      </c>
    </row>
    <row r="343" spans="1:4" x14ac:dyDescent="0.25">
      <c r="A343" s="219">
        <v>2575</v>
      </c>
      <c r="B343" s="720" t="s">
        <v>843</v>
      </c>
      <c r="C343" s="720" t="s">
        <v>844</v>
      </c>
      <c r="D343" s="714" t="s">
        <v>845</v>
      </c>
    </row>
    <row r="344" spans="1:4" x14ac:dyDescent="0.25">
      <c r="A344" s="219">
        <v>2576</v>
      </c>
      <c r="B344" s="721" t="s">
        <v>846</v>
      </c>
      <c r="C344" s="721" t="s">
        <v>847</v>
      </c>
      <c r="D344" s="714" t="s">
        <v>848</v>
      </c>
    </row>
    <row r="345" spans="1:4" x14ac:dyDescent="0.25">
      <c r="A345" s="219">
        <v>2577</v>
      </c>
      <c r="B345" s="722" t="s">
        <v>849</v>
      </c>
      <c r="C345" s="722" t="s">
        <v>850</v>
      </c>
      <c r="D345" s="714" t="s">
        <v>851</v>
      </c>
    </row>
    <row r="346" spans="1:4" ht="13" x14ac:dyDescent="0.25">
      <c r="A346" s="219">
        <v>2578</v>
      </c>
      <c r="B346" s="139" t="s">
        <v>852</v>
      </c>
      <c r="C346" s="139" t="s">
        <v>853</v>
      </c>
      <c r="D346" s="714" t="s">
        <v>854</v>
      </c>
    </row>
    <row r="347" spans="1:4" ht="40" x14ac:dyDescent="0.25">
      <c r="A347" s="219">
        <v>2579</v>
      </c>
      <c r="B347" s="34" t="s">
        <v>1824</v>
      </c>
      <c r="C347" s="34" t="s">
        <v>855</v>
      </c>
      <c r="D347" s="714" t="s">
        <v>856</v>
      </c>
    </row>
    <row r="348" spans="1:4" x14ac:dyDescent="0.25">
      <c r="A348" s="219">
        <v>2580</v>
      </c>
      <c r="B348" s="779" t="s">
        <v>857</v>
      </c>
      <c r="C348" s="779" t="s">
        <v>858</v>
      </c>
      <c r="D348" s="714" t="s">
        <v>859</v>
      </c>
    </row>
    <row r="349" spans="1:4" x14ac:dyDescent="0.25">
      <c r="A349" s="219">
        <v>2581</v>
      </c>
      <c r="B349" s="778" t="s">
        <v>860</v>
      </c>
      <c r="C349" s="778" t="s">
        <v>861</v>
      </c>
      <c r="D349" s="714" t="s">
        <v>862</v>
      </c>
    </row>
    <row r="350" spans="1:4" x14ac:dyDescent="0.25">
      <c r="A350" s="219">
        <v>2582</v>
      </c>
      <c r="B350" s="780" t="s">
        <v>863</v>
      </c>
      <c r="C350" s="780" t="s">
        <v>864</v>
      </c>
      <c r="D350" s="714" t="s">
        <v>865</v>
      </c>
    </row>
    <row r="351" spans="1:4" ht="13" thickBot="1" x14ac:dyDescent="0.3">
      <c r="A351" s="219">
        <v>2583</v>
      </c>
      <c r="B351" s="777" t="s">
        <v>866</v>
      </c>
      <c r="C351" s="777" t="s">
        <v>867</v>
      </c>
      <c r="D351" s="714" t="s">
        <v>868</v>
      </c>
    </row>
    <row r="352" spans="1:4" ht="13" x14ac:dyDescent="0.25">
      <c r="A352" s="219">
        <v>2584</v>
      </c>
      <c r="B352" s="203" t="s">
        <v>869</v>
      </c>
      <c r="C352" s="203" t="s">
        <v>870</v>
      </c>
      <c r="D352" s="714" t="s">
        <v>871</v>
      </c>
    </row>
    <row r="353" spans="1:4" ht="18" x14ac:dyDescent="0.25">
      <c r="A353" s="219">
        <v>2585</v>
      </c>
      <c r="B353" s="534" t="s">
        <v>869</v>
      </c>
      <c r="C353" s="534" t="s">
        <v>872</v>
      </c>
      <c r="D353" s="714" t="s">
        <v>873</v>
      </c>
    </row>
    <row r="354" spans="1:4" ht="15.5" x14ac:dyDescent="0.25">
      <c r="A354" s="219">
        <v>2586</v>
      </c>
      <c r="B354" s="24" t="s">
        <v>874</v>
      </c>
      <c r="C354" s="24" t="s">
        <v>875</v>
      </c>
      <c r="D354" s="714" t="s">
        <v>876</v>
      </c>
    </row>
    <row r="355" spans="1:4" ht="14" x14ac:dyDescent="0.25">
      <c r="A355" s="219">
        <v>2587</v>
      </c>
      <c r="B355" s="783" t="s">
        <v>1792</v>
      </c>
      <c r="C355" s="783" t="s">
        <v>877</v>
      </c>
      <c r="D355" s="714" t="s">
        <v>878</v>
      </c>
    </row>
    <row r="356" spans="1:4" x14ac:dyDescent="0.25">
      <c r="A356" s="219">
        <v>2588</v>
      </c>
      <c r="B356" s="209" t="s">
        <v>879</v>
      </c>
      <c r="C356" s="209" t="s">
        <v>880</v>
      </c>
      <c r="D356" s="714" t="s">
        <v>881</v>
      </c>
    </row>
    <row r="357" spans="1:4" x14ac:dyDescent="0.25">
      <c r="A357" s="219">
        <v>2589</v>
      </c>
      <c r="B357" s="782" t="s">
        <v>882</v>
      </c>
      <c r="C357" s="782" t="s">
        <v>883</v>
      </c>
      <c r="D357" s="714" t="s">
        <v>884</v>
      </c>
    </row>
    <row r="358" spans="1:4" x14ac:dyDescent="0.25">
      <c r="A358" s="219">
        <v>2590</v>
      </c>
      <c r="B358" s="208" t="s">
        <v>885</v>
      </c>
      <c r="C358" s="208" t="s">
        <v>886</v>
      </c>
      <c r="D358" s="714" t="s">
        <v>887</v>
      </c>
    </row>
    <row r="359" spans="1:4" ht="30" x14ac:dyDescent="0.25">
      <c r="A359" s="219">
        <v>2591</v>
      </c>
      <c r="B359" s="784" t="s">
        <v>1826</v>
      </c>
      <c r="C359" s="784" t="s">
        <v>888</v>
      </c>
      <c r="D359" s="714" t="s">
        <v>889</v>
      </c>
    </row>
    <row r="360" spans="1:4" x14ac:dyDescent="0.25">
      <c r="A360" s="219">
        <v>2592</v>
      </c>
      <c r="B360" s="208" t="s">
        <v>890</v>
      </c>
      <c r="C360" s="208" t="s">
        <v>891</v>
      </c>
      <c r="D360" s="714" t="s">
        <v>892</v>
      </c>
    </row>
    <row r="361" spans="1:4" ht="31.5" customHeight="1" x14ac:dyDescent="0.25">
      <c r="A361" s="219">
        <v>2593</v>
      </c>
      <c r="B361" s="784" t="s">
        <v>1834</v>
      </c>
      <c r="C361" s="784" t="s">
        <v>893</v>
      </c>
      <c r="D361" s="714" t="s">
        <v>894</v>
      </c>
    </row>
    <row r="362" spans="1:4" x14ac:dyDescent="0.25">
      <c r="A362" s="219">
        <v>2594</v>
      </c>
      <c r="B362" s="210" t="s">
        <v>895</v>
      </c>
      <c r="C362" s="210" t="s">
        <v>896</v>
      </c>
      <c r="D362" s="714" t="s">
        <v>897</v>
      </c>
    </row>
    <row r="363" spans="1:4" ht="110" x14ac:dyDescent="0.25">
      <c r="A363" s="219">
        <v>2595</v>
      </c>
      <c r="B363" s="34" t="s">
        <v>1827</v>
      </c>
      <c r="C363" s="34" t="s">
        <v>898</v>
      </c>
      <c r="D363" s="714" t="s">
        <v>899</v>
      </c>
    </row>
    <row r="364" spans="1:4" x14ac:dyDescent="0.25">
      <c r="A364" s="219">
        <v>2596</v>
      </c>
      <c r="B364" s="34"/>
      <c r="C364" s="34" t="s">
        <v>900</v>
      </c>
      <c r="D364" s="714" t="s">
        <v>901</v>
      </c>
    </row>
    <row r="365" spans="1:4" x14ac:dyDescent="0.25">
      <c r="A365" s="219">
        <v>2597</v>
      </c>
      <c r="B365" s="34"/>
      <c r="C365" s="34" t="s">
        <v>902</v>
      </c>
      <c r="D365" s="714" t="s">
        <v>903</v>
      </c>
    </row>
    <row r="366" spans="1:4" x14ac:dyDescent="0.25">
      <c r="A366" s="219">
        <v>2598</v>
      </c>
      <c r="B366" s="34"/>
      <c r="C366" s="34" t="s">
        <v>904</v>
      </c>
      <c r="D366" s="714" t="s">
        <v>905</v>
      </c>
    </row>
    <row r="367" spans="1:4" x14ac:dyDescent="0.25">
      <c r="A367" s="219">
        <v>2599</v>
      </c>
      <c r="B367" s="34"/>
      <c r="C367" s="34" t="s">
        <v>906</v>
      </c>
      <c r="D367" s="714" t="s">
        <v>907</v>
      </c>
    </row>
    <row r="368" spans="1:4" x14ac:dyDescent="0.25">
      <c r="A368" s="219">
        <v>2600</v>
      </c>
      <c r="B368" s="210" t="s">
        <v>908</v>
      </c>
      <c r="C368" s="210" t="s">
        <v>909</v>
      </c>
      <c r="D368" s="714" t="s">
        <v>910</v>
      </c>
    </row>
    <row r="369" spans="1:4" ht="20" x14ac:dyDescent="0.25">
      <c r="A369" s="219">
        <v>2601</v>
      </c>
      <c r="B369" s="782" t="s">
        <v>1828</v>
      </c>
      <c r="C369" s="782" t="s">
        <v>911</v>
      </c>
      <c r="D369" s="714" t="s">
        <v>912</v>
      </c>
    </row>
    <row r="370" spans="1:4" ht="20" x14ac:dyDescent="0.25">
      <c r="A370" s="219">
        <v>2602</v>
      </c>
      <c r="B370" s="34"/>
      <c r="C370" s="34" t="s">
        <v>913</v>
      </c>
      <c r="D370" s="714" t="s">
        <v>914</v>
      </c>
    </row>
    <row r="371" spans="1:4" x14ac:dyDescent="0.25">
      <c r="A371" s="219">
        <v>2603</v>
      </c>
      <c r="B371" s="34" t="s">
        <v>1783</v>
      </c>
      <c r="C371" s="34" t="s">
        <v>915</v>
      </c>
      <c r="D371" s="714" t="s">
        <v>916</v>
      </c>
    </row>
    <row r="372" spans="1:4" x14ac:dyDescent="0.25">
      <c r="A372" s="219">
        <v>2604</v>
      </c>
      <c r="B372" s="211" t="s">
        <v>1757</v>
      </c>
      <c r="C372" s="211" t="s">
        <v>917</v>
      </c>
      <c r="D372" s="714" t="s">
        <v>918</v>
      </c>
    </row>
    <row r="373" spans="1:4" ht="85.5" customHeight="1" x14ac:dyDescent="0.25">
      <c r="A373" s="219">
        <v>2605</v>
      </c>
      <c r="B373" s="830" t="s">
        <v>1758</v>
      </c>
      <c r="C373" s="786" t="s">
        <v>919</v>
      </c>
      <c r="D373" s="714" t="s">
        <v>920</v>
      </c>
    </row>
    <row r="374" spans="1:4" ht="13" x14ac:dyDescent="0.25">
      <c r="A374" s="219">
        <v>2606</v>
      </c>
      <c r="B374" s="139" t="s">
        <v>921</v>
      </c>
      <c r="C374" s="139" t="s">
        <v>922</v>
      </c>
      <c r="D374" s="714" t="s">
        <v>923</v>
      </c>
    </row>
    <row r="375" spans="1:4" ht="13" x14ac:dyDescent="0.25">
      <c r="A375" s="219">
        <v>2607</v>
      </c>
      <c r="B375" s="723" t="s">
        <v>924</v>
      </c>
      <c r="C375" s="723" t="s">
        <v>924</v>
      </c>
      <c r="D375" s="714" t="s">
        <v>925</v>
      </c>
    </row>
    <row r="376" spans="1:4" x14ac:dyDescent="0.25">
      <c r="A376" s="219">
        <v>2608</v>
      </c>
      <c r="B376" s="483" t="s">
        <v>926</v>
      </c>
      <c r="C376" s="483" t="s">
        <v>927</v>
      </c>
      <c r="D376" s="714" t="s">
        <v>928</v>
      </c>
    </row>
    <row r="377" spans="1:4" x14ac:dyDescent="0.25">
      <c r="A377" s="219">
        <v>2609</v>
      </c>
      <c r="B377" s="483" t="s">
        <v>929</v>
      </c>
      <c r="C377" s="483" t="s">
        <v>929</v>
      </c>
      <c r="D377" s="714" t="s">
        <v>930</v>
      </c>
    </row>
    <row r="378" spans="1:4" x14ac:dyDescent="0.25">
      <c r="A378" s="219">
        <v>2610</v>
      </c>
      <c r="B378" s="483" t="s">
        <v>931</v>
      </c>
      <c r="C378" s="483" t="s">
        <v>932</v>
      </c>
      <c r="D378" s="714" t="s">
        <v>933</v>
      </c>
    </row>
    <row r="379" spans="1:4" x14ac:dyDescent="0.25">
      <c r="A379" s="219">
        <v>2611</v>
      </c>
      <c r="B379" s="483" t="s">
        <v>934</v>
      </c>
      <c r="C379" s="483" t="s">
        <v>935</v>
      </c>
      <c r="D379" s="714" t="s">
        <v>936</v>
      </c>
    </row>
    <row r="380" spans="1:4" x14ac:dyDescent="0.25">
      <c r="A380" s="219">
        <v>2612</v>
      </c>
      <c r="B380" s="483" t="s">
        <v>937</v>
      </c>
      <c r="C380" s="483" t="s">
        <v>938</v>
      </c>
      <c r="D380" s="714" t="s">
        <v>939</v>
      </c>
    </row>
    <row r="381" spans="1:4" x14ac:dyDescent="0.25">
      <c r="A381" s="219">
        <v>2613</v>
      </c>
      <c r="B381" s="483" t="s">
        <v>940</v>
      </c>
      <c r="C381" s="483" t="s">
        <v>940</v>
      </c>
      <c r="D381" s="714" t="s">
        <v>941</v>
      </c>
    </row>
    <row r="382" spans="1:4" x14ac:dyDescent="0.25">
      <c r="A382" s="219">
        <v>2614</v>
      </c>
      <c r="B382" s="483" t="s">
        <v>942</v>
      </c>
      <c r="C382" s="483" t="s">
        <v>943</v>
      </c>
      <c r="D382" s="714" t="s">
        <v>944</v>
      </c>
    </row>
    <row r="383" spans="1:4" x14ac:dyDescent="0.25">
      <c r="A383" s="219">
        <v>2615</v>
      </c>
      <c r="B383" s="483" t="s">
        <v>945</v>
      </c>
      <c r="C383" s="483" t="s">
        <v>945</v>
      </c>
      <c r="D383" s="714" t="s">
        <v>946</v>
      </c>
    </row>
    <row r="384" spans="1:4" x14ac:dyDescent="0.25">
      <c r="A384" s="219">
        <v>2616</v>
      </c>
      <c r="B384" s="483" t="s">
        <v>947</v>
      </c>
      <c r="C384" s="483" t="s">
        <v>948</v>
      </c>
      <c r="D384" s="714" t="s">
        <v>949</v>
      </c>
    </row>
    <row r="385" spans="1:4" x14ac:dyDescent="0.25">
      <c r="A385" s="219">
        <v>2617</v>
      </c>
      <c r="B385" s="483" t="s">
        <v>950</v>
      </c>
      <c r="C385" s="483" t="s">
        <v>951</v>
      </c>
      <c r="D385" s="714" t="s">
        <v>952</v>
      </c>
    </row>
    <row r="386" spans="1:4" x14ac:dyDescent="0.25">
      <c r="A386" s="219">
        <v>2618</v>
      </c>
      <c r="B386" s="483" t="s">
        <v>953</v>
      </c>
      <c r="C386" s="483" t="s">
        <v>953</v>
      </c>
      <c r="D386" s="714" t="s">
        <v>954</v>
      </c>
    </row>
    <row r="387" spans="1:4" x14ac:dyDescent="0.25">
      <c r="A387" s="219">
        <v>2619</v>
      </c>
      <c r="B387" s="483" t="s">
        <v>955</v>
      </c>
      <c r="C387" s="483" t="s">
        <v>956</v>
      </c>
      <c r="D387" s="714" t="s">
        <v>957</v>
      </c>
    </row>
    <row r="388" spans="1:4" x14ac:dyDescent="0.25">
      <c r="A388" s="219">
        <v>2620</v>
      </c>
      <c r="B388" s="483" t="s">
        <v>958</v>
      </c>
      <c r="C388" s="483" t="s">
        <v>959</v>
      </c>
      <c r="D388" s="714" t="s">
        <v>960</v>
      </c>
    </row>
    <row r="389" spans="1:4" x14ac:dyDescent="0.25">
      <c r="A389" s="219">
        <v>2621</v>
      </c>
      <c r="B389" s="483" t="s">
        <v>961</v>
      </c>
      <c r="C389" s="483" t="s">
        <v>962</v>
      </c>
      <c r="D389" s="714" t="s">
        <v>963</v>
      </c>
    </row>
    <row r="390" spans="1:4" x14ac:dyDescent="0.25">
      <c r="A390" s="219">
        <v>2622</v>
      </c>
      <c r="B390" s="483" t="s">
        <v>964</v>
      </c>
      <c r="C390" s="483" t="s">
        <v>964</v>
      </c>
      <c r="D390" s="714" t="s">
        <v>965</v>
      </c>
    </row>
    <row r="391" spans="1:4" x14ac:dyDescent="0.25">
      <c r="A391" s="219">
        <v>2623</v>
      </c>
      <c r="B391" s="483" t="s">
        <v>966</v>
      </c>
      <c r="C391" s="483" t="s">
        <v>966</v>
      </c>
      <c r="D391" s="714" t="s">
        <v>967</v>
      </c>
    </row>
    <row r="392" spans="1:4" x14ac:dyDescent="0.25">
      <c r="A392" s="219">
        <v>2624</v>
      </c>
      <c r="B392" s="483" t="s">
        <v>968</v>
      </c>
      <c r="C392" s="483" t="s">
        <v>968</v>
      </c>
      <c r="D392" s="714" t="s">
        <v>969</v>
      </c>
    </row>
    <row r="393" spans="1:4" ht="13" x14ac:dyDescent="0.25">
      <c r="A393" s="219">
        <v>2625</v>
      </c>
      <c r="B393" s="724" t="s">
        <v>970</v>
      </c>
      <c r="C393" s="724" t="s">
        <v>971</v>
      </c>
      <c r="D393" s="714" t="s">
        <v>972</v>
      </c>
    </row>
    <row r="394" spans="1:4" ht="13.5" thickBot="1" x14ac:dyDescent="0.3">
      <c r="A394" s="219">
        <v>2626</v>
      </c>
      <c r="B394" s="725" t="s">
        <v>144</v>
      </c>
      <c r="C394" s="725" t="s">
        <v>973</v>
      </c>
      <c r="D394" s="714" t="s">
        <v>974</v>
      </c>
    </row>
    <row r="395" spans="1:4" ht="13.5" thickBot="1" x14ac:dyDescent="0.3">
      <c r="A395" s="219">
        <v>2627</v>
      </c>
      <c r="B395" s="725" t="s">
        <v>975</v>
      </c>
      <c r="C395" s="725" t="s">
        <v>976</v>
      </c>
      <c r="D395" s="714" t="s">
        <v>977</v>
      </c>
    </row>
    <row r="396" spans="1:4" ht="13" x14ac:dyDescent="0.25">
      <c r="A396" s="219">
        <v>2628</v>
      </c>
      <c r="B396" s="139" t="s">
        <v>978</v>
      </c>
      <c r="C396" s="139" t="s">
        <v>979</v>
      </c>
      <c r="D396" s="714" t="s">
        <v>980</v>
      </c>
    </row>
    <row r="397" spans="1:4" x14ac:dyDescent="0.25">
      <c r="A397" s="219">
        <v>2629</v>
      </c>
      <c r="B397" s="188" t="s">
        <v>981</v>
      </c>
      <c r="C397" s="188" t="s">
        <v>981</v>
      </c>
      <c r="D397" s="714" t="s">
        <v>982</v>
      </c>
    </row>
    <row r="398" spans="1:4" x14ac:dyDescent="0.25">
      <c r="A398" s="219">
        <v>2630</v>
      </c>
      <c r="B398" s="345" t="s">
        <v>983</v>
      </c>
      <c r="C398" s="345" t="s">
        <v>984</v>
      </c>
      <c r="D398" s="714" t="s">
        <v>985</v>
      </c>
    </row>
    <row r="399" spans="1:4" x14ac:dyDescent="0.25">
      <c r="A399" s="219">
        <v>2631</v>
      </c>
      <c r="B399" s="188" t="s">
        <v>986</v>
      </c>
      <c r="C399" s="188" t="s">
        <v>987</v>
      </c>
      <c r="D399" s="714" t="s">
        <v>988</v>
      </c>
    </row>
    <row r="400" spans="1:4" x14ac:dyDescent="0.25">
      <c r="A400" s="219">
        <v>2632</v>
      </c>
      <c r="B400" s="188" t="s">
        <v>989</v>
      </c>
      <c r="C400" s="188" t="s">
        <v>990</v>
      </c>
      <c r="D400" s="714" t="s">
        <v>991</v>
      </c>
    </row>
    <row r="401" spans="1:4" ht="13" thickBot="1" x14ac:dyDescent="0.3">
      <c r="A401" s="219">
        <v>2633</v>
      </c>
      <c r="B401" s="188" t="s">
        <v>992</v>
      </c>
      <c r="C401" s="188" t="s">
        <v>993</v>
      </c>
      <c r="D401" s="714" t="s">
        <v>994</v>
      </c>
    </row>
    <row r="402" spans="1:4" ht="13.5" thickBot="1" x14ac:dyDescent="0.3">
      <c r="A402" s="219">
        <v>2634</v>
      </c>
      <c r="B402" s="726" t="s">
        <v>995</v>
      </c>
      <c r="C402" s="726" t="s">
        <v>996</v>
      </c>
      <c r="D402" s="714" t="s">
        <v>997</v>
      </c>
    </row>
    <row r="403" spans="1:4" ht="13" x14ac:dyDescent="0.25">
      <c r="A403" s="219">
        <v>2635</v>
      </c>
      <c r="B403" s="203" t="s">
        <v>998</v>
      </c>
      <c r="C403" s="203" t="s">
        <v>999</v>
      </c>
      <c r="D403" s="714" t="s">
        <v>1000</v>
      </c>
    </row>
    <row r="404" spans="1:4" ht="114" customHeight="1" x14ac:dyDescent="0.25">
      <c r="A404" s="219">
        <v>2636</v>
      </c>
      <c r="B404" s="34" t="s">
        <v>1759</v>
      </c>
      <c r="C404" s="34" t="s">
        <v>1001</v>
      </c>
      <c r="D404" s="714" t="s">
        <v>1002</v>
      </c>
    </row>
    <row r="405" spans="1:4" ht="15.5" x14ac:dyDescent="0.25">
      <c r="A405" s="219">
        <v>2637</v>
      </c>
      <c r="B405" s="24" t="s">
        <v>1003</v>
      </c>
      <c r="C405" s="24" t="s">
        <v>1004</v>
      </c>
      <c r="D405" s="714" t="s">
        <v>1005</v>
      </c>
    </row>
    <row r="406" spans="1:4" x14ac:dyDescent="0.25">
      <c r="A406" s="219">
        <v>2638</v>
      </c>
      <c r="B406" s="483" t="s">
        <v>1006</v>
      </c>
      <c r="C406" s="483" t="s">
        <v>1007</v>
      </c>
      <c r="D406" s="714" t="s">
        <v>1008</v>
      </c>
    </row>
    <row r="407" spans="1:4" ht="12" customHeight="1" x14ac:dyDescent="0.25">
      <c r="A407" s="219">
        <v>2639</v>
      </c>
      <c r="B407" s="34" t="s">
        <v>1009</v>
      </c>
      <c r="C407" s="34" t="s">
        <v>1001</v>
      </c>
      <c r="D407" s="714" t="s">
        <v>1010</v>
      </c>
    </row>
    <row r="408" spans="1:4" x14ac:dyDescent="0.25">
      <c r="A408" s="219">
        <v>2640</v>
      </c>
      <c r="B408" s="775" t="s">
        <v>1011</v>
      </c>
      <c r="C408" s="775" t="s">
        <v>1012</v>
      </c>
      <c r="D408" s="714" t="s">
        <v>1013</v>
      </c>
    </row>
    <row r="409" spans="1:4" ht="20" x14ac:dyDescent="0.25">
      <c r="A409" s="219">
        <v>2641</v>
      </c>
      <c r="B409" s="34" t="s">
        <v>1014</v>
      </c>
      <c r="C409" s="34" t="s">
        <v>1015</v>
      </c>
      <c r="D409" s="714" t="s">
        <v>1016</v>
      </c>
    </row>
    <row r="410" spans="1:4" x14ac:dyDescent="0.25">
      <c r="A410" s="219">
        <v>2642</v>
      </c>
      <c r="B410" s="775" t="s">
        <v>1017</v>
      </c>
      <c r="C410" s="775" t="s">
        <v>1018</v>
      </c>
      <c r="D410" s="714" t="s">
        <v>1019</v>
      </c>
    </row>
    <row r="411" spans="1:4" ht="20" x14ac:dyDescent="0.25">
      <c r="A411" s="219">
        <v>2643</v>
      </c>
      <c r="B411" s="34" t="s">
        <v>1804</v>
      </c>
      <c r="C411" s="34" t="s">
        <v>1020</v>
      </c>
      <c r="D411" s="714" t="s">
        <v>1021</v>
      </c>
    </row>
    <row r="412" spans="1:4" x14ac:dyDescent="0.25">
      <c r="A412" s="219">
        <v>2644</v>
      </c>
      <c r="B412" s="775" t="s">
        <v>1022</v>
      </c>
      <c r="C412" s="775" t="s">
        <v>1023</v>
      </c>
      <c r="D412" s="714" t="s">
        <v>1024</v>
      </c>
    </row>
    <row r="413" spans="1:4" ht="40" x14ac:dyDescent="0.25">
      <c r="A413" s="219">
        <v>2645</v>
      </c>
      <c r="B413" s="34" t="s">
        <v>1025</v>
      </c>
      <c r="C413" s="34" t="s">
        <v>1026</v>
      </c>
      <c r="D413" s="714" t="s">
        <v>1027</v>
      </c>
    </row>
    <row r="414" spans="1:4" x14ac:dyDescent="0.25">
      <c r="A414" s="219">
        <v>2646</v>
      </c>
      <c r="B414" s="782" t="s">
        <v>1028</v>
      </c>
      <c r="C414" s="782" t="s">
        <v>1029</v>
      </c>
      <c r="D414" s="714" t="s">
        <v>1030</v>
      </c>
    </row>
    <row r="415" spans="1:4" x14ac:dyDescent="0.25">
      <c r="A415" s="219">
        <v>2647</v>
      </c>
      <c r="B415" s="209" t="s">
        <v>1031</v>
      </c>
      <c r="C415" s="209" t="s">
        <v>1032</v>
      </c>
      <c r="D415" s="714" t="s">
        <v>1033</v>
      </c>
    </row>
    <row r="416" spans="1:4" ht="50" x14ac:dyDescent="0.25">
      <c r="A416" s="219">
        <v>2648</v>
      </c>
      <c r="B416" s="782" t="s">
        <v>1034</v>
      </c>
      <c r="C416" s="782" t="s">
        <v>1035</v>
      </c>
      <c r="D416" s="714" t="s">
        <v>1036</v>
      </c>
    </row>
    <row r="417" spans="1:4" x14ac:dyDescent="0.25">
      <c r="A417" s="219">
        <v>2649</v>
      </c>
      <c r="B417" s="810"/>
      <c r="C417" s="785" t="s">
        <v>1037</v>
      </c>
      <c r="D417" s="714" t="s">
        <v>1038</v>
      </c>
    </row>
    <row r="418" spans="1:4" x14ac:dyDescent="0.25">
      <c r="A418" s="219">
        <v>2650</v>
      </c>
      <c r="B418" s="208" t="s">
        <v>1039</v>
      </c>
      <c r="C418" s="208" t="s">
        <v>1040</v>
      </c>
      <c r="D418" s="714" t="s">
        <v>1041</v>
      </c>
    </row>
    <row r="419" spans="1:4" ht="20" x14ac:dyDescent="0.25">
      <c r="A419" s="219">
        <v>2651</v>
      </c>
      <c r="B419" s="784" t="s">
        <v>1042</v>
      </c>
      <c r="C419" s="784" t="s">
        <v>1043</v>
      </c>
      <c r="D419" s="714" t="s">
        <v>1044</v>
      </c>
    </row>
    <row r="420" spans="1:4" x14ac:dyDescent="0.25">
      <c r="A420" s="219">
        <v>2652</v>
      </c>
      <c r="B420" s="208" t="s">
        <v>581</v>
      </c>
      <c r="C420" s="208" t="s">
        <v>1045</v>
      </c>
      <c r="D420" s="714" t="s">
        <v>1046</v>
      </c>
    </row>
    <row r="421" spans="1:4" x14ac:dyDescent="0.25">
      <c r="A421" s="219">
        <v>2653</v>
      </c>
      <c r="B421" s="784" t="s">
        <v>1047</v>
      </c>
      <c r="C421" s="784" t="s">
        <v>1048</v>
      </c>
      <c r="D421" s="714" t="s">
        <v>1049</v>
      </c>
    </row>
    <row r="422" spans="1:4" x14ac:dyDescent="0.25">
      <c r="A422" s="219">
        <v>2654</v>
      </c>
      <c r="B422" s="208" t="s">
        <v>1050</v>
      </c>
      <c r="C422" s="208" t="s">
        <v>1051</v>
      </c>
      <c r="D422" s="714" t="s">
        <v>1052</v>
      </c>
    </row>
    <row r="423" spans="1:4" x14ac:dyDescent="0.25">
      <c r="A423" s="219">
        <v>2655</v>
      </c>
      <c r="B423" s="784" t="s">
        <v>1053</v>
      </c>
      <c r="C423" s="784" t="s">
        <v>1054</v>
      </c>
      <c r="D423" s="714" t="s">
        <v>1055</v>
      </c>
    </row>
    <row r="424" spans="1:4" x14ac:dyDescent="0.25">
      <c r="A424" s="219">
        <v>2656</v>
      </c>
      <c r="B424" s="208" t="s">
        <v>1056</v>
      </c>
      <c r="C424" s="208" t="s">
        <v>1057</v>
      </c>
      <c r="D424" s="714" t="s">
        <v>1058</v>
      </c>
    </row>
    <row r="425" spans="1:4" ht="50" x14ac:dyDescent="0.25">
      <c r="A425" s="219">
        <v>2657</v>
      </c>
      <c r="B425" s="784" t="s">
        <v>1059</v>
      </c>
      <c r="C425" s="784" t="s">
        <v>1060</v>
      </c>
      <c r="D425" s="714" t="s">
        <v>1061</v>
      </c>
    </row>
    <row r="426" spans="1:4" x14ac:dyDescent="0.25">
      <c r="A426" s="219">
        <v>2658</v>
      </c>
      <c r="B426" s="208" t="s">
        <v>1062</v>
      </c>
      <c r="C426" s="208" t="s">
        <v>1063</v>
      </c>
      <c r="D426" s="714" t="s">
        <v>1064</v>
      </c>
    </row>
    <row r="427" spans="1:4" ht="50" x14ac:dyDescent="0.25">
      <c r="A427" s="219">
        <v>2659</v>
      </c>
      <c r="B427" s="784" t="s">
        <v>1065</v>
      </c>
      <c r="C427" s="784" t="s">
        <v>1066</v>
      </c>
      <c r="D427" s="714" t="s">
        <v>1067</v>
      </c>
    </row>
    <row r="428" spans="1:4" ht="13" x14ac:dyDescent="0.25">
      <c r="A428" s="219">
        <v>2660</v>
      </c>
      <c r="B428" s="35" t="s">
        <v>1068</v>
      </c>
      <c r="C428" s="35" t="s">
        <v>1069</v>
      </c>
      <c r="D428" s="714" t="s">
        <v>1070</v>
      </c>
    </row>
    <row r="429" spans="1:4" x14ac:dyDescent="0.25">
      <c r="A429" s="219">
        <v>2661</v>
      </c>
      <c r="B429" s="775" t="s">
        <v>1071</v>
      </c>
      <c r="C429" s="775" t="s">
        <v>1072</v>
      </c>
      <c r="D429" s="714" t="s">
        <v>1073</v>
      </c>
    </row>
    <row r="430" spans="1:4" x14ac:dyDescent="0.25">
      <c r="A430" s="219">
        <v>2662</v>
      </c>
      <c r="B430" s="207" t="s">
        <v>1039</v>
      </c>
      <c r="C430" s="207" t="s">
        <v>1074</v>
      </c>
      <c r="D430" s="714" t="s">
        <v>1075</v>
      </c>
    </row>
    <row r="431" spans="1:4" x14ac:dyDescent="0.25">
      <c r="A431" s="219">
        <v>2663</v>
      </c>
      <c r="B431" s="207" t="s">
        <v>1076</v>
      </c>
      <c r="C431" s="207" t="s">
        <v>1077</v>
      </c>
      <c r="D431" s="714" t="s">
        <v>1078</v>
      </c>
    </row>
    <row r="432" spans="1:4" x14ac:dyDescent="0.25">
      <c r="A432" s="219">
        <v>2664</v>
      </c>
      <c r="B432" s="727" t="s">
        <v>1079</v>
      </c>
      <c r="C432" s="727" t="s">
        <v>1080</v>
      </c>
      <c r="D432" s="714" t="s">
        <v>1081</v>
      </c>
    </row>
    <row r="433" spans="1:4" x14ac:dyDescent="0.25">
      <c r="A433" s="219">
        <v>2665</v>
      </c>
      <c r="B433" s="789" t="s">
        <v>1082</v>
      </c>
      <c r="C433" s="789" t="s">
        <v>1083</v>
      </c>
      <c r="D433" s="714" t="s">
        <v>1084</v>
      </c>
    </row>
    <row r="434" spans="1:4" x14ac:dyDescent="0.25">
      <c r="A434" s="219">
        <v>2666</v>
      </c>
      <c r="B434" s="789" t="s">
        <v>1085</v>
      </c>
      <c r="C434" s="789" t="s">
        <v>1086</v>
      </c>
      <c r="D434" s="714" t="s">
        <v>1087</v>
      </c>
    </row>
    <row r="435" spans="1:4" x14ac:dyDescent="0.25">
      <c r="A435" s="219">
        <v>2667</v>
      </c>
      <c r="B435" s="727" t="s">
        <v>1088</v>
      </c>
      <c r="C435" s="727" t="s">
        <v>1089</v>
      </c>
      <c r="D435" s="714" t="s">
        <v>1090</v>
      </c>
    </row>
    <row r="436" spans="1:4" x14ac:dyDescent="0.25">
      <c r="A436" s="219">
        <v>2668</v>
      </c>
      <c r="B436" s="728" t="s">
        <v>1091</v>
      </c>
      <c r="C436" s="728" t="s">
        <v>1092</v>
      </c>
      <c r="D436" s="714" t="s">
        <v>1093</v>
      </c>
    </row>
    <row r="437" spans="1:4" x14ac:dyDescent="0.25">
      <c r="A437" s="219">
        <v>2669</v>
      </c>
      <c r="B437" s="789" t="s">
        <v>1085</v>
      </c>
      <c r="C437" s="728" t="s">
        <v>1094</v>
      </c>
      <c r="D437" s="714" t="s">
        <v>1095</v>
      </c>
    </row>
    <row r="438" spans="1:4" ht="13" x14ac:dyDescent="0.25">
      <c r="A438" s="219">
        <v>2670</v>
      </c>
      <c r="B438" s="35" t="s">
        <v>1096</v>
      </c>
      <c r="C438" s="35" t="s">
        <v>1097</v>
      </c>
      <c r="D438" s="714" t="s">
        <v>1098</v>
      </c>
    </row>
    <row r="439" spans="1:4" ht="20" x14ac:dyDescent="0.25">
      <c r="A439" s="219">
        <v>2671</v>
      </c>
      <c r="B439" s="34" t="s">
        <v>1099</v>
      </c>
      <c r="C439" s="34" t="s">
        <v>1100</v>
      </c>
      <c r="D439" s="714" t="s">
        <v>1101</v>
      </c>
    </row>
    <row r="440" spans="1:4" x14ac:dyDescent="0.25">
      <c r="A440" s="219">
        <v>2672</v>
      </c>
      <c r="B440" s="711" t="s">
        <v>141</v>
      </c>
      <c r="C440" s="711" t="s">
        <v>1102</v>
      </c>
      <c r="D440" s="714" t="s">
        <v>1103</v>
      </c>
    </row>
    <row r="441" spans="1:4" x14ac:dyDescent="0.25">
      <c r="A441" s="219">
        <v>2673</v>
      </c>
      <c r="B441" s="677" t="s">
        <v>142</v>
      </c>
      <c r="C441" s="677" t="s">
        <v>1104</v>
      </c>
      <c r="D441" s="714" t="s">
        <v>1105</v>
      </c>
    </row>
    <row r="442" spans="1:4" x14ac:dyDescent="0.25">
      <c r="A442" s="219">
        <v>2674</v>
      </c>
      <c r="B442" s="788" t="s">
        <v>1106</v>
      </c>
      <c r="C442" s="788" t="s">
        <v>1107</v>
      </c>
      <c r="D442" s="714" t="s">
        <v>1108</v>
      </c>
    </row>
    <row r="443" spans="1:4" ht="13" x14ac:dyDescent="0.25">
      <c r="A443" s="219">
        <v>2675</v>
      </c>
      <c r="B443" s="35" t="s">
        <v>1109</v>
      </c>
      <c r="C443" s="35" t="s">
        <v>1110</v>
      </c>
      <c r="D443" s="714" t="s">
        <v>1111</v>
      </c>
    </row>
    <row r="444" spans="1:4" x14ac:dyDescent="0.25">
      <c r="A444" s="219">
        <v>2676</v>
      </c>
      <c r="B444" s="776" t="s">
        <v>1112</v>
      </c>
      <c r="C444" s="776" t="s">
        <v>1113</v>
      </c>
      <c r="D444" s="714" t="s">
        <v>1114</v>
      </c>
    </row>
    <row r="445" spans="1:4" x14ac:dyDescent="0.25">
      <c r="A445" s="219">
        <v>2677</v>
      </c>
      <c r="B445" s="776" t="s">
        <v>1112</v>
      </c>
      <c r="C445" s="776" t="s">
        <v>1115</v>
      </c>
      <c r="D445" s="714" t="s">
        <v>1116</v>
      </c>
    </row>
    <row r="446" spans="1:4" x14ac:dyDescent="0.25">
      <c r="A446" s="219">
        <v>2678</v>
      </c>
      <c r="B446" s="776" t="s">
        <v>1112</v>
      </c>
      <c r="C446" s="776" t="s">
        <v>1117</v>
      </c>
      <c r="D446" s="714" t="s">
        <v>1118</v>
      </c>
    </row>
    <row r="447" spans="1:4" x14ac:dyDescent="0.25">
      <c r="A447" s="219">
        <v>2679</v>
      </c>
      <c r="B447" s="776" t="s">
        <v>1112</v>
      </c>
      <c r="C447" s="776" t="s">
        <v>1119</v>
      </c>
      <c r="D447" s="714" t="s">
        <v>1120</v>
      </c>
    </row>
    <row r="448" spans="1:4" x14ac:dyDescent="0.25">
      <c r="A448" s="219">
        <v>2680</v>
      </c>
      <c r="B448" s="776" t="s">
        <v>1112</v>
      </c>
      <c r="C448" s="776" t="s">
        <v>1121</v>
      </c>
      <c r="D448" s="714" t="s">
        <v>1122</v>
      </c>
    </row>
    <row r="449" spans="1:4" x14ac:dyDescent="0.25">
      <c r="A449" s="219">
        <v>2681</v>
      </c>
      <c r="B449" s="776" t="s">
        <v>1112</v>
      </c>
      <c r="C449" s="776" t="s">
        <v>1123</v>
      </c>
      <c r="D449" s="714" t="s">
        <v>1124</v>
      </c>
    </row>
    <row r="450" spans="1:4" ht="13" thickBot="1" x14ac:dyDescent="0.3">
      <c r="A450" s="219">
        <v>2682</v>
      </c>
      <c r="B450" s="776" t="s">
        <v>1112</v>
      </c>
      <c r="C450" s="776" t="s">
        <v>1125</v>
      </c>
      <c r="D450" s="714" t="s">
        <v>1126</v>
      </c>
    </row>
    <row r="451" spans="1:4" ht="13" thickBot="1" x14ac:dyDescent="0.3">
      <c r="A451" s="219">
        <v>2683</v>
      </c>
      <c r="B451" s="729" t="s">
        <v>1127</v>
      </c>
      <c r="C451" s="729" t="s">
        <v>1128</v>
      </c>
      <c r="D451" s="714" t="s">
        <v>1129</v>
      </c>
    </row>
    <row r="452" spans="1:4" ht="13" x14ac:dyDescent="0.25">
      <c r="A452" s="219">
        <v>2684</v>
      </c>
      <c r="B452" s="203" t="s">
        <v>1130</v>
      </c>
      <c r="C452" s="203" t="s">
        <v>1131</v>
      </c>
      <c r="D452" s="714" t="s">
        <v>1132</v>
      </c>
    </row>
    <row r="453" spans="1:4" ht="15.5" x14ac:dyDescent="0.25">
      <c r="A453" s="219">
        <v>2685</v>
      </c>
      <c r="B453" s="24" t="s">
        <v>1133</v>
      </c>
      <c r="C453" s="24" t="s">
        <v>1134</v>
      </c>
      <c r="D453" s="714" t="s">
        <v>1135</v>
      </c>
    </row>
    <row r="454" spans="1:4" x14ac:dyDescent="0.25">
      <c r="A454" s="219">
        <v>2686</v>
      </c>
      <c r="B454" s="208" t="s">
        <v>1136</v>
      </c>
      <c r="C454" s="208" t="s">
        <v>1137</v>
      </c>
      <c r="D454" s="714" t="s">
        <v>1138</v>
      </c>
    </row>
    <row r="455" spans="1:4" x14ac:dyDescent="0.25">
      <c r="A455" s="219">
        <v>2687</v>
      </c>
      <c r="B455" s="784" t="s">
        <v>1139</v>
      </c>
      <c r="C455" s="784" t="s">
        <v>1140</v>
      </c>
      <c r="D455" s="714" t="s">
        <v>1141</v>
      </c>
    </row>
    <row r="456" spans="1:4" x14ac:dyDescent="0.25">
      <c r="A456" s="219">
        <v>2688</v>
      </c>
      <c r="B456" s="208" t="s">
        <v>1142</v>
      </c>
      <c r="C456" s="208" t="s">
        <v>1143</v>
      </c>
      <c r="D456" s="714" t="s">
        <v>1144</v>
      </c>
    </row>
    <row r="457" spans="1:4" x14ac:dyDescent="0.25">
      <c r="A457" s="219">
        <v>2689</v>
      </c>
      <c r="B457" s="784" t="s">
        <v>1145</v>
      </c>
      <c r="C457" s="784" t="s">
        <v>1146</v>
      </c>
      <c r="D457" s="714" t="s">
        <v>1147</v>
      </c>
    </row>
    <row r="458" spans="1:4" x14ac:dyDescent="0.25">
      <c r="A458" s="219">
        <v>2690</v>
      </c>
      <c r="B458" s="209" t="s">
        <v>1148</v>
      </c>
      <c r="C458" s="209" t="s">
        <v>1149</v>
      </c>
      <c r="D458" s="714" t="s">
        <v>1150</v>
      </c>
    </row>
    <row r="459" spans="1:4" ht="40" x14ac:dyDescent="0.25">
      <c r="A459" s="219">
        <v>2691</v>
      </c>
      <c r="B459" s="782" t="s">
        <v>1151</v>
      </c>
      <c r="C459" s="782" t="s">
        <v>1152</v>
      </c>
      <c r="D459" s="714" t="s">
        <v>1153</v>
      </c>
    </row>
    <row r="460" spans="1:4" ht="30" x14ac:dyDescent="0.25">
      <c r="A460" s="219">
        <v>2692</v>
      </c>
      <c r="B460" s="786" t="s">
        <v>1154</v>
      </c>
      <c r="C460" s="786" t="s">
        <v>1155</v>
      </c>
      <c r="D460" s="714" t="s">
        <v>1156</v>
      </c>
    </row>
    <row r="461" spans="1:4" x14ac:dyDescent="0.25">
      <c r="A461" s="219">
        <v>2693</v>
      </c>
      <c r="B461" s="209" t="s">
        <v>1157</v>
      </c>
      <c r="C461" s="209" t="s">
        <v>1158</v>
      </c>
      <c r="D461" s="714" t="s">
        <v>1159</v>
      </c>
    </row>
    <row r="462" spans="1:4" ht="30" x14ac:dyDescent="0.25">
      <c r="A462" s="219">
        <v>2694</v>
      </c>
      <c r="B462" s="782" t="s">
        <v>1160</v>
      </c>
      <c r="C462" s="782" t="s">
        <v>1161</v>
      </c>
      <c r="D462" s="714" t="s">
        <v>1162</v>
      </c>
    </row>
    <row r="463" spans="1:4" ht="60" x14ac:dyDescent="0.25">
      <c r="A463" s="219">
        <v>2695</v>
      </c>
      <c r="B463" s="786" t="s">
        <v>1163</v>
      </c>
      <c r="C463" s="786" t="s">
        <v>1164</v>
      </c>
      <c r="D463" s="714" t="s">
        <v>1165</v>
      </c>
    </row>
    <row r="464" spans="1:4" ht="13" x14ac:dyDescent="0.3">
      <c r="A464" s="219">
        <v>2696</v>
      </c>
      <c r="B464" s="790" t="s">
        <v>1166</v>
      </c>
      <c r="C464" s="790" t="s">
        <v>1167</v>
      </c>
      <c r="D464" s="714" t="s">
        <v>1168</v>
      </c>
    </row>
    <row r="465" spans="1:4" ht="13" x14ac:dyDescent="0.3">
      <c r="A465" s="219">
        <v>2697</v>
      </c>
      <c r="B465" s="790" t="s">
        <v>1169</v>
      </c>
      <c r="C465" s="790" t="s">
        <v>1170</v>
      </c>
      <c r="D465" s="714" t="s">
        <v>1171</v>
      </c>
    </row>
    <row r="466" spans="1:4" ht="13.5" thickBot="1" x14ac:dyDescent="0.35">
      <c r="A466" s="219">
        <v>2698</v>
      </c>
      <c r="B466" s="206" t="s">
        <v>1172</v>
      </c>
      <c r="C466" s="206" t="s">
        <v>1173</v>
      </c>
      <c r="D466" s="714" t="s">
        <v>1174</v>
      </c>
    </row>
    <row r="467" spans="1:4" ht="13" x14ac:dyDescent="0.25">
      <c r="A467" s="219">
        <v>2699</v>
      </c>
      <c r="B467" s="203" t="s">
        <v>1175</v>
      </c>
      <c r="C467" s="203" t="s">
        <v>1176</v>
      </c>
      <c r="D467" s="714" t="s">
        <v>1177</v>
      </c>
    </row>
    <row r="468" spans="1:4" ht="54" x14ac:dyDescent="0.25">
      <c r="A468" s="219">
        <v>2700</v>
      </c>
      <c r="B468" s="534" t="s">
        <v>1178</v>
      </c>
      <c r="C468" s="534" t="s">
        <v>1179</v>
      </c>
      <c r="D468" s="714" t="s">
        <v>1180</v>
      </c>
    </row>
    <row r="469" spans="1:4" ht="15.5" x14ac:dyDescent="0.25">
      <c r="A469" s="219">
        <v>2701</v>
      </c>
      <c r="B469" s="24" t="s">
        <v>1181</v>
      </c>
      <c r="C469" s="24" t="s">
        <v>1182</v>
      </c>
      <c r="D469" s="714" t="s">
        <v>1183</v>
      </c>
    </row>
    <row r="470" spans="1:4" ht="30" x14ac:dyDescent="0.25">
      <c r="A470" s="219">
        <v>2702</v>
      </c>
      <c r="B470" s="34" t="s">
        <v>1184</v>
      </c>
      <c r="C470" s="34" t="s">
        <v>1185</v>
      </c>
      <c r="D470" s="714" t="s">
        <v>1186</v>
      </c>
    </row>
    <row r="471" spans="1:4" ht="50" x14ac:dyDescent="0.25">
      <c r="A471" s="219">
        <v>2703</v>
      </c>
      <c r="B471" s="34" t="s">
        <v>1187</v>
      </c>
      <c r="C471" s="34" t="s">
        <v>1188</v>
      </c>
      <c r="D471" s="714" t="s">
        <v>1189</v>
      </c>
    </row>
    <row r="472" spans="1:4" ht="40" x14ac:dyDescent="0.25">
      <c r="A472" s="219">
        <v>2704</v>
      </c>
      <c r="B472" s="775" t="s">
        <v>1190</v>
      </c>
      <c r="C472" s="775" t="s">
        <v>1191</v>
      </c>
      <c r="D472" s="714" t="s">
        <v>1192</v>
      </c>
    </row>
    <row r="473" spans="1:4" ht="20" x14ac:dyDescent="0.25">
      <c r="A473" s="219">
        <v>2705</v>
      </c>
      <c r="B473" s="775" t="s">
        <v>1193</v>
      </c>
      <c r="C473" s="775" t="s">
        <v>1194</v>
      </c>
      <c r="D473" s="714" t="s">
        <v>1195</v>
      </c>
    </row>
    <row r="474" spans="1:4" ht="20" x14ac:dyDescent="0.25">
      <c r="A474" s="219">
        <v>2706</v>
      </c>
      <c r="B474" s="782" t="s">
        <v>1196</v>
      </c>
      <c r="C474" s="782" t="s">
        <v>1197</v>
      </c>
      <c r="D474" s="714" t="s">
        <v>1198</v>
      </c>
    </row>
    <row r="475" spans="1:4" ht="30" x14ac:dyDescent="0.25">
      <c r="A475" s="219">
        <v>2707</v>
      </c>
      <c r="B475" s="782" t="s">
        <v>1199</v>
      </c>
      <c r="C475" s="782" t="s">
        <v>1200</v>
      </c>
      <c r="D475" s="714" t="s">
        <v>1201</v>
      </c>
    </row>
    <row r="476" spans="1:4" ht="30" x14ac:dyDescent="0.25">
      <c r="A476" s="219">
        <v>2708</v>
      </c>
      <c r="B476" s="784" t="s">
        <v>1202</v>
      </c>
      <c r="C476" s="784" t="s">
        <v>1203</v>
      </c>
      <c r="D476" s="714" t="s">
        <v>1204</v>
      </c>
    </row>
    <row r="477" spans="1:4" x14ac:dyDescent="0.25">
      <c r="A477" s="219">
        <v>2709</v>
      </c>
      <c r="B477" s="784" t="s">
        <v>1205</v>
      </c>
      <c r="C477" s="784" t="s">
        <v>1206</v>
      </c>
      <c r="D477" s="714" t="s">
        <v>1207</v>
      </c>
    </row>
    <row r="478" spans="1:4" ht="28" x14ac:dyDescent="0.25">
      <c r="A478" s="219">
        <v>2710</v>
      </c>
      <c r="B478" s="783" t="s">
        <v>1208</v>
      </c>
      <c r="C478" s="783" t="s">
        <v>1209</v>
      </c>
      <c r="D478" s="714" t="s">
        <v>1210</v>
      </c>
    </row>
    <row r="479" spans="1:4" ht="30" x14ac:dyDescent="0.25">
      <c r="A479" s="219">
        <v>2711</v>
      </c>
      <c r="B479" s="34" t="s">
        <v>1211</v>
      </c>
      <c r="C479" s="34" t="s">
        <v>1212</v>
      </c>
      <c r="D479" s="714" t="s">
        <v>1213</v>
      </c>
    </row>
    <row r="480" spans="1:4" ht="40" x14ac:dyDescent="0.25">
      <c r="A480" s="219">
        <v>2712</v>
      </c>
      <c r="B480" s="34" t="s">
        <v>1214</v>
      </c>
      <c r="C480" s="34" t="s">
        <v>1215</v>
      </c>
      <c r="D480" s="714" t="s">
        <v>1216</v>
      </c>
    </row>
    <row r="481" spans="1:4" x14ac:dyDescent="0.25">
      <c r="A481" s="219">
        <v>2713</v>
      </c>
      <c r="B481" s="34" t="s">
        <v>1217</v>
      </c>
      <c r="C481" s="34" t="s">
        <v>1218</v>
      </c>
      <c r="D481" s="714" t="s">
        <v>1219</v>
      </c>
    </row>
    <row r="482" spans="1:4" x14ac:dyDescent="0.25">
      <c r="A482" s="219">
        <v>2714</v>
      </c>
      <c r="B482" s="730" t="s">
        <v>1220</v>
      </c>
      <c r="C482" s="730" t="s">
        <v>1221</v>
      </c>
      <c r="D482" s="714" t="s">
        <v>1222</v>
      </c>
    </row>
    <row r="483" spans="1:4" x14ac:dyDescent="0.25">
      <c r="A483" s="219">
        <v>2715</v>
      </c>
      <c r="B483" s="730" t="s">
        <v>1223</v>
      </c>
      <c r="C483" s="730" t="s">
        <v>1224</v>
      </c>
      <c r="D483" s="714" t="s">
        <v>1225</v>
      </c>
    </row>
    <row r="484" spans="1:4" x14ac:dyDescent="0.25">
      <c r="A484" s="219">
        <v>2716</v>
      </c>
      <c r="B484" s="730" t="s">
        <v>1226</v>
      </c>
      <c r="C484" s="730" t="s">
        <v>1227</v>
      </c>
      <c r="D484" s="714" t="s">
        <v>1228</v>
      </c>
    </row>
    <row r="485" spans="1:4" x14ac:dyDescent="0.25">
      <c r="A485" s="219">
        <v>2717</v>
      </c>
      <c r="B485" s="731" t="s">
        <v>1229</v>
      </c>
      <c r="C485" s="731" t="s">
        <v>1230</v>
      </c>
      <c r="D485" s="714" t="s">
        <v>1231</v>
      </c>
    </row>
    <row r="486" spans="1:4" x14ac:dyDescent="0.25">
      <c r="A486" s="219">
        <v>2718</v>
      </c>
      <c r="B486" s="732" t="s">
        <v>1232</v>
      </c>
      <c r="C486" s="732" t="s">
        <v>1233</v>
      </c>
      <c r="D486" s="714" t="s">
        <v>1234</v>
      </c>
    </row>
    <row r="487" spans="1:4" x14ac:dyDescent="0.25">
      <c r="A487" s="219">
        <v>2719</v>
      </c>
      <c r="B487" s="732" t="s">
        <v>1235</v>
      </c>
      <c r="C487" s="732" t="s">
        <v>1236</v>
      </c>
      <c r="D487" s="714" t="s">
        <v>1237</v>
      </c>
    </row>
    <row r="488" spans="1:4" x14ac:dyDescent="0.25">
      <c r="A488" s="219">
        <v>2720</v>
      </c>
      <c r="B488" s="732" t="s">
        <v>1238</v>
      </c>
      <c r="C488" s="732" t="s">
        <v>1239</v>
      </c>
      <c r="D488" s="714" t="s">
        <v>1240</v>
      </c>
    </row>
    <row r="489" spans="1:4" x14ac:dyDescent="0.25">
      <c r="A489" s="219">
        <v>2721</v>
      </c>
      <c r="B489" s="733" t="s">
        <v>1241</v>
      </c>
      <c r="C489" s="733" t="s">
        <v>1242</v>
      </c>
      <c r="D489" s="714" t="s">
        <v>1243</v>
      </c>
    </row>
    <row r="490" spans="1:4" x14ac:dyDescent="0.25">
      <c r="A490" s="219">
        <v>2722</v>
      </c>
      <c r="B490" s="791" t="s">
        <v>1244</v>
      </c>
      <c r="C490" s="791" t="s">
        <v>1245</v>
      </c>
      <c r="D490" s="714" t="s">
        <v>1246</v>
      </c>
    </row>
    <row r="491" spans="1:4" x14ac:dyDescent="0.25">
      <c r="A491" s="219">
        <v>2723</v>
      </c>
      <c r="B491" s="792" t="s">
        <v>1247</v>
      </c>
      <c r="C491" s="792" t="s">
        <v>1248</v>
      </c>
      <c r="D491" s="714" t="s">
        <v>1249</v>
      </c>
    </row>
    <row r="492" spans="1:4" ht="60" x14ac:dyDescent="0.25">
      <c r="A492" s="219">
        <v>2724</v>
      </c>
      <c r="B492" s="34" t="s">
        <v>1250</v>
      </c>
      <c r="C492" s="34" t="s">
        <v>1251</v>
      </c>
      <c r="D492" s="714" t="s">
        <v>1252</v>
      </c>
    </row>
    <row r="493" spans="1:4" ht="40" x14ac:dyDescent="0.25">
      <c r="A493" s="219">
        <v>2725</v>
      </c>
      <c r="B493" s="34" t="s">
        <v>1253</v>
      </c>
      <c r="C493" s="34" t="s">
        <v>1254</v>
      </c>
      <c r="D493" s="714" t="s">
        <v>1255</v>
      </c>
    </row>
    <row r="494" spans="1:4" x14ac:dyDescent="0.25">
      <c r="A494" s="219">
        <v>2726</v>
      </c>
      <c r="B494" s="34" t="s">
        <v>1256</v>
      </c>
      <c r="C494" s="34" t="s">
        <v>1257</v>
      </c>
      <c r="D494" s="714" t="s">
        <v>1258</v>
      </c>
    </row>
    <row r="495" spans="1:4" x14ac:dyDescent="0.25">
      <c r="A495" s="219">
        <v>2727</v>
      </c>
      <c r="B495" s="34" t="s">
        <v>1259</v>
      </c>
      <c r="C495" s="34" t="s">
        <v>1260</v>
      </c>
      <c r="D495" s="714" t="s">
        <v>1261</v>
      </c>
    </row>
    <row r="496" spans="1:4" ht="15.5" x14ac:dyDescent="0.25">
      <c r="A496" s="219">
        <v>2728</v>
      </c>
      <c r="B496" s="24" t="s">
        <v>1262</v>
      </c>
      <c r="C496" s="24" t="s">
        <v>1263</v>
      </c>
      <c r="D496" s="714" t="s">
        <v>1264</v>
      </c>
    </row>
    <row r="497" spans="1:4" x14ac:dyDescent="0.25">
      <c r="A497" s="219">
        <v>2729</v>
      </c>
      <c r="B497" s="137" t="s">
        <v>1265</v>
      </c>
      <c r="C497" s="137" t="s">
        <v>1266</v>
      </c>
      <c r="D497" s="714" t="s">
        <v>1267</v>
      </c>
    </row>
    <row r="498" spans="1:4" x14ac:dyDescent="0.25">
      <c r="A498" s="219">
        <v>2730</v>
      </c>
      <c r="B498" s="734" t="s">
        <v>1268</v>
      </c>
      <c r="C498" s="734" t="s">
        <v>1269</v>
      </c>
      <c r="D498" s="714" t="s">
        <v>1270</v>
      </c>
    </row>
    <row r="499" spans="1:4" ht="16" thickBot="1" x14ac:dyDescent="0.3">
      <c r="A499" s="219">
        <v>2731</v>
      </c>
      <c r="B499" s="24" t="s">
        <v>1271</v>
      </c>
      <c r="C499" s="24" t="s">
        <v>1272</v>
      </c>
      <c r="D499" s="714" t="s">
        <v>1273</v>
      </c>
    </row>
    <row r="500" spans="1:4" ht="13" x14ac:dyDescent="0.25">
      <c r="A500" s="219">
        <v>2732</v>
      </c>
      <c r="B500" s="203" t="s">
        <v>1773</v>
      </c>
      <c r="C500" s="203" t="s">
        <v>1274</v>
      </c>
      <c r="D500" s="714" t="s">
        <v>1275</v>
      </c>
    </row>
    <row r="501" spans="1:4" ht="18" x14ac:dyDescent="0.25">
      <c r="A501" s="219">
        <v>2733</v>
      </c>
      <c r="B501" s="196" t="s">
        <v>1774</v>
      </c>
      <c r="C501" s="196" t="s">
        <v>1276</v>
      </c>
      <c r="D501" s="714" t="s">
        <v>1277</v>
      </c>
    </row>
    <row r="502" spans="1:4" ht="15.5" x14ac:dyDescent="0.25">
      <c r="A502" s="219">
        <v>2734</v>
      </c>
      <c r="B502" s="24" t="s">
        <v>1278</v>
      </c>
      <c r="C502" s="24" t="s">
        <v>1279</v>
      </c>
      <c r="D502" s="714" t="s">
        <v>1280</v>
      </c>
    </row>
    <row r="503" spans="1:4" ht="26" x14ac:dyDescent="0.25">
      <c r="A503" s="219">
        <v>2735</v>
      </c>
      <c r="B503" s="58" t="s">
        <v>1281</v>
      </c>
      <c r="C503" s="58" t="s">
        <v>1282</v>
      </c>
      <c r="D503" s="714" t="s">
        <v>1283</v>
      </c>
    </row>
    <row r="504" spans="1:4" x14ac:dyDescent="0.25">
      <c r="A504" s="219">
        <v>2736</v>
      </c>
      <c r="B504" s="776" t="s">
        <v>1284</v>
      </c>
      <c r="C504" s="776" t="s">
        <v>1285</v>
      </c>
      <c r="D504" s="714" t="s">
        <v>1286</v>
      </c>
    </row>
    <row r="505" spans="1:4" x14ac:dyDescent="0.25">
      <c r="A505" s="219">
        <v>2737</v>
      </c>
      <c r="B505" s="776" t="s">
        <v>1287</v>
      </c>
      <c r="C505" s="776" t="s">
        <v>1288</v>
      </c>
      <c r="D505" s="714" t="s">
        <v>1289</v>
      </c>
    </row>
    <row r="506" spans="1:4" ht="15.5" x14ac:dyDescent="0.25">
      <c r="A506" s="219">
        <v>2738</v>
      </c>
      <c r="B506" s="24" t="s">
        <v>832</v>
      </c>
      <c r="C506" s="24" t="s">
        <v>1290</v>
      </c>
      <c r="D506" s="714" t="s">
        <v>1291</v>
      </c>
    </row>
    <row r="507" spans="1:4" ht="52" x14ac:dyDescent="0.25">
      <c r="A507" s="219">
        <v>2739</v>
      </c>
      <c r="B507" s="58" t="s">
        <v>1292</v>
      </c>
      <c r="C507" s="58" t="s">
        <v>1293</v>
      </c>
      <c r="D507" s="714" t="s">
        <v>1294</v>
      </c>
    </row>
    <row r="508" spans="1:4" ht="40" x14ac:dyDescent="0.25">
      <c r="A508" s="219">
        <v>2740</v>
      </c>
      <c r="B508" s="770" t="s">
        <v>1295</v>
      </c>
      <c r="C508" s="770" t="s">
        <v>1296</v>
      </c>
      <c r="D508" s="714" t="s">
        <v>1297</v>
      </c>
    </row>
    <row r="509" spans="1:4" x14ac:dyDescent="0.25">
      <c r="A509" s="219">
        <v>2741</v>
      </c>
      <c r="B509" s="776" t="s">
        <v>1298</v>
      </c>
      <c r="C509" s="776" t="s">
        <v>1299</v>
      </c>
      <c r="D509" s="714" t="s">
        <v>1300</v>
      </c>
    </row>
    <row r="510" spans="1:4" ht="13" thickBot="1" x14ac:dyDescent="0.3">
      <c r="A510" s="219">
        <v>2742</v>
      </c>
      <c r="B510" s="776" t="s">
        <v>1301</v>
      </c>
      <c r="C510" s="776" t="s">
        <v>1302</v>
      </c>
      <c r="D510" s="714" t="s">
        <v>1303</v>
      </c>
    </row>
    <row r="511" spans="1:4" ht="13" x14ac:dyDescent="0.25">
      <c r="A511" s="219">
        <v>2743</v>
      </c>
      <c r="B511" s="735" t="s">
        <v>1775</v>
      </c>
      <c r="C511" s="735" t="s">
        <v>1304</v>
      </c>
      <c r="D511" s="714" t="s">
        <v>1305</v>
      </c>
    </row>
    <row r="512" spans="1:4" ht="15.5" x14ac:dyDescent="0.25">
      <c r="A512" s="219">
        <v>2744</v>
      </c>
      <c r="B512" s="736" t="s">
        <v>1776</v>
      </c>
      <c r="C512" s="736" t="s">
        <v>1306</v>
      </c>
      <c r="D512" s="714" t="s">
        <v>1307</v>
      </c>
    </row>
    <row r="513" spans="1:4" ht="15.5" x14ac:dyDescent="0.25">
      <c r="A513" s="219">
        <v>2745</v>
      </c>
      <c r="B513" s="737" t="s">
        <v>1308</v>
      </c>
      <c r="C513" s="737" t="s">
        <v>1309</v>
      </c>
      <c r="D513" s="714" t="s">
        <v>1310</v>
      </c>
    </row>
    <row r="514" spans="1:4" ht="13" x14ac:dyDescent="0.3">
      <c r="A514" s="219">
        <v>2746</v>
      </c>
      <c r="B514" s="794" t="s">
        <v>1747</v>
      </c>
      <c r="C514" s="794" t="s">
        <v>1311</v>
      </c>
      <c r="D514" s="714" t="s">
        <v>1312</v>
      </c>
    </row>
    <row r="515" spans="1:4" ht="13" x14ac:dyDescent="0.3">
      <c r="A515" s="219">
        <v>2747</v>
      </c>
      <c r="B515" s="796" t="s">
        <v>1748</v>
      </c>
      <c r="C515" s="796" t="s">
        <v>1313</v>
      </c>
      <c r="D515" s="714" t="s">
        <v>1314</v>
      </c>
    </row>
    <row r="516" spans="1:4" ht="13" x14ac:dyDescent="0.3">
      <c r="A516" s="219">
        <v>2748</v>
      </c>
      <c r="B516" s="738" t="s">
        <v>1805</v>
      </c>
      <c r="C516" s="738" t="s">
        <v>1315</v>
      </c>
      <c r="D516" s="714" t="s">
        <v>1316</v>
      </c>
    </row>
    <row r="517" spans="1:4" ht="13" x14ac:dyDescent="0.3">
      <c r="A517" s="219">
        <v>2749</v>
      </c>
      <c r="B517" s="738" t="s">
        <v>1806</v>
      </c>
      <c r="C517" s="738" t="s">
        <v>1317</v>
      </c>
      <c r="D517" s="714" t="s">
        <v>1318</v>
      </c>
    </row>
    <row r="518" spans="1:4" ht="13" x14ac:dyDescent="0.3">
      <c r="A518" s="219">
        <v>2750</v>
      </c>
      <c r="B518" s="738" t="s">
        <v>1755</v>
      </c>
      <c r="C518" s="738" t="s">
        <v>1319</v>
      </c>
      <c r="D518" s="714" t="s">
        <v>1320</v>
      </c>
    </row>
    <row r="519" spans="1:4" ht="13" x14ac:dyDescent="0.3">
      <c r="A519" s="219">
        <v>2751</v>
      </c>
      <c r="B519" s="739" t="s">
        <v>1753</v>
      </c>
      <c r="C519" s="739" t="s">
        <v>1321</v>
      </c>
      <c r="D519" s="714" t="s">
        <v>1322</v>
      </c>
    </row>
    <row r="520" spans="1:4" ht="13" x14ac:dyDescent="0.3">
      <c r="A520" s="219">
        <v>2752</v>
      </c>
      <c r="B520" s="739" t="s">
        <v>1754</v>
      </c>
      <c r="C520" s="739" t="s">
        <v>1323</v>
      </c>
      <c r="D520" s="714" t="s">
        <v>1324</v>
      </c>
    </row>
    <row r="521" spans="1:4" ht="13" x14ac:dyDescent="0.3">
      <c r="A521" s="219">
        <v>2753</v>
      </c>
      <c r="B521" s="740"/>
      <c r="C521" s="740" t="s">
        <v>1325</v>
      </c>
      <c r="D521" s="714" t="s">
        <v>1326</v>
      </c>
    </row>
    <row r="522" spans="1:4" ht="13" x14ac:dyDescent="0.3">
      <c r="A522" s="219">
        <v>2754</v>
      </c>
      <c r="B522" s="741" t="s">
        <v>1752</v>
      </c>
      <c r="C522" s="741" t="s">
        <v>1327</v>
      </c>
      <c r="D522" s="714" t="s">
        <v>1328</v>
      </c>
    </row>
    <row r="523" spans="1:4" ht="13" x14ac:dyDescent="0.3">
      <c r="A523" s="219">
        <v>2755</v>
      </c>
      <c r="B523" s="742" t="s">
        <v>1329</v>
      </c>
      <c r="C523" s="742" t="s">
        <v>1330</v>
      </c>
      <c r="D523" s="714" t="s">
        <v>1331</v>
      </c>
    </row>
    <row r="524" spans="1:4" ht="13" x14ac:dyDescent="0.3">
      <c r="A524" s="219">
        <v>2756</v>
      </c>
      <c r="B524" s="743" t="s">
        <v>1332</v>
      </c>
      <c r="C524" s="743" t="s">
        <v>1333</v>
      </c>
      <c r="D524" s="714" t="s">
        <v>1334</v>
      </c>
    </row>
    <row r="525" spans="1:4" ht="13" x14ac:dyDescent="0.3">
      <c r="A525" s="219">
        <v>2757</v>
      </c>
      <c r="B525" s="744" t="s">
        <v>1335</v>
      </c>
      <c r="C525" s="744" t="s">
        <v>1336</v>
      </c>
      <c r="D525" s="714" t="s">
        <v>1337</v>
      </c>
    </row>
    <row r="526" spans="1:4" ht="13.5" thickBot="1" x14ac:dyDescent="0.35">
      <c r="A526" s="219">
        <v>2758</v>
      </c>
      <c r="B526" s="745" t="s">
        <v>1751</v>
      </c>
      <c r="C526" s="745" t="s">
        <v>1338</v>
      </c>
      <c r="D526" s="714" t="s">
        <v>1339</v>
      </c>
    </row>
    <row r="527" spans="1:4" ht="13.5" thickBot="1" x14ac:dyDescent="0.3">
      <c r="A527" s="219">
        <v>2759</v>
      </c>
      <c r="B527" s="797" t="s">
        <v>1749</v>
      </c>
      <c r="C527" s="797" t="s">
        <v>1340</v>
      </c>
      <c r="D527" s="714" t="s">
        <v>1341</v>
      </c>
    </row>
    <row r="528" spans="1:4" ht="18" x14ac:dyDescent="0.25">
      <c r="A528" s="219">
        <v>2760</v>
      </c>
      <c r="B528" s="795" t="s">
        <v>1750</v>
      </c>
      <c r="C528" s="795" t="s">
        <v>1342</v>
      </c>
      <c r="D528" s="714" t="s">
        <v>1343</v>
      </c>
    </row>
    <row r="529" spans="1:4" ht="13" x14ac:dyDescent="0.3">
      <c r="A529" s="219">
        <v>2761</v>
      </c>
      <c r="B529" s="793" t="s">
        <v>1344</v>
      </c>
      <c r="C529" s="793" t="s">
        <v>1345</v>
      </c>
      <c r="D529" s="714" t="s">
        <v>1346</v>
      </c>
    </row>
    <row r="530" spans="1:4" ht="13" x14ac:dyDescent="0.3">
      <c r="A530" s="219">
        <v>2762</v>
      </c>
      <c r="B530" s="746" t="s">
        <v>1347</v>
      </c>
      <c r="C530" s="746" t="s">
        <v>1348</v>
      </c>
      <c r="D530" s="714" t="s">
        <v>1349</v>
      </c>
    </row>
    <row r="531" spans="1:4" ht="13" x14ac:dyDescent="0.3">
      <c r="A531" s="219">
        <v>2763</v>
      </c>
      <c r="B531" s="746" t="s">
        <v>1350</v>
      </c>
      <c r="C531" s="746" t="s">
        <v>1351</v>
      </c>
      <c r="D531" s="714" t="s">
        <v>1352</v>
      </c>
    </row>
    <row r="532" spans="1:4" ht="13" x14ac:dyDescent="0.3">
      <c r="A532" s="219">
        <v>2764</v>
      </c>
      <c r="B532" s="676" t="s">
        <v>1353</v>
      </c>
      <c r="C532" s="676" t="s">
        <v>1354</v>
      </c>
      <c r="D532" s="714" t="s">
        <v>1355</v>
      </c>
    </row>
    <row r="533" spans="1:4" ht="25" x14ac:dyDescent="0.25">
      <c r="A533" s="219">
        <v>2765</v>
      </c>
      <c r="B533" s="747" t="s">
        <v>1777</v>
      </c>
      <c r="C533" s="747" t="s">
        <v>1356</v>
      </c>
      <c r="D533" s="714" t="s">
        <v>1357</v>
      </c>
    </row>
    <row r="534" spans="1:4" x14ac:dyDescent="0.25">
      <c r="A534" s="219">
        <v>2766</v>
      </c>
      <c r="B534" s="748" t="s">
        <v>1358</v>
      </c>
      <c r="C534" s="748" t="s">
        <v>1359</v>
      </c>
      <c r="D534" s="714" t="s">
        <v>1360</v>
      </c>
    </row>
    <row r="535" spans="1:4" x14ac:dyDescent="0.25">
      <c r="A535" s="219">
        <v>2767</v>
      </c>
      <c r="B535" s="749" t="s">
        <v>1781</v>
      </c>
      <c r="C535" s="749" t="s">
        <v>1361</v>
      </c>
      <c r="D535" s="714" t="s">
        <v>1362</v>
      </c>
    </row>
    <row r="536" spans="1:4" x14ac:dyDescent="0.25">
      <c r="A536" s="219">
        <v>2768</v>
      </c>
      <c r="B536" s="749" t="s">
        <v>1363</v>
      </c>
      <c r="C536" s="749" t="s">
        <v>1364</v>
      </c>
      <c r="D536" s="714" t="s">
        <v>1365</v>
      </c>
    </row>
    <row r="537" spans="1:4" x14ac:dyDescent="0.25">
      <c r="A537" s="219">
        <v>2769</v>
      </c>
      <c r="B537" s="749" t="s">
        <v>1366</v>
      </c>
      <c r="C537" s="749" t="s">
        <v>1367</v>
      </c>
      <c r="D537" s="714" t="s">
        <v>1368</v>
      </c>
    </row>
    <row r="538" spans="1:4" x14ac:dyDescent="0.25">
      <c r="A538" s="219">
        <v>2770</v>
      </c>
      <c r="B538" s="749" t="s">
        <v>1369</v>
      </c>
      <c r="C538" s="749" t="s">
        <v>1370</v>
      </c>
      <c r="D538" s="714" t="s">
        <v>1371</v>
      </c>
    </row>
    <row r="539" spans="1:4" x14ac:dyDescent="0.25">
      <c r="A539" s="219">
        <v>2771</v>
      </c>
      <c r="B539" s="749" t="s">
        <v>1372</v>
      </c>
      <c r="C539" s="749" t="s">
        <v>1373</v>
      </c>
      <c r="D539" s="714" t="s">
        <v>1374</v>
      </c>
    </row>
    <row r="540" spans="1:4" x14ac:dyDescent="0.25">
      <c r="A540" s="219">
        <v>2772</v>
      </c>
      <c r="B540" s="749" t="s">
        <v>1782</v>
      </c>
      <c r="C540" s="749" t="s">
        <v>1375</v>
      </c>
      <c r="D540" s="714" t="s">
        <v>1376</v>
      </c>
    </row>
    <row r="541" spans="1:4" ht="13" x14ac:dyDescent="0.3">
      <c r="A541" s="219">
        <v>2773</v>
      </c>
      <c r="B541" s="750" t="s">
        <v>705</v>
      </c>
      <c r="C541" s="750" t="s">
        <v>1377</v>
      </c>
      <c r="D541" s="714" t="s">
        <v>1378</v>
      </c>
    </row>
    <row r="542" spans="1:4" ht="13" x14ac:dyDescent="0.3">
      <c r="A542" s="219">
        <v>2774</v>
      </c>
      <c r="B542" s="750" t="s">
        <v>1779</v>
      </c>
      <c r="C542" s="750" t="s">
        <v>1379</v>
      </c>
      <c r="D542" s="714" t="s">
        <v>1380</v>
      </c>
    </row>
    <row r="543" spans="1:4" ht="13" x14ac:dyDescent="0.3">
      <c r="A543" s="219">
        <v>2775</v>
      </c>
      <c r="B543" s="750" t="s">
        <v>1780</v>
      </c>
      <c r="C543" s="750" t="s">
        <v>1381</v>
      </c>
      <c r="D543" s="714" t="s">
        <v>1382</v>
      </c>
    </row>
    <row r="544" spans="1:4" ht="13" x14ac:dyDescent="0.3">
      <c r="A544" s="219">
        <v>2776</v>
      </c>
      <c r="B544" s="751" t="s">
        <v>1383</v>
      </c>
      <c r="C544" s="751" t="s">
        <v>1384</v>
      </c>
      <c r="D544" s="714" t="s">
        <v>1385</v>
      </c>
    </row>
    <row r="545" spans="1:4" ht="13" x14ac:dyDescent="0.3">
      <c r="A545" s="219">
        <v>2777</v>
      </c>
      <c r="B545" s="751" t="s">
        <v>1386</v>
      </c>
      <c r="C545" s="751" t="s">
        <v>1387</v>
      </c>
      <c r="D545" s="714" t="s">
        <v>1388</v>
      </c>
    </row>
    <row r="546" spans="1:4" ht="13" x14ac:dyDescent="0.3">
      <c r="A546" s="219">
        <v>2778</v>
      </c>
      <c r="B546" s="751" t="s">
        <v>1389</v>
      </c>
      <c r="C546" s="751" t="s">
        <v>1389</v>
      </c>
      <c r="D546" s="714" t="s">
        <v>1390</v>
      </c>
    </row>
    <row r="547" spans="1:4" ht="13" x14ac:dyDescent="0.3">
      <c r="A547" s="219">
        <v>2779</v>
      </c>
      <c r="B547" s="751" t="s">
        <v>1391</v>
      </c>
      <c r="C547" s="751" t="s">
        <v>1391</v>
      </c>
      <c r="D547" s="714" t="s">
        <v>1392</v>
      </c>
    </row>
    <row r="548" spans="1:4" ht="13" x14ac:dyDescent="0.3">
      <c r="A548" s="219">
        <v>2780</v>
      </c>
      <c r="B548" s="751" t="s">
        <v>1393</v>
      </c>
      <c r="C548" s="751" t="s">
        <v>1393</v>
      </c>
      <c r="D548" s="714" t="s">
        <v>1394</v>
      </c>
    </row>
    <row r="549" spans="1:4" ht="13" x14ac:dyDescent="0.3">
      <c r="A549" s="219">
        <v>2781</v>
      </c>
      <c r="B549" s="751" t="s">
        <v>1395</v>
      </c>
      <c r="C549" s="751" t="s">
        <v>1396</v>
      </c>
      <c r="D549" s="714" t="s">
        <v>1397</v>
      </c>
    </row>
    <row r="550" spans="1:4" ht="13" x14ac:dyDescent="0.3">
      <c r="A550" s="219">
        <v>2782</v>
      </c>
      <c r="B550" s="751" t="s">
        <v>1398</v>
      </c>
      <c r="C550" s="751" t="s">
        <v>1399</v>
      </c>
      <c r="D550" s="714" t="s">
        <v>1400</v>
      </c>
    </row>
    <row r="551" spans="1:4" ht="13" x14ac:dyDescent="0.3">
      <c r="A551" s="219">
        <v>2783</v>
      </c>
      <c r="B551" s="751" t="s">
        <v>1401</v>
      </c>
      <c r="C551" s="751" t="s">
        <v>1402</v>
      </c>
      <c r="D551" s="714"/>
    </row>
    <row r="552" spans="1:4" ht="13" x14ac:dyDescent="0.3">
      <c r="A552" s="219">
        <v>2784</v>
      </c>
      <c r="B552" s="751" t="s">
        <v>1403</v>
      </c>
      <c r="C552" s="751" t="s">
        <v>1404</v>
      </c>
      <c r="D552" s="714" t="s">
        <v>1405</v>
      </c>
    </row>
    <row r="553" spans="1:4" ht="13" x14ac:dyDescent="0.3">
      <c r="A553" s="219">
        <v>2785</v>
      </c>
      <c r="B553" s="751" t="s">
        <v>1406</v>
      </c>
      <c r="C553" s="751" t="s">
        <v>1407</v>
      </c>
      <c r="D553" s="714" t="s">
        <v>1408</v>
      </c>
    </row>
    <row r="554" spans="1:4" ht="13" x14ac:dyDescent="0.3">
      <c r="A554" s="219">
        <v>2786</v>
      </c>
      <c r="B554" s="751" t="s">
        <v>1409</v>
      </c>
      <c r="C554" s="751" t="s">
        <v>1410</v>
      </c>
      <c r="D554" s="714" t="s">
        <v>1411</v>
      </c>
    </row>
    <row r="555" spans="1:4" x14ac:dyDescent="0.25">
      <c r="A555" s="219">
        <v>2787</v>
      </c>
      <c r="B555" s="47" t="s">
        <v>136</v>
      </c>
      <c r="C555" s="47" t="s">
        <v>1412</v>
      </c>
      <c r="D555" s="714" t="s">
        <v>1413</v>
      </c>
    </row>
    <row r="556" spans="1:4" x14ac:dyDescent="0.25">
      <c r="A556" s="219">
        <v>2788</v>
      </c>
      <c r="B556" s="47" t="s">
        <v>1414</v>
      </c>
      <c r="C556" s="47" t="s">
        <v>1415</v>
      </c>
      <c r="D556" s="714" t="s">
        <v>1416</v>
      </c>
    </row>
    <row r="557" spans="1:4" x14ac:dyDescent="0.25">
      <c r="A557" s="219">
        <v>2789</v>
      </c>
      <c r="B557" s="47" t="s">
        <v>1417</v>
      </c>
      <c r="C557" s="47" t="s">
        <v>1418</v>
      </c>
      <c r="D557" s="714" t="s">
        <v>1419</v>
      </c>
    </row>
    <row r="558" spans="1:4" x14ac:dyDescent="0.25">
      <c r="A558" s="219">
        <v>2790</v>
      </c>
      <c r="B558" s="47" t="s">
        <v>1420</v>
      </c>
      <c r="C558" s="47" t="s">
        <v>1421</v>
      </c>
      <c r="D558" s="714" t="s">
        <v>1422</v>
      </c>
    </row>
    <row r="559" spans="1:4" x14ac:dyDescent="0.25">
      <c r="A559" s="219">
        <v>2791</v>
      </c>
      <c r="B559" s="213" t="s">
        <v>1423</v>
      </c>
      <c r="C559" s="213" t="s">
        <v>1424</v>
      </c>
      <c r="D559" s="714" t="s">
        <v>1425</v>
      </c>
    </row>
    <row r="560" spans="1:4" x14ac:dyDescent="0.25">
      <c r="A560" s="219">
        <v>2792</v>
      </c>
      <c r="B560" s="284" t="s">
        <v>1426</v>
      </c>
      <c r="C560" s="284" t="s">
        <v>1427</v>
      </c>
      <c r="D560" s="714" t="s">
        <v>1428</v>
      </c>
    </row>
    <row r="561" spans="1:4" x14ac:dyDescent="0.25">
      <c r="A561" s="219">
        <v>2793</v>
      </c>
      <c r="B561" s="284" t="s">
        <v>1429</v>
      </c>
      <c r="C561" s="284" t="s">
        <v>1430</v>
      </c>
      <c r="D561" s="714" t="s">
        <v>1431</v>
      </c>
    </row>
    <row r="562" spans="1:4" x14ac:dyDescent="0.25">
      <c r="A562" s="219">
        <v>2794</v>
      </c>
      <c r="B562" s="284" t="s">
        <v>1432</v>
      </c>
      <c r="C562" s="284" t="s">
        <v>1433</v>
      </c>
      <c r="D562" s="714" t="s">
        <v>1434</v>
      </c>
    </row>
    <row r="563" spans="1:4" x14ac:dyDescent="0.25">
      <c r="A563" s="219">
        <v>2795</v>
      </c>
      <c r="B563" s="284" t="s">
        <v>1435</v>
      </c>
      <c r="C563" s="284" t="s">
        <v>1436</v>
      </c>
      <c r="D563" s="714" t="s">
        <v>1437</v>
      </c>
    </row>
    <row r="564" spans="1:4" x14ac:dyDescent="0.25">
      <c r="A564" s="219">
        <v>2796</v>
      </c>
      <c r="B564" s="284" t="s">
        <v>1438</v>
      </c>
      <c r="C564" s="284" t="s">
        <v>1439</v>
      </c>
      <c r="D564" s="714" t="s">
        <v>1440</v>
      </c>
    </row>
    <row r="565" spans="1:4" x14ac:dyDescent="0.25">
      <c r="A565" s="219">
        <v>2797</v>
      </c>
      <c r="B565" s="284" t="s">
        <v>1441</v>
      </c>
      <c r="C565" s="284" t="s">
        <v>1442</v>
      </c>
      <c r="D565" s="714" t="s">
        <v>1443</v>
      </c>
    </row>
    <row r="566" spans="1:4" x14ac:dyDescent="0.25">
      <c r="A566" s="219">
        <v>2798</v>
      </c>
      <c r="B566" s="284" t="s">
        <v>1444</v>
      </c>
      <c r="C566" s="284" t="s">
        <v>1445</v>
      </c>
      <c r="D566" s="714" t="s">
        <v>1446</v>
      </c>
    </row>
    <row r="567" spans="1:4" x14ac:dyDescent="0.25">
      <c r="A567" s="219">
        <v>2799</v>
      </c>
      <c r="B567" s="284" t="s">
        <v>1447</v>
      </c>
      <c r="C567" s="284" t="s">
        <v>1448</v>
      </c>
      <c r="D567" s="714" t="s">
        <v>1449</v>
      </c>
    </row>
    <row r="568" spans="1:4" x14ac:dyDescent="0.25">
      <c r="A568" s="219">
        <v>2800</v>
      </c>
      <c r="B568" s="16" t="s">
        <v>1763</v>
      </c>
      <c r="C568" t="s">
        <v>1450</v>
      </c>
    </row>
    <row r="569" spans="1:4" x14ac:dyDescent="0.25">
      <c r="A569" s="219">
        <v>2801</v>
      </c>
      <c r="B569" s="680" t="s">
        <v>1793</v>
      </c>
      <c r="C569" s="680" t="s">
        <v>838</v>
      </c>
    </row>
    <row r="570" spans="1:4" x14ac:dyDescent="0.25">
      <c r="A570" s="219">
        <v>2802</v>
      </c>
      <c r="B570" s="680" t="s">
        <v>1794</v>
      </c>
      <c r="C570" s="680" t="s">
        <v>1451</v>
      </c>
    </row>
    <row r="571" spans="1:4" x14ac:dyDescent="0.25">
      <c r="A571" s="219">
        <v>2803</v>
      </c>
      <c r="B571" s="680" t="s">
        <v>1799</v>
      </c>
      <c r="C571" s="680" t="s">
        <v>1452</v>
      </c>
    </row>
    <row r="572" spans="1:4" x14ac:dyDescent="0.25">
      <c r="A572" s="219">
        <v>2804</v>
      </c>
      <c r="B572" s="680"/>
      <c r="C572" s="680" t="s">
        <v>1453</v>
      </c>
    </row>
    <row r="573" spans="1:4" x14ac:dyDescent="0.25">
      <c r="A573" s="219">
        <v>2805</v>
      </c>
      <c r="B573" s="680" t="s">
        <v>1800</v>
      </c>
      <c r="C573" s="680" t="s">
        <v>1454</v>
      </c>
    </row>
    <row r="574" spans="1:4" x14ac:dyDescent="0.25">
      <c r="A574" s="219">
        <v>2806</v>
      </c>
      <c r="B574" s="680" t="s">
        <v>1795</v>
      </c>
      <c r="C574" s="680" t="s">
        <v>1455</v>
      </c>
    </row>
    <row r="575" spans="1:4" x14ac:dyDescent="0.25">
      <c r="A575" s="219">
        <v>2807</v>
      </c>
      <c r="B575" s="680" t="s">
        <v>67</v>
      </c>
      <c r="C575" s="680" t="s">
        <v>1456</v>
      </c>
    </row>
    <row r="576" spans="1:4" x14ac:dyDescent="0.25">
      <c r="A576" s="219">
        <v>2808</v>
      </c>
      <c r="B576" s="680" t="s">
        <v>1457</v>
      </c>
      <c r="C576" s="680" t="s">
        <v>1458</v>
      </c>
    </row>
    <row r="577" spans="1:3" x14ac:dyDescent="0.25">
      <c r="A577" s="219">
        <v>2809</v>
      </c>
      <c r="B577" s="680" t="s">
        <v>1796</v>
      </c>
      <c r="C577" s="680" t="s">
        <v>1459</v>
      </c>
    </row>
    <row r="578" spans="1:3" x14ac:dyDescent="0.25">
      <c r="A578" s="219">
        <v>2810</v>
      </c>
      <c r="B578" s="680" t="s">
        <v>1460</v>
      </c>
      <c r="C578" s="680" t="s">
        <v>1461</v>
      </c>
    </row>
    <row r="579" spans="1:3" x14ac:dyDescent="0.25">
      <c r="A579" s="219">
        <v>2811</v>
      </c>
      <c r="B579" s="680" t="s">
        <v>1462</v>
      </c>
      <c r="C579" s="680" t="s">
        <v>1463</v>
      </c>
    </row>
    <row r="580" spans="1:3" x14ac:dyDescent="0.25">
      <c r="A580" s="219">
        <v>2812</v>
      </c>
      <c r="B580" s="680" t="s">
        <v>1464</v>
      </c>
      <c r="C580" s="680" t="s">
        <v>1465</v>
      </c>
    </row>
    <row r="581" spans="1:3" x14ac:dyDescent="0.25">
      <c r="A581" s="219">
        <v>2813</v>
      </c>
      <c r="B581" s="680"/>
      <c r="C581" s="680" t="s">
        <v>1466</v>
      </c>
    </row>
    <row r="582" spans="1:3" x14ac:dyDescent="0.25">
      <c r="A582" s="219">
        <v>2814</v>
      </c>
      <c r="B582" s="680" t="s">
        <v>1467</v>
      </c>
      <c r="C582" s="680" t="s">
        <v>1468</v>
      </c>
    </row>
    <row r="583" spans="1:3" x14ac:dyDescent="0.25">
      <c r="A583" s="219">
        <v>2815</v>
      </c>
      <c r="B583" s="680"/>
      <c r="C583" s="680" t="s">
        <v>1469</v>
      </c>
    </row>
    <row r="584" spans="1:3" x14ac:dyDescent="0.25">
      <c r="A584" s="219">
        <v>2816</v>
      </c>
      <c r="B584" s="680"/>
      <c r="C584" s="680" t="s">
        <v>1470</v>
      </c>
    </row>
    <row r="585" spans="1:3" x14ac:dyDescent="0.25">
      <c r="A585" s="219">
        <v>2817</v>
      </c>
      <c r="B585" s="680" t="s">
        <v>1471</v>
      </c>
      <c r="C585" s="680" t="s">
        <v>1472</v>
      </c>
    </row>
    <row r="586" spans="1:3" x14ac:dyDescent="0.25">
      <c r="A586" s="219">
        <v>2818</v>
      </c>
      <c r="B586" s="680" t="s">
        <v>1473</v>
      </c>
      <c r="C586" s="680" t="s">
        <v>1474</v>
      </c>
    </row>
    <row r="587" spans="1:3" x14ac:dyDescent="0.25">
      <c r="A587" s="219">
        <v>2819</v>
      </c>
      <c r="B587" s="680" t="s">
        <v>1475</v>
      </c>
      <c r="C587" s="680" t="s">
        <v>1476</v>
      </c>
    </row>
    <row r="588" spans="1:3" x14ac:dyDescent="0.25">
      <c r="A588" s="219">
        <v>2820</v>
      </c>
      <c r="B588" s="680" t="s">
        <v>62</v>
      </c>
      <c r="C588" s="680" t="s">
        <v>841</v>
      </c>
    </row>
    <row r="589" spans="1:3" x14ac:dyDescent="0.25">
      <c r="A589" s="219">
        <v>2821</v>
      </c>
      <c r="B589" s="680" t="s">
        <v>1477</v>
      </c>
      <c r="C589" s="680" t="s">
        <v>1478</v>
      </c>
    </row>
    <row r="590" spans="1:3" x14ac:dyDescent="0.25">
      <c r="A590" s="219">
        <v>2822</v>
      </c>
      <c r="B590" s="680" t="s">
        <v>1479</v>
      </c>
      <c r="C590" s="680" t="s">
        <v>1480</v>
      </c>
    </row>
    <row r="591" spans="1:3" x14ac:dyDescent="0.25">
      <c r="A591" s="219">
        <v>2823</v>
      </c>
      <c r="B591" s="680"/>
      <c r="C591" s="680" t="s">
        <v>1481</v>
      </c>
    </row>
    <row r="592" spans="1:3" x14ac:dyDescent="0.25">
      <c r="A592" s="219">
        <v>2824</v>
      </c>
      <c r="B592" s="680" t="s">
        <v>1482</v>
      </c>
      <c r="C592" s="680" t="s">
        <v>1483</v>
      </c>
    </row>
    <row r="593" spans="1:3" x14ac:dyDescent="0.25">
      <c r="A593" s="219">
        <v>2825</v>
      </c>
      <c r="B593" s="680"/>
      <c r="C593" s="680" t="s">
        <v>1484</v>
      </c>
    </row>
    <row r="594" spans="1:3" x14ac:dyDescent="0.25">
      <c r="A594" s="219">
        <v>2826</v>
      </c>
      <c r="B594" s="680" t="s">
        <v>1485</v>
      </c>
      <c r="C594" s="680" t="s">
        <v>1486</v>
      </c>
    </row>
    <row r="595" spans="1:3" x14ac:dyDescent="0.25">
      <c r="A595" s="219">
        <v>2827</v>
      </c>
      <c r="B595" s="680" t="s">
        <v>1487</v>
      </c>
      <c r="C595" s="680" t="s">
        <v>1488</v>
      </c>
    </row>
    <row r="596" spans="1:3" x14ac:dyDescent="0.25">
      <c r="A596" s="219">
        <v>2828</v>
      </c>
      <c r="B596" s="680" t="s">
        <v>1489</v>
      </c>
      <c r="C596" s="680" t="s">
        <v>1490</v>
      </c>
    </row>
    <row r="597" spans="1:3" x14ac:dyDescent="0.25">
      <c r="A597" s="219">
        <v>2829</v>
      </c>
      <c r="B597" s="680" t="s">
        <v>1491</v>
      </c>
      <c r="C597" s="680" t="s">
        <v>1492</v>
      </c>
    </row>
    <row r="598" spans="1:3" x14ac:dyDescent="0.25">
      <c r="A598" s="219">
        <v>2830</v>
      </c>
      <c r="B598" s="680" t="s">
        <v>1493</v>
      </c>
      <c r="C598" s="680" t="s">
        <v>1494</v>
      </c>
    </row>
    <row r="599" spans="1:3" x14ac:dyDescent="0.25">
      <c r="A599" s="219">
        <v>2831</v>
      </c>
      <c r="B599" s="680" t="s">
        <v>1495</v>
      </c>
      <c r="C599" s="680" t="s">
        <v>1496</v>
      </c>
    </row>
    <row r="600" spans="1:3" x14ac:dyDescent="0.25">
      <c r="A600" s="219">
        <v>2832</v>
      </c>
      <c r="B600" s="680" t="s">
        <v>1497</v>
      </c>
      <c r="C600" s="680" t="s">
        <v>1498</v>
      </c>
    </row>
    <row r="601" spans="1:3" x14ac:dyDescent="0.25">
      <c r="A601" s="219">
        <v>2833</v>
      </c>
      <c r="B601" s="680" t="s">
        <v>1499</v>
      </c>
      <c r="C601" s="680" t="s">
        <v>1500</v>
      </c>
    </row>
    <row r="602" spans="1:3" x14ac:dyDescent="0.25">
      <c r="A602" s="219">
        <v>2834</v>
      </c>
      <c r="B602" s="680" t="s">
        <v>1501</v>
      </c>
      <c r="C602" s="680" t="s">
        <v>1502</v>
      </c>
    </row>
    <row r="603" spans="1:3" x14ac:dyDescent="0.25">
      <c r="A603" s="219">
        <v>2835</v>
      </c>
      <c r="B603" s="805" t="s">
        <v>1503</v>
      </c>
    </row>
    <row r="604" spans="1:3" x14ac:dyDescent="0.25">
      <c r="A604" s="219">
        <v>2836</v>
      </c>
      <c r="B604" s="805" t="s">
        <v>1504</v>
      </c>
    </row>
    <row r="605" spans="1:3" x14ac:dyDescent="0.25">
      <c r="A605" s="219">
        <v>2837</v>
      </c>
      <c r="B605" s="805" t="s">
        <v>1665</v>
      </c>
    </row>
    <row r="606" spans="1:3" x14ac:dyDescent="0.25">
      <c r="A606" s="219">
        <v>2838</v>
      </c>
      <c r="B606" s="805" t="s">
        <v>1798</v>
      </c>
    </row>
    <row r="607" spans="1:3" x14ac:dyDescent="0.25">
      <c r="A607" s="219">
        <v>2839</v>
      </c>
      <c r="B607" s="805" t="s">
        <v>1505</v>
      </c>
    </row>
    <row r="608" spans="1:3" x14ac:dyDescent="0.25">
      <c r="A608" s="219">
        <v>2840</v>
      </c>
      <c r="B608" s="805" t="s">
        <v>65</v>
      </c>
    </row>
    <row r="609" spans="1:2" x14ac:dyDescent="0.25">
      <c r="A609" s="219">
        <v>2841</v>
      </c>
      <c r="B609" s="805" t="s">
        <v>1506</v>
      </c>
    </row>
    <row r="610" spans="1:2" x14ac:dyDescent="0.25">
      <c r="B610" s="805" t="s">
        <v>1797</v>
      </c>
    </row>
  </sheetData>
  <sheetProtection sheet="1" formatCells="0" formatColumns="0" formatRows="0"/>
  <autoFilter ref="A1:K267" xr:uid="{00000000-0009-0000-0000-00000D000000}"/>
  <phoneticPr fontId="49" type="noConversion"/>
  <conditionalFormatting sqref="B133:C141">
    <cfRule type="expression" dxfId="49" priority="16" stopIfTrue="1">
      <formula>NOT(ISERROR(SEARCH("!",B133)))</formula>
    </cfRule>
  </conditionalFormatting>
  <conditionalFormatting sqref="B142:C142">
    <cfRule type="expression" dxfId="48" priority="17" stopIfTrue="1">
      <formula>$V142</formula>
    </cfRule>
  </conditionalFormatting>
  <conditionalFormatting sqref="B165:C165">
    <cfRule type="expression" dxfId="47" priority="15" stopIfTrue="1">
      <formula>$W165</formula>
    </cfRule>
  </conditionalFormatting>
  <conditionalFormatting sqref="B166:C166">
    <cfRule type="containsText" dxfId="46" priority="13" stopIfTrue="1" operator="containsText" text="!">
      <formula>NOT(ISERROR(SEARCH("!",B166)))</formula>
    </cfRule>
    <cfRule type="expression" dxfId="45" priority="14" stopIfTrue="1">
      <formula>$W166</formula>
    </cfRule>
  </conditionalFormatting>
  <conditionalFormatting sqref="B263:C263">
    <cfRule type="expression" dxfId="44" priority="18" stopIfTrue="1">
      <formula>#REF!&lt;&gt;$B263</formula>
    </cfRule>
  </conditionalFormatting>
  <conditionalFormatting sqref="B264:C266">
    <cfRule type="expression" dxfId="43" priority="7" stopIfTrue="1">
      <formula>$B263&lt;&gt;$B264</formula>
    </cfRule>
  </conditionalFormatting>
  <conditionalFormatting sqref="B265:C266">
    <cfRule type="expression" dxfId="42" priority="4" stopIfTrue="1">
      <formula>$Z265</formula>
    </cfRule>
    <cfRule type="expression" dxfId="41" priority="5" stopIfTrue="1">
      <formula>AF265=2</formula>
    </cfRule>
    <cfRule type="expression" dxfId="40" priority="6" stopIfTrue="1">
      <formula>AF265=1</formula>
    </cfRule>
  </conditionalFormatting>
  <conditionalFormatting sqref="B266:C266">
    <cfRule type="expression" dxfId="39" priority="3" stopIfTrue="1">
      <formula>AE266=2</formula>
    </cfRule>
  </conditionalFormatting>
  <conditionalFormatting sqref="B267:C267">
    <cfRule type="expression" dxfId="38" priority="2" stopIfTrue="1">
      <formula>$B266&lt;&gt;$B267</formula>
    </cfRule>
  </conditionalFormatting>
  <conditionalFormatting sqref="B442:C442">
    <cfRule type="expression" dxfId="37" priority="1" stopIfTrue="1">
      <formula>#REF!=TRUE</formula>
    </cfRule>
  </conditionalFormatting>
  <dataValidations count="4">
    <dataValidation type="list" allowBlank="1" showInputMessage="1" showErrorMessage="1" sqref="B49:C51" xr:uid="{00000000-0002-0000-0D00-000000000000}">
      <formula1>Euconst_MPReferenceDateTypes</formula1>
    </dataValidation>
    <dataValidation type="list" allowBlank="1" showInputMessage="1" showErrorMessage="1" sqref="B210:C211" xr:uid="{00000000-0002-0000-0D00-000001000000}">
      <formula1>CNTR_SourceStreamListSx</formula1>
    </dataValidation>
    <dataValidation type="list" allowBlank="1" showInputMessage="1" showErrorMessage="1" sqref="B215:C215" xr:uid="{00000000-0002-0000-0D00-000002000000}">
      <formula1>EUconst_ActivityDeterminationMethod</formula1>
    </dataValidation>
    <dataValidation type="list" allowBlank="1" showInputMessage="1" showErrorMessage="1" sqref="B216:C216" xr:uid="{00000000-0002-0000-0D00-000003000000}">
      <formula1>EUconst_OwnerInstrument</formula1>
    </dataValidation>
  </dataValidations>
  <hyperlinks>
    <hyperlink ref="C171" r:id="rId1" display="https://eur-lex.europa.eu/eli/reg_impl/2018/2066/oj" xr:uid="{C2A8D711-737F-49CB-97F4-64BAAB8053B9}"/>
    <hyperlink ref="C173" r:id="rId2" xr:uid="{91F65196-5179-416B-B3DA-A0D5A24804C9}"/>
    <hyperlink ref="C175" r:id="rId3" xr:uid="{6E567DDE-2322-411B-B891-ED667711C000}"/>
    <hyperlink ref="B175" r:id="rId4" xr:uid="{CFF2F004-46C7-4317-A854-49D00FFEC1CA}"/>
    <hyperlink ref="B173" r:id="rId5" xr:uid="{36916564-1248-452A-AD0E-0F1B73CD6726}"/>
    <hyperlink ref="B171" r:id="rId6" display="https://eur-lex.europa.eu/eli/reg_impl/2018/2066/oj" xr:uid="{52E2CB93-F76C-4111-8023-A4E0FD3E8710}"/>
    <hyperlink ref="B24" r:id="rId7" xr:uid="{B1290F5E-23E2-4295-8DD0-C821419AC629}"/>
    <hyperlink ref="B32" r:id="rId8" xr:uid="{EB0E57FE-FA3D-4857-87FA-20A203E1BFAE}"/>
    <hyperlink ref="B34" r:id="rId9" xr:uid="{3E55BAA7-64BB-4FDD-920D-EDCCA029F38B}"/>
  </hyperlinks>
  <pageMargins left="0.7" right="0.7" top="0.78740157499999996" bottom="0.78740157499999996" header="0.3" footer="0.3"/>
  <pageSetup paperSize="132" orientation="portrait" r:id="rId10"/>
  <headerFooter>
    <oddHeader>&amp;L&amp;F, &amp;A&amp;R&amp;D, &amp;T</oddHeader>
    <oddFooter>&amp;C&amp;P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tabColor indexed="12"/>
    <pageSetUpPr fitToPage="1"/>
  </sheetPr>
  <dimension ref="A1:AR205"/>
  <sheetViews>
    <sheetView topLeftCell="A70" zoomScale="120" zoomScaleNormal="120" workbookViewId="0">
      <pane xSplit="2" topLeftCell="C1" activePane="topRight" state="frozen"/>
      <selection activeCell="A331" sqref="A331"/>
      <selection pane="topRight" activeCell="H91" sqref="H91"/>
    </sheetView>
  </sheetViews>
  <sheetFormatPr defaultColWidth="9.1796875" defaultRowHeight="12.5" x14ac:dyDescent="0.25"/>
  <cols>
    <col min="1" max="1" width="23.26953125" style="16" customWidth="1"/>
    <col min="2" max="3" width="12.7265625" style="16" customWidth="1"/>
    <col min="4" max="4" width="24.7265625" style="16" customWidth="1"/>
    <col min="5" max="44" width="12.7265625" style="16" customWidth="1"/>
    <col min="45" max="16384" width="9.1796875" style="16"/>
  </cols>
  <sheetData>
    <row r="1" spans="1:18" x14ac:dyDescent="0.25">
      <c r="A1" s="245" t="s">
        <v>2</v>
      </c>
      <c r="B1" s="247" t="str">
        <f ca="1">IF(ISERROR(CELL("filename",C1)),"MSParameters",MID(CELL("filename",C1),FIND("]",CELL("filename",C1))+1,1024))</f>
        <v>EUwideConstants</v>
      </c>
    </row>
    <row r="2" spans="1:18" x14ac:dyDescent="0.25">
      <c r="A2" s="12" t="s">
        <v>1510</v>
      </c>
      <c r="B2" s="12" t="b">
        <v>1</v>
      </c>
      <c r="C2" s="12" t="b">
        <v>0</v>
      </c>
    </row>
    <row r="3" spans="1:18" x14ac:dyDescent="0.25">
      <c r="A3" s="12" t="s">
        <v>1511</v>
      </c>
      <c r="B3" s="52">
        <v>2024</v>
      </c>
      <c r="C3" s="52">
        <f>B3+1</f>
        <v>2025</v>
      </c>
      <c r="D3" s="52">
        <f t="shared" ref="D3:K3" si="0">C3+1</f>
        <v>2026</v>
      </c>
      <c r="E3" s="52">
        <f t="shared" si="0"/>
        <v>2027</v>
      </c>
      <c r="F3" s="52">
        <f t="shared" si="0"/>
        <v>2028</v>
      </c>
      <c r="G3" s="52">
        <f t="shared" si="0"/>
        <v>2029</v>
      </c>
      <c r="H3" s="52">
        <f t="shared" si="0"/>
        <v>2030</v>
      </c>
      <c r="I3" s="52">
        <f t="shared" si="0"/>
        <v>2031</v>
      </c>
      <c r="J3" s="52">
        <f t="shared" si="0"/>
        <v>2032</v>
      </c>
      <c r="K3" s="52">
        <f t="shared" si="0"/>
        <v>2033</v>
      </c>
      <c r="L3" s="52">
        <f t="shared" ref="L3:R3" si="1">K3+1</f>
        <v>2034</v>
      </c>
      <c r="M3" s="52">
        <f t="shared" si="1"/>
        <v>2035</v>
      </c>
      <c r="N3" s="52">
        <f t="shared" si="1"/>
        <v>2036</v>
      </c>
      <c r="O3" s="52">
        <f t="shared" si="1"/>
        <v>2037</v>
      </c>
      <c r="P3" s="52">
        <f t="shared" si="1"/>
        <v>2038</v>
      </c>
      <c r="Q3" s="52">
        <f t="shared" si="1"/>
        <v>2039</v>
      </c>
      <c r="R3" s="52">
        <f t="shared" si="1"/>
        <v>2040</v>
      </c>
    </row>
    <row r="4" spans="1:18" x14ac:dyDescent="0.25">
      <c r="A4" s="12" t="s">
        <v>1512</v>
      </c>
      <c r="B4" s="12" t="str">
        <f>Translations!$B$133</f>
        <v>Poltto</v>
      </c>
    </row>
    <row r="5" spans="1:18" x14ac:dyDescent="0.25">
      <c r="A5" s="12" t="s">
        <v>1513</v>
      </c>
      <c r="B5" s="12" t="s">
        <v>1514</v>
      </c>
    </row>
    <row r="6" spans="1:18" x14ac:dyDescent="0.25">
      <c r="A6" s="12" t="s">
        <v>1515</v>
      </c>
      <c r="B6" s="12" t="s">
        <v>1516</v>
      </c>
    </row>
    <row r="7" spans="1:18" x14ac:dyDescent="0.25">
      <c r="A7" s="12" t="s">
        <v>1517</v>
      </c>
      <c r="B7" s="12" t="s">
        <v>1518</v>
      </c>
    </row>
    <row r="8" spans="1:18" x14ac:dyDescent="0.25">
      <c r="A8" s="12" t="s">
        <v>1519</v>
      </c>
      <c r="B8" s="12" t="s">
        <v>1520</v>
      </c>
    </row>
    <row r="9" spans="1:18" x14ac:dyDescent="0.25">
      <c r="A9" s="12" t="s">
        <v>1521</v>
      </c>
      <c r="B9" s="12" t="str">
        <f>Translations!$B$395</f>
        <v>Arvo</v>
      </c>
    </row>
    <row r="10" spans="1:18" x14ac:dyDescent="0.25">
      <c r="A10" s="12" t="s">
        <v>1522</v>
      </c>
      <c r="B10" s="12" t="str">
        <f>Translations!$B$394</f>
        <v>Yksikkö</v>
      </c>
    </row>
    <row r="11" spans="1:18" x14ac:dyDescent="0.25">
      <c r="A11" s="12" t="s">
        <v>1523</v>
      </c>
      <c r="B11" s="12" t="s">
        <v>139</v>
      </c>
    </row>
    <row r="12" spans="1:18" x14ac:dyDescent="0.25">
      <c r="A12" s="12" t="s">
        <v>1524</v>
      </c>
      <c r="B12" s="12" t="s">
        <v>120</v>
      </c>
    </row>
    <row r="13" spans="1:18" x14ac:dyDescent="0.25">
      <c r="A13" s="12" t="s">
        <v>1525</v>
      </c>
      <c r="B13" s="12" t="str">
        <f>Translations!$B$555</f>
        <v>litraa</v>
      </c>
    </row>
    <row r="14" spans="1:18" x14ac:dyDescent="0.25">
      <c r="A14" s="12" t="s">
        <v>1526</v>
      </c>
      <c r="B14" s="12" t="s">
        <v>1527</v>
      </c>
    </row>
    <row r="15" spans="1:18" x14ac:dyDescent="0.25">
      <c r="A15" s="12" t="s">
        <v>1528</v>
      </c>
      <c r="B15" s="12" t="s">
        <v>1529</v>
      </c>
    </row>
    <row r="16" spans="1:18" x14ac:dyDescent="0.25">
      <c r="A16" s="12" t="s">
        <v>1530</v>
      </c>
      <c r="B16" s="12" t="str">
        <f>Translations!$B$556</f>
        <v>GWh (brutto)</v>
      </c>
    </row>
    <row r="17" spans="1:3" x14ac:dyDescent="0.25">
      <c r="A17" s="12" t="s">
        <v>1531</v>
      </c>
      <c r="B17" s="12" t="s">
        <v>1532</v>
      </c>
    </row>
    <row r="18" spans="1:3" x14ac:dyDescent="0.25">
      <c r="A18" s="12" t="s">
        <v>1533</v>
      </c>
      <c r="B18" s="12" t="str">
        <f>Translations!$B$72</f>
        <v>Tyypin I oletusarvot</v>
      </c>
      <c r="C18" s="232" t="str">
        <f>Translations!$B$76</f>
        <v>Tyypin II oletusarvot</v>
      </c>
    </row>
    <row r="19" spans="1:3" x14ac:dyDescent="0.25">
      <c r="A19" s="12" t="s">
        <v>1534</v>
      </c>
      <c r="B19" s="12" t="str">
        <f>Translations!$B$73</f>
        <v>Tyypin I biomassaosuus</v>
      </c>
      <c r="C19" s="232" t="str">
        <f>Translations!$B$74</f>
        <v>Tyypin II biomassaosuus</v>
      </c>
    </row>
    <row r="20" spans="1:3" customFormat="1" x14ac:dyDescent="0.25">
      <c r="A20" s="12" t="s">
        <v>1535</v>
      </c>
      <c r="B20" s="2" t="s">
        <v>1536</v>
      </c>
      <c r="C20" s="398"/>
    </row>
    <row r="21" spans="1:3" customFormat="1" x14ac:dyDescent="0.25">
      <c r="A21" s="12" t="s">
        <v>1537</v>
      </c>
      <c r="B21" s="2" t="s">
        <v>1538</v>
      </c>
      <c r="C21" s="398"/>
    </row>
    <row r="22" spans="1:3" customFormat="1" x14ac:dyDescent="0.25">
      <c r="A22" s="12" t="s">
        <v>1539</v>
      </c>
      <c r="B22" s="2" t="s">
        <v>1540</v>
      </c>
      <c r="C22" s="398"/>
    </row>
    <row r="23" spans="1:3" customFormat="1" x14ac:dyDescent="0.25">
      <c r="A23" s="12" t="s">
        <v>1541</v>
      </c>
      <c r="B23" s="2" t="s">
        <v>1542</v>
      </c>
      <c r="C23" s="398"/>
    </row>
    <row r="24" spans="1:3" customFormat="1" x14ac:dyDescent="0.25">
      <c r="A24" s="12" t="s">
        <v>1543</v>
      </c>
      <c r="B24" s="2" t="s">
        <v>1544</v>
      </c>
      <c r="C24" s="398"/>
    </row>
    <row r="25" spans="1:3" x14ac:dyDescent="0.25">
      <c r="A25" s="12" t="s">
        <v>1545</v>
      </c>
      <c r="B25" s="12" t="s">
        <v>1546</v>
      </c>
    </row>
    <row r="26" spans="1:3" x14ac:dyDescent="0.25">
      <c r="A26" s="12" t="s">
        <v>1547</v>
      </c>
      <c r="B26" s="12" t="s">
        <v>1548</v>
      </c>
    </row>
    <row r="27" spans="1:3" x14ac:dyDescent="0.25">
      <c r="A27" s="12" t="s">
        <v>1549</v>
      </c>
      <c r="B27" s="12" t="s">
        <v>1550</v>
      </c>
    </row>
    <row r="28" spans="1:3" x14ac:dyDescent="0.25">
      <c r="A28" s="12" t="s">
        <v>1551</v>
      </c>
      <c r="B28" s="12" t="s">
        <v>1552</v>
      </c>
    </row>
    <row r="29" spans="1:3" x14ac:dyDescent="0.25">
      <c r="A29" s="12" t="s">
        <v>1553</v>
      </c>
      <c r="B29" s="12" t="s">
        <v>1554</v>
      </c>
    </row>
    <row r="30" spans="1:3" x14ac:dyDescent="0.25">
      <c r="A30" s="12" t="s">
        <v>1555</v>
      </c>
      <c r="B30" s="12" t="str">
        <f>Translations!$B$79</f>
        <v xml:space="preserve">&lt;&lt;&lt; Siirry seuraavalle välilehdelle napsauttamalla tästä &gt;&gt;&gt; </v>
      </c>
    </row>
    <row r="31" spans="1:3" x14ac:dyDescent="0.25">
      <c r="A31" s="12" t="s">
        <v>1556</v>
      </c>
      <c r="B31" s="12" t="str">
        <f>Translations!$B$235</f>
        <v>Polttoainevirta</v>
      </c>
    </row>
    <row r="32" spans="1:3" x14ac:dyDescent="0.25">
      <c r="A32" s="12" t="s">
        <v>1557</v>
      </c>
      <c r="B32" s="12" t="str">
        <f>Translations!$B$216</f>
        <v>Säännelty yhteisö</v>
      </c>
      <c r="C32" s="12" t="str">
        <f>Translations!$B$80</f>
        <v>Kauppakumppani</v>
      </c>
    </row>
    <row r="33" spans="1:4" x14ac:dyDescent="0.25">
      <c r="A33" s="12" t="s">
        <v>1558</v>
      </c>
      <c r="B33" s="12" t="str">
        <f>Translations!$B$215</f>
        <v>(a): ETD/ED-järjestelmän mukaiset menetelmät</v>
      </c>
      <c r="C33" s="12" t="str">
        <f>Translations!$B$236</f>
        <v>(b): Erämittaus</v>
      </c>
      <c r="D33" s="12" t="str">
        <f>Translations!$B$237</f>
        <v>(c): Jatkuva mittaus</v>
      </c>
    </row>
    <row r="34" spans="1:4" x14ac:dyDescent="0.25">
      <c r="A34" s="12" t="s">
        <v>1559</v>
      </c>
      <c r="B34" s="12" t="str">
        <f>Translations!$B$81</f>
        <v xml:space="preserve">Yksityiskohtaiset ohjeet tietojen syöttämisestä tähän työkaluun ovat tämän välilehden yläosassa. </v>
      </c>
      <c r="C34" s="12"/>
    </row>
    <row r="35" spans="1:4" x14ac:dyDescent="0.25">
      <c r="A35" s="12" t="s">
        <v>1560</v>
      </c>
      <c r="B35" s="12" t="str">
        <f>Translations!$B$77</f>
        <v>ei sovellettavissa</v>
      </c>
    </row>
    <row r="36" spans="1:4" x14ac:dyDescent="0.25">
      <c r="A36" s="12" t="s">
        <v>1561</v>
      </c>
      <c r="B36" s="12" t="str">
        <f>Translations!$B$82</f>
        <v>merkityksellinen</v>
      </c>
    </row>
    <row r="37" spans="1:4" x14ac:dyDescent="0.25">
      <c r="A37" s="12" t="s">
        <v>1562</v>
      </c>
      <c r="B37" s="12" t="str">
        <f>Translations!$B$83</f>
        <v>ei merkityksellinen</v>
      </c>
    </row>
    <row r="38" spans="1:4" x14ac:dyDescent="0.25">
      <c r="A38" s="12" t="s">
        <v>1563</v>
      </c>
      <c r="B38" s="12" t="str">
        <f>Translations!$B$84</f>
        <v>ei sovelleta!</v>
      </c>
    </row>
    <row r="39" spans="1:4" x14ac:dyDescent="0.25">
      <c r="A39" s="12" t="s">
        <v>1564</v>
      </c>
      <c r="B39" s="12" t="str">
        <f>Translations!$B$482</f>
        <v>Paras arvio</v>
      </c>
    </row>
    <row r="40" spans="1:4" x14ac:dyDescent="0.25">
      <c r="A40" s="12" t="s">
        <v>1565</v>
      </c>
      <c r="B40" s="12" t="str">
        <f>Translations!$B$483</f>
        <v>Toteutuneet päästöt</v>
      </c>
    </row>
    <row r="41" spans="1:4" x14ac:dyDescent="0.25">
      <c r="A41" s="12" t="s">
        <v>1566</v>
      </c>
      <c r="B41" s="12" t="str">
        <f>Translations!$B$557</f>
        <v>puutteellinen!</v>
      </c>
    </row>
    <row r="42" spans="1:4" x14ac:dyDescent="0.25">
      <c r="A42" s="12" t="s">
        <v>1567</v>
      </c>
      <c r="B42" s="12" t="str">
        <f>Translations!$B$558</f>
        <v>epäjohdonmukainen!</v>
      </c>
    </row>
    <row r="43" spans="1:4" x14ac:dyDescent="0.25">
      <c r="A43" s="12" t="s">
        <v>1568</v>
      </c>
      <c r="B43" s="12" t="str">
        <f>Translations!$B$85</f>
        <v>Epävarmuus saa olla enintään</v>
      </c>
    </row>
    <row r="44" spans="1:4" x14ac:dyDescent="0.25">
      <c r="A44" s="12" t="s">
        <v>1555</v>
      </c>
      <c r="B44" s="12" t="str">
        <f>Translations!$B$79</f>
        <v xml:space="preserve">&lt;&lt;&lt; Siirry seuraavalle välilehdelle napsauttamalla tästä &gt;&gt;&gt; </v>
      </c>
    </row>
    <row r="45" spans="1:4" x14ac:dyDescent="0.25">
      <c r="A45" s="12" t="s">
        <v>1569</v>
      </c>
      <c r="B45" s="12" t="str">
        <f>Translations!$B$86</f>
        <v>Kirjoita tiedot tähän osaan</v>
      </c>
    </row>
    <row r="46" spans="1:4" x14ac:dyDescent="0.25">
      <c r="A46" s="12" t="s">
        <v>1570</v>
      </c>
      <c r="B46" s="12" t="str">
        <f>Translations!$B$87</f>
        <v>Siirry jäljempänä oleviin kohtiin</v>
      </c>
    </row>
    <row r="47" spans="1:4" x14ac:dyDescent="0.25">
      <c r="A47" s="12" t="s">
        <v>1571</v>
      </c>
      <c r="B47" s="12" t="str">
        <f>Translations!$B$88</f>
        <v>Perustele, miksi historiatietoja ei ole saatavilla tai ne eivät ole asianmukaisia</v>
      </c>
    </row>
    <row r="48" spans="1:4" x14ac:dyDescent="0.25">
      <c r="A48" s="12" t="s">
        <v>1572</v>
      </c>
      <c r="B48" s="12" t="str">
        <f>Translations!$B$15</f>
        <v>Edellinen välilehti</v>
      </c>
    </row>
    <row r="49" spans="1:32" x14ac:dyDescent="0.25">
      <c r="A49" s="12" t="s">
        <v>1573</v>
      </c>
      <c r="B49" s="12" t="str">
        <f>Translations!$B$16</f>
        <v>Seuraava välilehti</v>
      </c>
    </row>
    <row r="50" spans="1:32" x14ac:dyDescent="0.25">
      <c r="A50" s="12" t="s">
        <v>1574</v>
      </c>
      <c r="B50" s="12" t="str">
        <f>Translations!$B$89</f>
        <v>Ei määrittämistasoa</v>
      </c>
    </row>
    <row r="51" spans="1:32" x14ac:dyDescent="0.25">
      <c r="A51" s="12" t="s">
        <v>1575</v>
      </c>
      <c r="B51" s="12" t="str">
        <f>Translations!$B$238</f>
        <v>Ostokirjanpito tai laskut</v>
      </c>
    </row>
    <row r="52" spans="1:32" x14ac:dyDescent="0.25">
      <c r="A52" s="12" t="s">
        <v>1576</v>
      </c>
      <c r="B52" s="12" t="str">
        <f>Translations!$B$90</f>
        <v>De-minimis-kynnys ylitetty!</v>
      </c>
    </row>
    <row r="53" spans="1:32" x14ac:dyDescent="0.25">
      <c r="A53" s="12" t="s">
        <v>1577</v>
      </c>
      <c r="B53" s="12" t="str">
        <f>Translations!$B$239</f>
        <v>Summa ei ole 5 %:n sisällä vuotuisista päästöistä [kohta C 1 (c)]!</v>
      </c>
    </row>
    <row r="54" spans="1:32" ht="13" x14ac:dyDescent="0.3">
      <c r="A54" s="12" t="s">
        <v>1578</v>
      </c>
      <c r="B54" s="12" t="str">
        <f>Translations!$B$91</f>
        <v>Vain toimivaltaisen viranomaisen käyttöön</v>
      </c>
      <c r="C54" s="12" t="str">
        <f>Translations!$B$92</f>
        <v>Toiminnanharjoittaja täyttää</v>
      </c>
      <c r="E54" s="62"/>
    </row>
    <row r="55" spans="1:32" customFormat="1" x14ac:dyDescent="0.25">
      <c r="A55" s="12" t="s">
        <v>1579</v>
      </c>
      <c r="B55" s="2" t="str">
        <f>Translations!$B$93</f>
        <v>Itävalta</v>
      </c>
      <c r="C55" s="2" t="str">
        <f>Translations!$B$94</f>
        <v>Belgia</v>
      </c>
      <c r="D55" s="31" t="str">
        <f>Translations!$B$95</f>
        <v>Bulgaria</v>
      </c>
      <c r="E55" s="32" t="str">
        <f>Translations!$B$96</f>
        <v>Kroatia</v>
      </c>
      <c r="F55" s="31" t="str">
        <f>Translations!$B$97</f>
        <v>Kypros</v>
      </c>
      <c r="G55" s="31" t="str">
        <f>Translations!$B$559</f>
        <v>Tšekki</v>
      </c>
      <c r="H55" s="31" t="str">
        <f>Translations!$B$98</f>
        <v>Tanska</v>
      </c>
      <c r="I55" s="31" t="str">
        <f>Translations!$B$99</f>
        <v>Viro</v>
      </c>
      <c r="J55" s="31" t="str">
        <f>Translations!$B$100</f>
        <v>Suomi</v>
      </c>
      <c r="K55" s="31" t="str">
        <f>Translations!$B$101</f>
        <v>Ranska</v>
      </c>
      <c r="L55" s="31" t="str">
        <f>Translations!$B$102</f>
        <v>Saksa</v>
      </c>
      <c r="M55" s="31" t="str">
        <f>Translations!$B$103</f>
        <v>Kreikka</v>
      </c>
      <c r="N55" s="31" t="str">
        <f>Translations!$B$104</f>
        <v>Unkari</v>
      </c>
      <c r="O55" s="31" t="str">
        <f>Translations!$B$105</f>
        <v>Islanti</v>
      </c>
      <c r="P55" s="31" t="str">
        <f>Translations!$B$106</f>
        <v>Irlanti</v>
      </c>
      <c r="Q55" s="31" t="str">
        <f>Translations!$B$107</f>
        <v>Italia</v>
      </c>
      <c r="R55" s="31" t="str">
        <f>Translations!$B$108</f>
        <v>Latvia</v>
      </c>
      <c r="S55" s="31" t="str">
        <f>Translations!$B$109</f>
        <v>Liechtenstein</v>
      </c>
      <c r="T55" s="31" t="str">
        <f>Translations!$B$110</f>
        <v>Liettua</v>
      </c>
      <c r="U55" s="31" t="str">
        <f>Translations!$B$111</f>
        <v>Luxemburg</v>
      </c>
      <c r="V55" s="31" t="str">
        <f>Translations!$B$112</f>
        <v>Malta</v>
      </c>
      <c r="W55" s="31" t="str">
        <f>Translations!$B$113</f>
        <v>Alankomaat</v>
      </c>
      <c r="X55" s="31" t="str">
        <f>Translations!$B$114</f>
        <v>Norja</v>
      </c>
      <c r="Y55" s="31" t="str">
        <f>Translations!$B$115</f>
        <v>Puola</v>
      </c>
      <c r="Z55" s="31" t="str">
        <f>Translations!$B$116</f>
        <v>Portugali</v>
      </c>
      <c r="AA55" s="31" t="str">
        <f>Translations!$B$117</f>
        <v>Romania</v>
      </c>
      <c r="AB55" s="31" t="str">
        <f>Translations!$B$118</f>
        <v>Slovakia</v>
      </c>
      <c r="AC55" s="31" t="str">
        <f>Translations!$B$119</f>
        <v>Slovenia</v>
      </c>
      <c r="AD55" s="31" t="str">
        <f>Translations!$B$120</f>
        <v>Espanja</v>
      </c>
      <c r="AE55" s="31" t="str">
        <f>Translations!$B$121</f>
        <v>Ruotsi</v>
      </c>
    </row>
    <row r="56" spans="1:32" customFormat="1" x14ac:dyDescent="0.25">
      <c r="A56" s="12" t="s">
        <v>1580</v>
      </c>
      <c r="B56" s="2" t="s">
        <v>1581</v>
      </c>
      <c r="C56" s="2" t="s">
        <v>1582</v>
      </c>
      <c r="D56" s="31" t="s">
        <v>1583</v>
      </c>
      <c r="E56" s="32" t="s">
        <v>1584</v>
      </c>
      <c r="F56" s="31" t="s">
        <v>1585</v>
      </c>
      <c r="G56" s="31" t="s">
        <v>1586</v>
      </c>
      <c r="H56" s="31" t="s">
        <v>1587</v>
      </c>
      <c r="I56" s="31" t="s">
        <v>1588</v>
      </c>
      <c r="J56" s="31" t="s">
        <v>1589</v>
      </c>
      <c r="K56" s="31" t="s">
        <v>1590</v>
      </c>
      <c r="L56" s="31" t="s">
        <v>1591</v>
      </c>
      <c r="M56" s="31" t="s">
        <v>1592</v>
      </c>
      <c r="N56" s="31" t="s">
        <v>1593</v>
      </c>
      <c r="O56" s="31" t="s">
        <v>1594</v>
      </c>
      <c r="P56" s="31" t="s">
        <v>1595</v>
      </c>
      <c r="Q56" s="31" t="s">
        <v>1596</v>
      </c>
      <c r="R56" s="31" t="s">
        <v>1597</v>
      </c>
      <c r="S56" s="31" t="s">
        <v>1598</v>
      </c>
      <c r="T56" s="31" t="s">
        <v>1599</v>
      </c>
      <c r="U56" s="31" t="s">
        <v>1600</v>
      </c>
      <c r="V56" s="31" t="s">
        <v>1601</v>
      </c>
      <c r="W56" s="31" t="s">
        <v>1602</v>
      </c>
      <c r="X56" s="31" t="s">
        <v>1603</v>
      </c>
      <c r="Y56" s="31" t="s">
        <v>1604</v>
      </c>
      <c r="Z56" s="31" t="s">
        <v>1605</v>
      </c>
      <c r="AA56" s="31" t="s">
        <v>1606</v>
      </c>
      <c r="AB56" s="31" t="s">
        <v>1607</v>
      </c>
      <c r="AC56" s="31" t="s">
        <v>1608</v>
      </c>
      <c r="AD56" s="31" t="s">
        <v>1609</v>
      </c>
      <c r="AE56" s="31" t="s">
        <v>1610</v>
      </c>
    </row>
    <row r="57" spans="1:32" x14ac:dyDescent="0.25">
      <c r="A57" s="12" t="s">
        <v>1611</v>
      </c>
      <c r="B57" s="2" t="str">
        <f>Translations!$B$49</f>
        <v>toimitettu toimivaltaiselle viranomaiselle</v>
      </c>
      <c r="C57" s="2" t="str">
        <f>Translations!$B$51</f>
        <v>toimivaltaisen viranomaisen hyväksymä</v>
      </c>
      <c r="D57" s="2" t="str">
        <f>Translations!$B$122</f>
        <v>toimivaltaisen viranomaisen hylkäämä</v>
      </c>
      <c r="E57" s="2" t="str">
        <f>Translations!$B$50</f>
        <v>palautettu huomautusten kanssa</v>
      </c>
      <c r="F57" s="2" t="str">
        <f>Translations!$B$123</f>
        <v>työluonnos</v>
      </c>
      <c r="G57" s="2"/>
      <c r="AF57"/>
    </row>
    <row r="58" spans="1:32" x14ac:dyDescent="0.25">
      <c r="A58" s="12" t="s">
        <v>1612</v>
      </c>
      <c r="B58" s="38" t="str">
        <f>EUconst_NA</f>
        <v>ei sovellettavissa</v>
      </c>
      <c r="C58" s="47" t="str">
        <f>Translations!$B$161</f>
        <v>Kesäkuu</v>
      </c>
      <c r="D58" s="47" t="str">
        <f>Translations!$B$162</f>
        <v>Heinäkuu</v>
      </c>
      <c r="E58" s="47" t="str">
        <f>Translations!$B$163</f>
        <v>Elokuu</v>
      </c>
      <c r="F58" s="47" t="str">
        <f>Translations!$B$164</f>
        <v>Syyskuu</v>
      </c>
    </row>
    <row r="59" spans="1:32" x14ac:dyDescent="0.25">
      <c r="A59" s="12" t="s">
        <v>1613</v>
      </c>
      <c r="B59" s="38" t="s">
        <v>1614</v>
      </c>
      <c r="C59" s="47"/>
      <c r="D59" s="47"/>
      <c r="E59" s="47"/>
      <c r="F59" s="47"/>
    </row>
    <row r="61" spans="1:32" s="63" customFormat="1" x14ac:dyDescent="0.25"/>
    <row r="63" spans="1:32" customFormat="1" ht="13" x14ac:dyDescent="0.3">
      <c r="A63" s="62" t="s">
        <v>1615</v>
      </c>
    </row>
    <row r="64" spans="1:32" customFormat="1" x14ac:dyDescent="0.25">
      <c r="A64" s="37" t="str">
        <f>Translations!$B$196</f>
        <v>Putket</v>
      </c>
    </row>
    <row r="65" spans="1:6" customFormat="1" x14ac:dyDescent="0.25">
      <c r="A65" s="37" t="str">
        <f>Translations!$B$240</f>
        <v>Maantieajoneuvot (esim. säiliöautot)</v>
      </c>
    </row>
    <row r="66" spans="1:6" customFormat="1" x14ac:dyDescent="0.25">
      <c r="A66" s="37" t="str">
        <f>Translations!$B$241</f>
        <v>Junat</v>
      </c>
    </row>
    <row r="67" spans="1:6" customFormat="1" x14ac:dyDescent="0.25">
      <c r="A67" s="37" t="str">
        <f>Translations!$B$242</f>
        <v>Alukset</v>
      </c>
    </row>
    <row r="68" spans="1:6" customFormat="1" x14ac:dyDescent="0.25"/>
    <row r="69" spans="1:6" customFormat="1" ht="13" x14ac:dyDescent="0.3">
      <c r="A69" s="62" t="s">
        <v>1616</v>
      </c>
    </row>
    <row r="70" spans="1:6" customFormat="1" x14ac:dyDescent="0.25">
      <c r="A70" s="37" t="str">
        <f>Translations!$B$203</f>
        <v>Suora yhteys loppukuluttajiin</v>
      </c>
    </row>
    <row r="71" spans="1:6" customFormat="1" x14ac:dyDescent="0.25">
      <c r="A71" s="37" t="str">
        <f>Translations!$B$243</f>
        <v>Polttoaineasemat</v>
      </c>
    </row>
    <row r="72" spans="1:6" customFormat="1" x14ac:dyDescent="0.25">
      <c r="A72" s="37" t="str">
        <f>Translations!$B$244</f>
        <v>Polttoainekauppiaat</v>
      </c>
    </row>
    <row r="73" spans="1:6" customFormat="1" x14ac:dyDescent="0.25"/>
    <row r="74" spans="1:6" customFormat="1" x14ac:dyDescent="0.25"/>
    <row r="75" spans="1:6" customFormat="1" ht="13" x14ac:dyDescent="0.3">
      <c r="A75" s="62" t="s">
        <v>1617</v>
      </c>
      <c r="B75" t="s">
        <v>1618</v>
      </c>
      <c r="C75" t="s">
        <v>1619</v>
      </c>
    </row>
    <row r="76" spans="1:6" customFormat="1" x14ac:dyDescent="0.25">
      <c r="A76" s="38">
        <v>1</v>
      </c>
      <c r="B76" s="253" t="str">
        <f ca="1">ADDRESS(ROW(),COLUMN(C76),,,$B$1) &amp; ":" &amp; ADDRESS(ROW(),COLUMN(C76)+COUNTA(C76:F76)-COUNTIF(C76:F76,EUconst_NA)-1)</f>
        <v>EUwideConstants!$C$76:$D$76</v>
      </c>
      <c r="C76" s="232" t="str">
        <f>Translations!$B$245</f>
        <v>Oletusarvo = 1</v>
      </c>
      <c r="D76" s="232" t="str">
        <f>Translations!$B$246</f>
        <v>Oletusarvo &lt; 1</v>
      </c>
      <c r="E76" s="254" t="str">
        <f>EUconst_NA</f>
        <v>ei sovellettavissa</v>
      </c>
      <c r="F76" s="254" t="str">
        <f>EUconst_NA</f>
        <v>ei sovellettavissa</v>
      </c>
    </row>
    <row r="77" spans="1:6" customFormat="1" x14ac:dyDescent="0.25">
      <c r="A77" s="38">
        <v>2</v>
      </c>
      <c r="B77" s="253" t="str">
        <f ca="1">ADDRESS(ROW(),COLUMN(C77),,,$B$1) &amp; ":" &amp; ADDRESS(ROW(),COLUMN(C77)+COUNTA(C77:F77)-COUNTIF(C77:F77,EUconst_NA)-1)</f>
        <v>EUwideConstants!$C$77:$E$77</v>
      </c>
      <c r="C77" s="254" t="str">
        <f>Translations!$B$219</f>
        <v>Alkuperäketju</v>
      </c>
      <c r="D77" s="254" t="str">
        <f>Translations!$B$247</f>
        <v>Kansallinen merkintä</v>
      </c>
      <c r="E77" s="254" t="str">
        <f>Translations!$B$248</f>
        <v>Epäsuorat menetelmät</v>
      </c>
      <c r="F77" s="254" t="str">
        <f>EUconst_NA</f>
        <v>ei sovellettavissa</v>
      </c>
    </row>
    <row r="78" spans="1:6" customFormat="1" x14ac:dyDescent="0.25">
      <c r="A78" s="38">
        <v>3</v>
      </c>
      <c r="B78" s="253" t="str">
        <f ca="1">ADDRESS(ROW(),COLUMN(C78),,,$B$1) &amp; ":" &amp; ADDRESS(ROW(),COLUMN(C78)+COUNTA(C78:F78)-COUNTIF(C78:F78,EUconst_NA)-1)</f>
        <v>EUwideConstants!$C$78:$F$78</v>
      </c>
      <c r="C78" s="232" t="str">
        <f>Translations!$B$249</f>
        <v>Fyysinen erottelu</v>
      </c>
      <c r="D78" s="232" t="str">
        <f>Translations!$B$250</f>
        <v>Kemiallinen erottelu</v>
      </c>
      <c r="E78" s="232" t="str">
        <f>Translations!$B$251</f>
        <v>Euromarker</v>
      </c>
      <c r="F78" s="232" t="str">
        <f>Translations!$B$252</f>
        <v>ETS1-toiminnanharjoittajan päästöselvitys</v>
      </c>
    </row>
    <row r="79" spans="1:6" customFormat="1" x14ac:dyDescent="0.25"/>
    <row r="80" spans="1:6" customFormat="1" ht="13" x14ac:dyDescent="0.3">
      <c r="A80" s="62" t="s">
        <v>1620</v>
      </c>
    </row>
    <row r="81" spans="1:2" customFormat="1" x14ac:dyDescent="0.25">
      <c r="A81" s="254" t="str">
        <f>C78</f>
        <v>Fyysinen erottelu</v>
      </c>
      <c r="B81" s="254" t="str">
        <f>Translations!$B$253</f>
        <v>Polttoainevirtojen fyysinen erottelu</v>
      </c>
    </row>
    <row r="82" spans="1:2" customFormat="1" x14ac:dyDescent="0.25">
      <c r="A82" s="254" t="str">
        <f>D78</f>
        <v>Kemiallinen erottelu</v>
      </c>
      <c r="B82" s="254" t="str">
        <f>Translations!$B$254</f>
        <v>Polttoaineiden kemiallisiin ominaisuuksiin perustuvat menetelmät</v>
      </c>
    </row>
    <row r="83" spans="1:2" customFormat="1" x14ac:dyDescent="0.25">
      <c r="A83" s="254" t="str">
        <f>E78</f>
        <v>Euromarker</v>
      </c>
      <c r="B83" s="254" t="str">
        <f>Translations!$B$255</f>
        <v>Veromerkin käyttö Euromarker-direktiivin mukaisesti</v>
      </c>
    </row>
    <row r="84" spans="1:2" customFormat="1" x14ac:dyDescent="0.25">
      <c r="A84" s="254" t="str">
        <f>F78</f>
        <v>ETS1-toiminnanharjoittajan päästöselvitys</v>
      </c>
      <c r="B84" s="254" t="str">
        <f>Translations!$B$256</f>
        <v xml:space="preserve">ETS1-päästökauppaan raportoidut todennetut vuosittaiset päästötiedot </v>
      </c>
    </row>
    <row r="85" spans="1:2" customFormat="1" x14ac:dyDescent="0.25">
      <c r="A85" s="254" t="str">
        <f>C77</f>
        <v>Alkuperäketju</v>
      </c>
      <c r="B85" s="254" t="str">
        <f>Translations!$B$220</f>
        <v xml:space="preserve">Jäljitettävissä oleva sopimusjärjestelyjen ja laskujen ketju </v>
      </c>
    </row>
    <row r="86" spans="1:2" customFormat="1" x14ac:dyDescent="0.25">
      <c r="A86" s="254" t="str">
        <f>D77</f>
        <v>Kansallinen merkintä</v>
      </c>
      <c r="B86" s="254" t="str">
        <f>Translations!$B$257</f>
        <v>Kansallisten merkkiaineiden tai -värien (väriaineiden) käyttö</v>
      </c>
    </row>
    <row r="87" spans="1:2" customFormat="1" x14ac:dyDescent="0.25">
      <c r="A87" s="254" t="str">
        <f>E77</f>
        <v>Epäsuorat menetelmät</v>
      </c>
      <c r="B87" s="254" t="str">
        <f>Translations!$B$258</f>
        <v>Epäsuorat menetelmät ja korrelaatiot</v>
      </c>
    </row>
    <row r="88" spans="1:2" customFormat="1" x14ac:dyDescent="0.25">
      <c r="A88" s="254" t="str">
        <f>C76</f>
        <v>Oletusarvo = 1</v>
      </c>
      <c r="B88" s="254" t="str">
        <f>Translations!$B$259</f>
        <v>Oletusarvoinen soveltamisalakerroin 1</v>
      </c>
    </row>
    <row r="89" spans="1:2" customFormat="1" x14ac:dyDescent="0.25">
      <c r="A89" s="254" t="str">
        <f>D76</f>
        <v>Oletusarvo &lt; 1</v>
      </c>
      <c r="B89" s="254" t="str">
        <f>Translations!$B$260</f>
        <v>Oletusarvoinen soveltamisalakerroin alle 1</v>
      </c>
    </row>
    <row r="90" spans="1:2" customFormat="1" x14ac:dyDescent="0.25"/>
    <row r="91" spans="1:2" customFormat="1" ht="13" x14ac:dyDescent="0.3">
      <c r="A91" s="62" t="str">
        <f>Translations!$B$124</f>
        <v>Biomassan määrittämistasot</v>
      </c>
    </row>
    <row r="92" spans="1:2" customFormat="1" x14ac:dyDescent="0.25">
      <c r="A92" s="38">
        <v>1</v>
      </c>
    </row>
    <row r="93" spans="1:2" customFormat="1" x14ac:dyDescent="0.25">
      <c r="A93" s="38">
        <v>2</v>
      </c>
    </row>
    <row r="94" spans="1:2" customFormat="1" x14ac:dyDescent="0.25">
      <c r="A94" s="38" t="str">
        <f>Translations!$B$261</f>
        <v>3a</v>
      </c>
    </row>
    <row r="95" spans="1:2" customFormat="1" x14ac:dyDescent="0.25">
      <c r="A95" s="38" t="str">
        <f>Translations!$B$262</f>
        <v>3b</v>
      </c>
    </row>
    <row r="96" spans="1:2" customFormat="1" x14ac:dyDescent="0.25">
      <c r="A96" s="37" t="str">
        <f>EUconst_NoTier</f>
        <v>Ei määrittämistasoa</v>
      </c>
    </row>
    <row r="97" spans="1:1" customFormat="1" x14ac:dyDescent="0.25">
      <c r="A97" s="37" t="str">
        <f>EUconst_NA</f>
        <v>ei sovellettavissa</v>
      </c>
    </row>
    <row r="98" spans="1:1" customFormat="1" x14ac:dyDescent="0.25">
      <c r="A98" s="419"/>
    </row>
    <row r="99" spans="1:1" ht="13" x14ac:dyDescent="0.3">
      <c r="A99" s="62" t="s">
        <v>1621</v>
      </c>
    </row>
    <row r="100" spans="1:1" x14ac:dyDescent="0.25">
      <c r="A100" s="47">
        <v>1</v>
      </c>
    </row>
    <row r="101" spans="1:1" x14ac:dyDescent="0.25">
      <c r="A101" s="38">
        <v>2</v>
      </c>
    </row>
    <row r="102" spans="1:1" x14ac:dyDescent="0.25">
      <c r="A102" s="38">
        <v>3</v>
      </c>
    </row>
    <row r="103" spans="1:1" x14ac:dyDescent="0.25">
      <c r="A103" s="38">
        <v>4</v>
      </c>
    </row>
    <row r="104" spans="1:1" x14ac:dyDescent="0.25">
      <c r="A104" s="37" t="str">
        <f>EUconst_NoTier</f>
        <v>Ei määrittämistasoa</v>
      </c>
    </row>
    <row r="105" spans="1:1" x14ac:dyDescent="0.25">
      <c r="A105" s="37" t="str">
        <f>EUconst_NA</f>
        <v>ei sovellettavissa</v>
      </c>
    </row>
    <row r="106" spans="1:1" x14ac:dyDescent="0.25">
      <c r="A106"/>
    </row>
    <row r="107" spans="1:1" ht="13" x14ac:dyDescent="0.3">
      <c r="A107" s="62" t="s">
        <v>1622</v>
      </c>
    </row>
    <row r="108" spans="1:1" x14ac:dyDescent="0.25">
      <c r="A108" s="38">
        <v>1</v>
      </c>
    </row>
    <row r="109" spans="1:1" x14ac:dyDescent="0.25">
      <c r="A109" s="37" t="s">
        <v>137</v>
      </c>
    </row>
    <row r="110" spans="1:1" x14ac:dyDescent="0.25">
      <c r="A110" s="37" t="str">
        <f>Translations!$B$125</f>
        <v>2b</v>
      </c>
    </row>
    <row r="111" spans="1:1" x14ac:dyDescent="0.25">
      <c r="A111" s="38">
        <v>3</v>
      </c>
    </row>
    <row r="112" spans="1:1" x14ac:dyDescent="0.25">
      <c r="A112" s="37" t="str">
        <f>EUconst_NoTier</f>
        <v>Ei määrittämistasoa</v>
      </c>
    </row>
    <row r="113" spans="1:7" x14ac:dyDescent="0.25">
      <c r="A113" s="37" t="str">
        <f>EUconst_NA</f>
        <v>ei sovellettavissa</v>
      </c>
    </row>
    <row r="114" spans="1:7" x14ac:dyDescent="0.25">
      <c r="A114"/>
    </row>
    <row r="115" spans="1:7" ht="13" x14ac:dyDescent="0.3">
      <c r="A115" s="62" t="s">
        <v>1623</v>
      </c>
    </row>
    <row r="116" spans="1:7" x14ac:dyDescent="0.25">
      <c r="A116" s="38">
        <v>1</v>
      </c>
    </row>
    <row r="117" spans="1:7" x14ac:dyDescent="0.25">
      <c r="A117" s="37" t="s">
        <v>137</v>
      </c>
    </row>
    <row r="118" spans="1:7" x14ac:dyDescent="0.25">
      <c r="A118" s="37" t="str">
        <f>Translations!$B$125</f>
        <v>2b</v>
      </c>
    </row>
    <row r="119" spans="1:7" x14ac:dyDescent="0.25">
      <c r="A119" s="38">
        <v>3</v>
      </c>
    </row>
    <row r="120" spans="1:7" x14ac:dyDescent="0.25">
      <c r="A120" s="37" t="str">
        <f>EUconst_NoTier</f>
        <v>Ei määrittämistasoa</v>
      </c>
    </row>
    <row r="121" spans="1:7" x14ac:dyDescent="0.25">
      <c r="A121" s="37" t="str">
        <f>EUconst_NA</f>
        <v>ei sovellettavissa</v>
      </c>
    </row>
    <row r="122" spans="1:7" x14ac:dyDescent="0.25">
      <c r="C122" s="16" t="s">
        <v>1624</v>
      </c>
    </row>
    <row r="123" spans="1:7" ht="13" x14ac:dyDescent="0.3">
      <c r="A123" s="62" t="s">
        <v>1625</v>
      </c>
      <c r="C123" s="52" t="str">
        <f>INDEX(UCFUnits,COLUMNS($C122:C122))</f>
        <v>GJ/t</v>
      </c>
      <c r="D123" s="52" t="str">
        <f>INDEX(UCFUnits,COLUMNS($C122:D122))</f>
        <v>GJ/1000Nm³</v>
      </c>
      <c r="E123" s="52" t="str">
        <f>INDEX(UCFUnits,COLUMNS($C122:E122))</f>
        <v>GJ/GWh (brutto)</v>
      </c>
      <c r="F123" s="52" t="str">
        <f>INDEX(UCFUnits,COLUMNS($C122:F122))</f>
        <v>GJ/litraa</v>
      </c>
      <c r="G123" s="52" t="str">
        <f>INDEX(UCFUnits,COLUMNS($C122:G122))</f>
        <v>t/litraa</v>
      </c>
    </row>
    <row r="124" spans="1:7" x14ac:dyDescent="0.25">
      <c r="A124" s="47" t="str">
        <f>EUconst_t</f>
        <v>t</v>
      </c>
      <c r="C124" s="304" t="str">
        <f>EUconst_GJ</f>
        <v>GJ</v>
      </c>
      <c r="D124" s="304" t="str">
        <f>EUconst_NA</f>
        <v>ei sovellettavissa</v>
      </c>
      <c r="E124" s="304" t="str">
        <f>EUconst_NA</f>
        <v>ei sovellettavissa</v>
      </c>
      <c r="F124" s="304" t="str">
        <f>EUconst_NA</f>
        <v>ei sovellettavissa</v>
      </c>
      <c r="G124" s="304" t="str">
        <f>EUconst_NA</f>
        <v>ei sovellettavissa</v>
      </c>
    </row>
    <row r="125" spans="1:7" x14ac:dyDescent="0.25">
      <c r="A125" s="47" t="str">
        <f>EUconst_kNm3</f>
        <v>1000Nm³</v>
      </c>
      <c r="C125" s="304" t="str">
        <f>EUconst_NA</f>
        <v>ei sovellettavissa</v>
      </c>
      <c r="D125" s="304" t="str">
        <f>EUconst_GJ</f>
        <v>GJ</v>
      </c>
      <c r="E125" s="304" t="str">
        <f>EUconst_NA</f>
        <v>ei sovellettavissa</v>
      </c>
      <c r="F125" s="304" t="str">
        <f>EUconst_NA</f>
        <v>ei sovellettavissa</v>
      </c>
      <c r="G125" s="304" t="str">
        <f>EUconst_NA</f>
        <v>ei sovellettavissa</v>
      </c>
    </row>
    <row r="126" spans="1:7" x14ac:dyDescent="0.25">
      <c r="A126" s="47" t="str">
        <f>EUconst_litres</f>
        <v>litraa</v>
      </c>
      <c r="C126" s="304" t="str">
        <f>EUconst_NA</f>
        <v>ei sovellettavissa</v>
      </c>
      <c r="D126" s="304" t="str">
        <f>EUconst_NA</f>
        <v>ei sovellettavissa</v>
      </c>
      <c r="E126" s="304" t="str">
        <f>EUconst_NA</f>
        <v>ei sovellettavissa</v>
      </c>
      <c r="F126" s="304" t="str">
        <f>EUconst_GJ</f>
        <v>GJ</v>
      </c>
      <c r="G126" s="304" t="str">
        <f>EUconst_t</f>
        <v>t</v>
      </c>
    </row>
    <row r="127" spans="1:7" x14ac:dyDescent="0.25">
      <c r="A127" s="47" t="str">
        <f>EUconst_TJ</f>
        <v>TJ</v>
      </c>
      <c r="C127" s="304" t="str">
        <f>EUconst_NA</f>
        <v>ei sovellettavissa</v>
      </c>
      <c r="D127" s="304" t="str">
        <f>EUconst_NA</f>
        <v>ei sovellettavissa</v>
      </c>
      <c r="E127" s="304" t="str">
        <f>EUconst_NA</f>
        <v>ei sovellettavissa</v>
      </c>
      <c r="F127" s="304" t="str">
        <f>EUconst_NA</f>
        <v>ei sovellettavissa</v>
      </c>
      <c r="G127" s="304" t="str">
        <f>EUconst_NA</f>
        <v>ei sovellettavissa</v>
      </c>
    </row>
    <row r="128" spans="1:7" x14ac:dyDescent="0.25">
      <c r="A128" s="47" t="str">
        <f>EUconst_GWhgross</f>
        <v>GWh (brutto)</v>
      </c>
      <c r="C128" s="304" t="str">
        <f>EUconst_NA</f>
        <v>ei sovellettavissa</v>
      </c>
      <c r="D128" s="304" t="str">
        <f>EUconst_NA</f>
        <v>ei sovellettavissa</v>
      </c>
      <c r="E128" s="304" t="str">
        <f>EUconst_GJ</f>
        <v>GJ</v>
      </c>
      <c r="F128" s="304" t="str">
        <f>EUconst_NA</f>
        <v>ei sovellettavissa</v>
      </c>
      <c r="G128" s="304" t="str">
        <f>EUconst_NA</f>
        <v>ei sovellettavissa</v>
      </c>
    </row>
    <row r="129" spans="1:8" x14ac:dyDescent="0.25">
      <c r="C129" s="64"/>
      <c r="D129" s="64"/>
      <c r="E129" s="64"/>
      <c r="F129" s="64"/>
      <c r="G129" s="64"/>
    </row>
    <row r="131" spans="1:8" ht="13" x14ac:dyDescent="0.3">
      <c r="A131" s="62" t="s">
        <v>1626</v>
      </c>
    </row>
    <row r="132" spans="1:8" x14ac:dyDescent="0.25">
      <c r="A132" s="47" t="str">
        <f>EUconst_GJ&amp;"/"&amp;EUconst_t</f>
        <v>GJ/t</v>
      </c>
    </row>
    <row r="133" spans="1:8" x14ac:dyDescent="0.25">
      <c r="A133" s="47" t="str">
        <f>EUconst_GJ&amp;"/"&amp;EUconst_kNm3</f>
        <v>GJ/1000Nm³</v>
      </c>
    </row>
    <row r="134" spans="1:8" x14ac:dyDescent="0.25">
      <c r="A134" s="47" t="str">
        <f>EUconst_GJ&amp;"/"&amp;EUconst_GWhgross</f>
        <v>GJ/GWh (brutto)</v>
      </c>
    </row>
    <row r="135" spans="1:8" x14ac:dyDescent="0.25">
      <c r="A135" s="47" t="str">
        <f>EUconst_GJ&amp;"/"&amp;EUconst_litres</f>
        <v>GJ/litraa</v>
      </c>
    </row>
    <row r="136" spans="1:8" x14ac:dyDescent="0.25">
      <c r="A136" s="47" t="str">
        <f>EUconst_t&amp;"/"&amp;EUconst_litres</f>
        <v>t/litraa</v>
      </c>
    </row>
    <row r="137" spans="1:8" x14ac:dyDescent="0.25">
      <c r="C137" s="16" t="s">
        <v>1627</v>
      </c>
    </row>
    <row r="138" spans="1:8" ht="13" x14ac:dyDescent="0.3">
      <c r="A138" s="62" t="s">
        <v>1628</v>
      </c>
      <c r="C138" s="303" t="str">
        <f>INDEX(RFAUnits,1)</f>
        <v>t</v>
      </c>
      <c r="D138" s="303" t="str">
        <f>INDEX(RFAUnits,2)</f>
        <v>1000Nm³</v>
      </c>
      <c r="E138" s="303" t="str">
        <f>INDEX(RFAUnits,3)</f>
        <v>litraa</v>
      </c>
      <c r="F138" s="303" t="str">
        <f>INDEX(RFAUnits,4)</f>
        <v>TJ</v>
      </c>
      <c r="G138" s="494" t="str">
        <f>EUconst_GJ</f>
        <v>GJ</v>
      </c>
      <c r="H138" s="303" t="str">
        <f>INDEX(RFAUnits,5)</f>
        <v>GWh (brutto)</v>
      </c>
    </row>
    <row r="139" spans="1:8" x14ac:dyDescent="0.25">
      <c r="A139" s="47" t="str">
        <f>EUconst_tCO2&amp;"/"&amp;EUconst_TJ</f>
        <v>tCO2/TJ</v>
      </c>
      <c r="C139" s="304" t="str">
        <f>EUconst_NA</f>
        <v>ei sovellettavissa</v>
      </c>
      <c r="D139" s="304" t="str">
        <f>EUconst_NA</f>
        <v>ei sovellettavissa</v>
      </c>
      <c r="E139" s="304" t="str">
        <f>EUconst_NA</f>
        <v>ei sovellettavissa</v>
      </c>
      <c r="F139" s="304">
        <v>1</v>
      </c>
      <c r="G139" s="304">
        <f>1/1000</f>
        <v>1E-3</v>
      </c>
      <c r="H139" s="304" t="str">
        <f>EUconst_NA</f>
        <v>ei sovellettavissa</v>
      </c>
    </row>
    <row r="140" spans="1:8" x14ac:dyDescent="0.25">
      <c r="A140" s="47" t="str">
        <f>EUconst_tCO2&amp;"/"&amp;EUconst_t</f>
        <v>tCO2/t</v>
      </c>
      <c r="C140" s="304">
        <v>1</v>
      </c>
      <c r="D140" s="304" t="str">
        <f>EUconst_NA</f>
        <v>ei sovellettavissa</v>
      </c>
      <c r="E140" s="304" t="str">
        <f>EUconst_NA</f>
        <v>ei sovellettavissa</v>
      </c>
      <c r="F140" s="304" t="str">
        <f>EUconst_NA</f>
        <v>ei sovellettavissa</v>
      </c>
      <c r="G140" s="304" t="str">
        <f>EUconst_NA</f>
        <v>ei sovellettavissa</v>
      </c>
      <c r="H140" s="304" t="str">
        <f>EUconst_NA</f>
        <v>ei sovellettavissa</v>
      </c>
    </row>
    <row r="141" spans="1:8" x14ac:dyDescent="0.25">
      <c r="A141" s="47" t="str">
        <f>EUconst_tCO2&amp;"/"&amp;EUconst_kNm3</f>
        <v>tCO2/1000Nm³</v>
      </c>
      <c r="C141" s="304" t="str">
        <f>EUconst_NA</f>
        <v>ei sovellettavissa</v>
      </c>
      <c r="D141" s="304">
        <v>1</v>
      </c>
      <c r="E141" s="304" t="str">
        <f>EUconst_NA</f>
        <v>ei sovellettavissa</v>
      </c>
      <c r="F141" s="304" t="str">
        <f>EUconst_NA</f>
        <v>ei sovellettavissa</v>
      </c>
      <c r="G141" s="304" t="str">
        <f>EUconst_NA</f>
        <v>ei sovellettavissa</v>
      </c>
      <c r="H141" s="304" t="str">
        <f>EUconst_NA</f>
        <v>ei sovellettavissa</v>
      </c>
    </row>
    <row r="142" spans="1:8" x14ac:dyDescent="0.25">
      <c r="A142" s="47" t="str">
        <f>EUconst_tCO2&amp;"/"&amp;EUconst_litres</f>
        <v>tCO2/litraa</v>
      </c>
      <c r="C142" s="304" t="str">
        <f>EUconst_NA</f>
        <v>ei sovellettavissa</v>
      </c>
      <c r="D142" s="304" t="str">
        <f>EUconst_NA</f>
        <v>ei sovellettavissa</v>
      </c>
      <c r="E142" s="304">
        <v>1</v>
      </c>
      <c r="F142" s="304" t="str">
        <f>EUconst_NA</f>
        <v>ei sovellettavissa</v>
      </c>
      <c r="G142" s="304" t="str">
        <f>EUconst_NA</f>
        <v>ei sovellettavissa</v>
      </c>
      <c r="H142" s="304" t="str">
        <f>EUconst_NA</f>
        <v>ei sovellettavissa</v>
      </c>
    </row>
    <row r="143" spans="1:8" x14ac:dyDescent="0.25">
      <c r="A143" s="47" t="str">
        <f>EUconst_tCO2&amp;"/"&amp;EUconst_GWhgross</f>
        <v>tCO2/GWh (brutto)</v>
      </c>
      <c r="C143" s="304" t="str">
        <f>EUconst_NA</f>
        <v>ei sovellettavissa</v>
      </c>
      <c r="D143" s="304" t="str">
        <f>EUconst_NA</f>
        <v>ei sovellettavissa</v>
      </c>
      <c r="E143" s="304" t="str">
        <f>EUconst_NA</f>
        <v>ei sovellettavissa</v>
      </c>
      <c r="F143" s="304" t="str">
        <f>EUconst_NA</f>
        <v>ei sovellettavissa</v>
      </c>
      <c r="G143" s="304" t="str">
        <f>EUconst_NA</f>
        <v>ei sovellettavissa</v>
      </c>
      <c r="H143" s="304">
        <v>1</v>
      </c>
    </row>
    <row r="145" spans="1:26" ht="13" x14ac:dyDescent="0.3">
      <c r="A145" s="62" t="s">
        <v>1629</v>
      </c>
    </row>
    <row r="146" spans="1:26" x14ac:dyDescent="0.25">
      <c r="A146" s="47" t="s">
        <v>1630</v>
      </c>
    </row>
    <row r="147" spans="1:26" x14ac:dyDescent="0.25">
      <c r="A147" s="47"/>
    </row>
    <row r="149" spans="1:26" s="63" customFormat="1" x14ac:dyDescent="0.25"/>
    <row r="151" spans="1:26" s="65" customFormat="1" ht="13" x14ac:dyDescent="0.3">
      <c r="B151" s="66" t="str">
        <f>Translations!$B$126</f>
        <v>Toimintotiedot</v>
      </c>
      <c r="C151" s="66"/>
      <c r="G151" s="67" t="str">
        <f>Translations!$B$127</f>
        <v>Määrittämistaso</v>
      </c>
      <c r="H151" s="67" t="str">
        <f>Translations!$B$127</f>
        <v>Määrittämistaso</v>
      </c>
      <c r="I151" s="67" t="str">
        <f>Translations!$B$127</f>
        <v>Määrittämistaso</v>
      </c>
      <c r="J151" s="67" t="str">
        <f>Translations!$B$127</f>
        <v>Määrittämistaso</v>
      </c>
      <c r="K151" s="67" t="str">
        <f>Translations!$B$127</f>
        <v>Määrittämistaso</v>
      </c>
      <c r="L151" s="67" t="str">
        <f>Translations!$B$127</f>
        <v>Määrittämistaso</v>
      </c>
      <c r="M151" s="67" t="str">
        <f>Translations!$B$127</f>
        <v>Määrittämistaso</v>
      </c>
      <c r="N151" s="67" t="str">
        <f>Translations!$B$127</f>
        <v>Määrittämistaso</v>
      </c>
      <c r="O151" s="67" t="str">
        <f>Translations!$B$127</f>
        <v>Määrittämistaso</v>
      </c>
    </row>
    <row r="152" spans="1:26" s="65" customFormat="1" ht="12.75" customHeight="1" x14ac:dyDescent="0.3">
      <c r="B152" s="66"/>
      <c r="C152" s="66" t="str">
        <f>Translations!$B$128</f>
        <v>Lyhyt nimi</v>
      </c>
      <c r="D152" s="66" t="str">
        <f>Translations!$B$129</f>
        <v>Alatoiminto</v>
      </c>
      <c r="E152" s="66" t="str">
        <f>Translations!$B$71</f>
        <v>Parametri</v>
      </c>
      <c r="F152" s="66"/>
      <c r="G152" s="67" t="str">
        <f>Translations!$B$130</f>
        <v>Vähintään</v>
      </c>
      <c r="H152" s="67">
        <v>1</v>
      </c>
      <c r="I152" s="67">
        <v>2</v>
      </c>
      <c r="J152" s="67" t="s">
        <v>137</v>
      </c>
      <c r="K152" s="67" t="str">
        <f>Translations!$B$125</f>
        <v>2b</v>
      </c>
      <c r="L152" s="67">
        <v>3</v>
      </c>
      <c r="M152" s="67" t="str">
        <f>Translations!$B$261</f>
        <v>3a</v>
      </c>
      <c r="N152" s="67" t="str">
        <f>Translations!$B$262</f>
        <v>3b</v>
      </c>
      <c r="O152" s="67">
        <v>4</v>
      </c>
      <c r="P152" s="67" t="str">
        <f>Translations!$B$131</f>
        <v>Enintään</v>
      </c>
      <c r="Q152" s="68"/>
      <c r="Z152" s="65" t="str">
        <f>Translations!$B$132</f>
        <v>harmaaksi?</v>
      </c>
    </row>
    <row r="153" spans="1:26" ht="12.75" customHeight="1" x14ac:dyDescent="0.25">
      <c r="A153" s="16">
        <v>1</v>
      </c>
      <c r="C153" s="12" t="str">
        <f>Translations!$B$133</f>
        <v>Poltto</v>
      </c>
      <c r="D153" s="12" t="str">
        <f>Translations!$B$134</f>
        <v>Kaupalliset peruspolttoaineet</v>
      </c>
      <c r="E153" s="12" t="str">
        <f>Translations!$B$263</f>
        <v>Polttoaineen määrä [t], [Nm3] tai [TJ]</v>
      </c>
      <c r="F153" s="71"/>
      <c r="G153" s="52">
        <v>2</v>
      </c>
      <c r="H153" s="69" t="str">
        <f>Translations!$B$135</f>
        <v>± 7,5%</v>
      </c>
      <c r="I153" s="69" t="str">
        <f>Translations!$B$136</f>
        <v>± 5,0%</v>
      </c>
      <c r="J153" s="12"/>
      <c r="K153" s="12"/>
      <c r="L153" s="69" t="str">
        <f>Translations!$B$137</f>
        <v>± 2,5%</v>
      </c>
      <c r="M153" s="69"/>
      <c r="N153" s="69"/>
      <c r="O153" s="69" t="str">
        <f>Translations!$B$138</f>
        <v>± 1,5%</v>
      </c>
      <c r="P153" s="52">
        <f>COUNTA(H153:O153)</f>
        <v>4</v>
      </c>
      <c r="Q153" s="70" t="str">
        <f>D153</f>
        <v>Kaupalliset peruspolttoaineet</v>
      </c>
      <c r="R153" s="12"/>
      <c r="S153" s="12" t="str">
        <f>EUconst_CNTR_ActivityData&amp;Q153</f>
        <v>ActivityData_Kaupalliset peruspolttoaineet</v>
      </c>
      <c r="Z153" s="16" t="b">
        <f>IF(G153=EUconst_NA,TRUE,FALSE)</f>
        <v>0</v>
      </c>
    </row>
    <row r="154" spans="1:26" ht="12.75" customHeight="1" x14ac:dyDescent="0.25">
      <c r="A154" s="16">
        <v>2</v>
      </c>
      <c r="C154" s="12" t="str">
        <f>C153</f>
        <v>Poltto</v>
      </c>
      <c r="D154" s="12" t="str">
        <f>Translations!$B$139</f>
        <v>Muut kaasumaiset ja nestemäiset polttoaineet</v>
      </c>
      <c r="E154" s="12" t="str">
        <f>Translations!$B$263</f>
        <v>Polttoaineen määrä [t], [Nm3] tai [TJ]</v>
      </c>
      <c r="F154" s="71"/>
      <c r="G154" s="52">
        <v>2</v>
      </c>
      <c r="H154" s="69" t="str">
        <f>Translations!$B$135</f>
        <v>± 7,5%</v>
      </c>
      <c r="I154" s="69" t="str">
        <f>Translations!$B$136</f>
        <v>± 5,0%</v>
      </c>
      <c r="J154" s="12"/>
      <c r="K154" s="12"/>
      <c r="L154" s="69" t="str">
        <f>Translations!$B$137</f>
        <v>± 2,5%</v>
      </c>
      <c r="M154" s="69"/>
      <c r="N154" s="69"/>
      <c r="O154" s="69" t="str">
        <f>Translations!$B$138</f>
        <v>± 1,5%</v>
      </c>
      <c r="P154" s="52">
        <f>COUNTA(H154:O154)</f>
        <v>4</v>
      </c>
      <c r="Q154" s="70" t="str">
        <f>D154</f>
        <v>Muut kaasumaiset ja nestemäiset polttoaineet</v>
      </c>
      <c r="R154" s="12"/>
      <c r="S154" s="12" t="str">
        <f>EUconst_CNTR_ActivityData&amp;Q154</f>
        <v>ActivityData_Muut kaasumaiset ja nestemäiset polttoaineet</v>
      </c>
      <c r="Z154" s="16" t="b">
        <f>IF(G154=EUconst_NA,TRUE,FALSE)</f>
        <v>0</v>
      </c>
    </row>
    <row r="155" spans="1:26" ht="12.75" customHeight="1" x14ac:dyDescent="0.25">
      <c r="A155" s="16">
        <v>3</v>
      </c>
      <c r="C155" s="12" t="str">
        <f>C154</f>
        <v>Poltto</v>
      </c>
      <c r="D155" s="12" t="str">
        <f>Translations!$B$140</f>
        <v>Kiinteät polttoaineet</v>
      </c>
      <c r="E155" s="12" t="str">
        <f>Translations!$B$263</f>
        <v>Polttoaineen määrä [t], [Nm3] tai [TJ]</v>
      </c>
      <c r="F155" s="71"/>
      <c r="G155" s="52">
        <v>1</v>
      </c>
      <c r="H155" s="69" t="str">
        <f>Translations!$B$135</f>
        <v>± 7,5%</v>
      </c>
      <c r="I155" s="69" t="str">
        <f>Translations!$B$136</f>
        <v>± 5,0%</v>
      </c>
      <c r="J155" s="12"/>
      <c r="K155" s="12"/>
      <c r="L155" s="69" t="str">
        <f>Translations!$B$137</f>
        <v>± 2,5%</v>
      </c>
      <c r="M155" s="69"/>
      <c r="N155" s="69"/>
      <c r="O155" s="69" t="str">
        <f>Translations!$B$138</f>
        <v>± 1,5%</v>
      </c>
      <c r="P155" s="52">
        <f>COUNTA(H155:O155)</f>
        <v>4</v>
      </c>
      <c r="Q155" s="70" t="str">
        <f>D155</f>
        <v>Kiinteät polttoaineet</v>
      </c>
      <c r="R155" s="12"/>
      <c r="S155" s="12" t="str">
        <f>EUconst_CNTR_ActivityData&amp;Q155</f>
        <v>ActivityData_Kiinteät polttoaineet</v>
      </c>
      <c r="Z155" s="16" t="b">
        <f>IF(G155=EUconst_NA,TRUE,FALSE)</f>
        <v>0</v>
      </c>
    </row>
    <row r="156" spans="1:26" x14ac:dyDescent="0.25">
      <c r="A156" s="16">
        <v>4</v>
      </c>
      <c r="C156" s="12" t="str">
        <f>C155</f>
        <v>Poltto</v>
      </c>
      <c r="D156" s="12" t="str">
        <f>Translations!$B$264</f>
        <v>Kaupallisia peruspolttoaineita vastaavat polttoaineet (75 k artiklan 2 kohta)</v>
      </c>
      <c r="E156" s="12" t="str">
        <f>Translations!$B$263</f>
        <v>Polttoaineen määrä [t], [Nm3] tai [TJ]</v>
      </c>
      <c r="F156" s="12"/>
      <c r="G156" s="52">
        <v>2</v>
      </c>
      <c r="H156" s="69" t="str">
        <f>Translations!$B$135</f>
        <v>± 7,5%</v>
      </c>
      <c r="I156" s="69" t="str">
        <f>Translations!$B$136</f>
        <v>± 5,0%</v>
      </c>
      <c r="J156" s="12"/>
      <c r="K156" s="12"/>
      <c r="L156" s="69" t="str">
        <f>Translations!$B$137</f>
        <v>± 2,5%</v>
      </c>
      <c r="M156" s="69"/>
      <c r="N156" s="69"/>
      <c r="O156" s="69" t="str">
        <f>Translations!$B$138</f>
        <v>± 1,5%</v>
      </c>
      <c r="P156" s="52">
        <f>COUNTA(H156:O156)</f>
        <v>4</v>
      </c>
      <c r="Q156" s="70" t="str">
        <f>D156</f>
        <v>Kaupallisia peruspolttoaineita vastaavat polttoaineet (75 k artiklan 2 kohta)</v>
      </c>
      <c r="R156" s="12"/>
      <c r="S156" s="12" t="str">
        <f>EUconst_CNTR_ActivityData&amp;Q156</f>
        <v>ActivityData_Kaupallisia peruspolttoaineita vastaavat polttoaineet (75 k artiklan 2 kohta)</v>
      </c>
      <c r="Z156" s="16" t="b">
        <f>IF(G156=EUconst_NA,TRUE,FALSE)</f>
        <v>0</v>
      </c>
    </row>
    <row r="158" spans="1:26" s="65" customFormat="1" ht="12.75" customHeight="1" x14ac:dyDescent="0.3">
      <c r="B158" s="66" t="str">
        <f>Translations!$B$217</f>
        <v>Soveltamisalakerroin</v>
      </c>
      <c r="C158" s="66" t="str">
        <f>Translations!$B$128</f>
        <v>Lyhyt nimi</v>
      </c>
      <c r="D158" s="66" t="str">
        <f>Translations!$B$129</f>
        <v>Alatoiminto</v>
      </c>
      <c r="E158" s="66" t="str">
        <f>Translations!$B$71</f>
        <v>Parametri</v>
      </c>
      <c r="F158" s="231"/>
      <c r="G158" s="67" t="str">
        <f>Translations!$B$130</f>
        <v>Vähintään</v>
      </c>
      <c r="H158" s="67">
        <v>1</v>
      </c>
      <c r="I158" s="67">
        <v>2</v>
      </c>
      <c r="J158" s="67" t="s">
        <v>137</v>
      </c>
      <c r="K158" s="67" t="str">
        <f>Translations!$B$125</f>
        <v>2b</v>
      </c>
      <c r="L158" s="67">
        <v>3</v>
      </c>
      <c r="M158" s="67" t="str">
        <f>Translations!$B$261</f>
        <v>3a</v>
      </c>
      <c r="N158" s="67" t="str">
        <f>Translations!$B$262</f>
        <v>3b</v>
      </c>
      <c r="O158" s="67">
        <v>4</v>
      </c>
      <c r="P158" s="67" t="str">
        <f>Translations!$B$131</f>
        <v>Enintään</v>
      </c>
      <c r="Q158" s="68"/>
      <c r="Z158" s="65" t="str">
        <f>Translations!$B$132</f>
        <v>harmaaksi?</v>
      </c>
    </row>
    <row r="159" spans="1:26" x14ac:dyDescent="0.25">
      <c r="A159" s="16">
        <v>1</v>
      </c>
      <c r="C159" s="12" t="str">
        <f>C153</f>
        <v>Poltto</v>
      </c>
      <c r="D159" s="12" t="str">
        <f>D153</f>
        <v>Kaupalliset peruspolttoaineet</v>
      </c>
      <c r="E159" s="12" t="str">
        <f>E153</f>
        <v>Polttoaineen määrä [t], [Nm3] tai [TJ]</v>
      </c>
      <c r="F159" s="12"/>
      <c r="G159" s="52">
        <v>3</v>
      </c>
      <c r="H159" s="242" t="s">
        <v>1631</v>
      </c>
      <c r="I159" s="242" t="str">
        <f>Translations!$B$218</f>
        <v>Määrittämistason 2 menetelmät</v>
      </c>
      <c r="J159" s="242"/>
      <c r="K159" s="242"/>
      <c r="L159" s="242" t="str">
        <f>Translations!$B$265</f>
        <v>Määrittämistason 3 menetelmät</v>
      </c>
      <c r="M159" s="242"/>
      <c r="N159" s="242"/>
      <c r="O159" s="47"/>
      <c r="P159" s="52">
        <v>3</v>
      </c>
      <c r="Q159" s="70" t="str">
        <f>D159</f>
        <v>Kaupalliset peruspolttoaineet</v>
      </c>
      <c r="R159" s="12"/>
      <c r="S159" s="12" t="str">
        <f>EUconst_CNTR_ScopeFactor&amp;Q159</f>
        <v>ScopeFactor_Kaupalliset peruspolttoaineet</v>
      </c>
      <c r="Z159" s="16" t="b">
        <f>IF(G159=EUconst_NA,TRUE,FALSE)</f>
        <v>0</v>
      </c>
    </row>
    <row r="160" spans="1:26" x14ac:dyDescent="0.25">
      <c r="A160" s="16">
        <v>2</v>
      </c>
      <c r="C160" s="12" t="str">
        <f t="shared" ref="C160:E162" si="2">C154</f>
        <v>Poltto</v>
      </c>
      <c r="D160" s="12" t="str">
        <f t="shared" si="2"/>
        <v>Muut kaasumaiset ja nestemäiset polttoaineet</v>
      </c>
      <c r="E160" s="12" t="str">
        <f t="shared" si="2"/>
        <v>Polttoaineen määrä [t], [Nm3] tai [TJ]</v>
      </c>
      <c r="F160" s="12"/>
      <c r="G160" s="52">
        <v>3</v>
      </c>
      <c r="H160" s="242" t="s">
        <v>1631</v>
      </c>
      <c r="I160" s="242" t="str">
        <f>Translations!$B$218</f>
        <v>Määrittämistason 2 menetelmät</v>
      </c>
      <c r="J160" s="242"/>
      <c r="K160" s="242"/>
      <c r="L160" s="242" t="str">
        <f>Translations!$B$265</f>
        <v>Määrittämistason 3 menetelmät</v>
      </c>
      <c r="M160" s="242"/>
      <c r="N160" s="242"/>
      <c r="O160" s="47"/>
      <c r="P160" s="52">
        <v>3</v>
      </c>
      <c r="Q160" s="70" t="str">
        <f>D160</f>
        <v>Muut kaasumaiset ja nestemäiset polttoaineet</v>
      </c>
      <c r="R160" s="12"/>
      <c r="S160" s="12" t="str">
        <f>EUconst_CNTR_ScopeFactor&amp;Q160</f>
        <v>ScopeFactor_Muut kaasumaiset ja nestemäiset polttoaineet</v>
      </c>
      <c r="Z160" s="16" t="b">
        <f>IF(G160=EUconst_NA,TRUE,FALSE)</f>
        <v>0</v>
      </c>
    </row>
    <row r="161" spans="1:44" x14ac:dyDescent="0.25">
      <c r="A161" s="16">
        <v>3</v>
      </c>
      <c r="C161" s="12" t="str">
        <f t="shared" si="2"/>
        <v>Poltto</v>
      </c>
      <c r="D161" s="12" t="str">
        <f t="shared" si="2"/>
        <v>Kiinteät polttoaineet</v>
      </c>
      <c r="E161" s="12" t="str">
        <f t="shared" si="2"/>
        <v>Polttoaineen määrä [t], [Nm3] tai [TJ]</v>
      </c>
      <c r="F161" s="12"/>
      <c r="G161" s="52">
        <v>3</v>
      </c>
      <c r="H161" s="242" t="s">
        <v>1631</v>
      </c>
      <c r="I161" s="242" t="str">
        <f>Translations!$B$218</f>
        <v>Määrittämistason 2 menetelmät</v>
      </c>
      <c r="J161" s="242"/>
      <c r="K161" s="242"/>
      <c r="L161" s="242" t="str">
        <f>Translations!$B$265</f>
        <v>Määrittämistason 3 menetelmät</v>
      </c>
      <c r="M161" s="242"/>
      <c r="N161" s="242"/>
      <c r="O161" s="47"/>
      <c r="P161" s="52">
        <v>3</v>
      </c>
      <c r="Q161" s="70" t="str">
        <f>D161</f>
        <v>Kiinteät polttoaineet</v>
      </c>
      <c r="R161" s="12"/>
      <c r="S161" s="12" t="str">
        <f>EUconst_CNTR_ScopeFactor&amp;Q161</f>
        <v>ScopeFactor_Kiinteät polttoaineet</v>
      </c>
      <c r="Z161" s="16" t="b">
        <f>IF(G161=EUconst_NA,TRUE,FALSE)</f>
        <v>0</v>
      </c>
    </row>
    <row r="162" spans="1:44" x14ac:dyDescent="0.25">
      <c r="A162" s="16">
        <v>4</v>
      </c>
      <c r="C162" s="12" t="str">
        <f t="shared" si="2"/>
        <v>Poltto</v>
      </c>
      <c r="D162" s="12" t="str">
        <f>Translations!$B$264</f>
        <v>Kaupallisia peruspolttoaineita vastaavat polttoaineet (75 k artiklan 2 kohta)</v>
      </c>
      <c r="E162" s="12" t="str">
        <f t="shared" si="2"/>
        <v>Polttoaineen määrä [t], [Nm3] tai [TJ]</v>
      </c>
      <c r="F162" s="12"/>
      <c r="G162" s="52">
        <v>3</v>
      </c>
      <c r="H162" s="242" t="s">
        <v>1631</v>
      </c>
      <c r="I162" s="242" t="str">
        <f>Translations!$B$218</f>
        <v>Määrittämistason 2 menetelmät</v>
      </c>
      <c r="J162" s="242"/>
      <c r="K162" s="242"/>
      <c r="L162" s="242" t="str">
        <f>Translations!$B$265</f>
        <v>Määrittämistason 3 menetelmät</v>
      </c>
      <c r="M162" s="242"/>
      <c r="N162" s="242"/>
      <c r="O162" s="47"/>
      <c r="P162" s="52">
        <v>3</v>
      </c>
      <c r="Q162" s="70" t="str">
        <f>D162</f>
        <v>Kaupallisia peruspolttoaineita vastaavat polttoaineet (75 k artiklan 2 kohta)</v>
      </c>
      <c r="R162" s="12"/>
      <c r="S162" s="12" t="str">
        <f>EUconst_CNTR_ScopeFactor&amp;Q162</f>
        <v>ScopeFactor_Kaupallisia peruspolttoaineita vastaavat polttoaineet (75 k artiklan 2 kohta)</v>
      </c>
      <c r="Z162" s="16" t="b">
        <f>IF(G162=EUconst_NA,TRUE,FALSE)</f>
        <v>0</v>
      </c>
    </row>
    <row r="164" spans="1:44" s="65" customFormat="1" ht="12.75" customHeight="1" x14ac:dyDescent="0.3">
      <c r="B164" s="66" t="str">
        <f>Translations!$B$141</f>
        <v>Päästökerroin</v>
      </c>
      <c r="C164" s="66" t="str">
        <f>Translations!$B$128</f>
        <v>Lyhyt nimi</v>
      </c>
      <c r="D164" s="66" t="str">
        <f>Translations!$B$129</f>
        <v>Alatoiminto</v>
      </c>
      <c r="E164" s="66" t="str">
        <f>Translations!$B$71</f>
        <v>Parametri</v>
      </c>
      <c r="F164" s="231"/>
      <c r="G164" s="67" t="str">
        <f>Translations!$B$130</f>
        <v>Vähintään</v>
      </c>
      <c r="H164" s="67">
        <v>1</v>
      </c>
      <c r="I164" s="67">
        <v>2</v>
      </c>
      <c r="J164" s="67" t="s">
        <v>137</v>
      </c>
      <c r="K164" s="67" t="str">
        <f>Translations!$B$125</f>
        <v>2b</v>
      </c>
      <c r="L164" s="67">
        <v>3</v>
      </c>
      <c r="M164" s="67" t="str">
        <f>Translations!$B$261</f>
        <v>3a</v>
      </c>
      <c r="N164" s="67" t="str">
        <f>Translations!$B$262</f>
        <v>3b</v>
      </c>
      <c r="O164" s="67">
        <v>4</v>
      </c>
      <c r="P164" s="67" t="str">
        <f>Translations!$B$131</f>
        <v>Enintään</v>
      </c>
      <c r="Q164" s="68"/>
      <c r="Z164" s="65" t="str">
        <f>Translations!$B$132</f>
        <v>harmaaksi?</v>
      </c>
      <c r="AK164" s="65" t="s">
        <v>1632</v>
      </c>
      <c r="AL164" s="102">
        <v>1</v>
      </c>
      <c r="AM164" s="102">
        <v>2</v>
      </c>
      <c r="AN164" s="102" t="s">
        <v>137</v>
      </c>
      <c r="AO164" s="102" t="str">
        <f>Translations!$B$125</f>
        <v>2b</v>
      </c>
      <c r="AP164" s="102">
        <v>3</v>
      </c>
      <c r="AQ164" s="102" t="str">
        <f>Translations!$B$261</f>
        <v>3a</v>
      </c>
      <c r="AR164" s="102" t="str">
        <f>Translations!$B$262</f>
        <v>3b</v>
      </c>
    </row>
    <row r="165" spans="1:44" x14ac:dyDescent="0.25">
      <c r="A165" s="16">
        <v>1</v>
      </c>
      <c r="C165" s="12" t="str">
        <f t="shared" ref="C165:E168" si="3">C159</f>
        <v>Poltto</v>
      </c>
      <c r="D165" s="12" t="str">
        <f t="shared" si="3"/>
        <v>Kaupalliset peruspolttoaineet</v>
      </c>
      <c r="E165" s="12" t="str">
        <f t="shared" si="3"/>
        <v>Polttoaineen määrä [t], [Nm3] tai [TJ]</v>
      </c>
      <c r="F165" s="12"/>
      <c r="G165" s="52" t="s">
        <v>1633</v>
      </c>
      <c r="H165" s="242" t="str">
        <f>Translations!$B$72</f>
        <v>Tyypin I oletusarvot</v>
      </c>
      <c r="I165" s="242"/>
      <c r="J165" s="242" t="str">
        <f>Translations!$B$76</f>
        <v>Tyypin II oletusarvot</v>
      </c>
      <c r="K165" s="242"/>
      <c r="L165" s="242" t="str">
        <f>Translations!$B$75</f>
        <v>Laboratorioanalyysit</v>
      </c>
      <c r="M165" s="242"/>
      <c r="N165" s="242"/>
      <c r="O165" s="47"/>
      <c r="P165" s="52" t="str">
        <f>G165</f>
        <v>2a/2b</v>
      </c>
      <c r="Q165" s="70" t="str">
        <f>D165</f>
        <v>Kaupalliset peruspolttoaineet</v>
      </c>
      <c r="R165" s="12"/>
      <c r="S165" s="12" t="str">
        <f>EUconst_CNTR_EF&amp;Q165</f>
        <v>EF_Kaupalliset peruspolttoaineet</v>
      </c>
      <c r="Z165" s="16" t="b">
        <f>IF(G165=EUconst_NA,TRUE,FALSE)</f>
        <v>0</v>
      </c>
      <c r="AL165" s="64">
        <v>1</v>
      </c>
      <c r="AM165" s="64"/>
      <c r="AN165" s="64">
        <v>1</v>
      </c>
      <c r="AO165" s="64"/>
      <c r="AP165" s="64">
        <v>2</v>
      </c>
      <c r="AQ165" s="64"/>
      <c r="AR165" s="64"/>
    </row>
    <row r="166" spans="1:44" x14ac:dyDescent="0.25">
      <c r="A166" s="16">
        <v>2</v>
      </c>
      <c r="C166" s="12" t="str">
        <f t="shared" si="3"/>
        <v>Poltto</v>
      </c>
      <c r="D166" s="12" t="str">
        <f t="shared" si="3"/>
        <v>Muut kaasumaiset ja nestemäiset polttoaineet</v>
      </c>
      <c r="E166" s="12" t="str">
        <f t="shared" si="3"/>
        <v>Polttoaineen määrä [t], [Nm3] tai [TJ]</v>
      </c>
      <c r="F166" s="12"/>
      <c r="G166" s="52" t="s">
        <v>1633</v>
      </c>
      <c r="H166" s="242" t="str">
        <f>Translations!$B$72</f>
        <v>Tyypin I oletusarvot</v>
      </c>
      <c r="I166" s="242"/>
      <c r="J166" s="242" t="str">
        <f>Translations!$B$76</f>
        <v>Tyypin II oletusarvot</v>
      </c>
      <c r="K166" s="242"/>
      <c r="L166" s="242" t="str">
        <f>Translations!$B$75</f>
        <v>Laboratorioanalyysit</v>
      </c>
      <c r="M166" s="242"/>
      <c r="N166" s="242"/>
      <c r="O166" s="47"/>
      <c r="P166" s="52">
        <v>3</v>
      </c>
      <c r="Q166" s="70" t="str">
        <f>D166</f>
        <v>Muut kaasumaiset ja nestemäiset polttoaineet</v>
      </c>
      <c r="R166" s="12"/>
      <c r="S166" s="12" t="str">
        <f>EUconst_CNTR_EF&amp;Q166</f>
        <v>EF_Muut kaasumaiset ja nestemäiset polttoaineet</v>
      </c>
      <c r="Z166" s="16" t="b">
        <f>IF(G166=EUconst_NA,TRUE,FALSE)</f>
        <v>0</v>
      </c>
      <c r="AL166" s="64">
        <v>1</v>
      </c>
      <c r="AM166" s="64"/>
      <c r="AN166" s="64">
        <v>1</v>
      </c>
      <c r="AO166" s="64"/>
      <c r="AP166" s="64">
        <v>2</v>
      </c>
      <c r="AQ166" s="64"/>
      <c r="AR166" s="64"/>
    </row>
    <row r="167" spans="1:44" x14ac:dyDescent="0.25">
      <c r="A167" s="16">
        <v>3</v>
      </c>
      <c r="C167" s="12" t="str">
        <f t="shared" si="3"/>
        <v>Poltto</v>
      </c>
      <c r="D167" s="12" t="str">
        <f t="shared" si="3"/>
        <v>Kiinteät polttoaineet</v>
      </c>
      <c r="E167" s="12" t="str">
        <f t="shared" si="3"/>
        <v>Polttoaineen määrä [t], [Nm3] tai [TJ]</v>
      </c>
      <c r="F167" s="12"/>
      <c r="G167" s="52" t="s">
        <v>1633</v>
      </c>
      <c r="H167" s="242" t="str">
        <f>Translations!$B$72</f>
        <v>Tyypin I oletusarvot</v>
      </c>
      <c r="I167" s="242"/>
      <c r="J167" s="242" t="str">
        <f>Translations!$B$76</f>
        <v>Tyypin II oletusarvot</v>
      </c>
      <c r="K167" s="242" t="str">
        <f>Translations!$B$142</f>
        <v>Vakiintuneet mallit (jos sovellettavissa)</v>
      </c>
      <c r="L167" s="242" t="str">
        <f>Translations!$B$75</f>
        <v>Laboratorioanalyysit</v>
      </c>
      <c r="M167" s="242"/>
      <c r="N167" s="242"/>
      <c r="O167" s="47"/>
      <c r="P167" s="52">
        <v>3</v>
      </c>
      <c r="Q167" s="70" t="str">
        <f>D167</f>
        <v>Kiinteät polttoaineet</v>
      </c>
      <c r="R167" s="12"/>
      <c r="S167" s="12" t="str">
        <f>EUconst_CNTR_EF&amp;Q167</f>
        <v>EF_Kiinteät polttoaineet</v>
      </c>
      <c r="Z167" s="16" t="b">
        <f>IF(G167=EUconst_NA,TRUE,FALSE)</f>
        <v>0</v>
      </c>
      <c r="AL167" s="64">
        <v>1</v>
      </c>
      <c r="AM167" s="64"/>
      <c r="AN167" s="64">
        <v>1</v>
      </c>
      <c r="AO167" s="64"/>
      <c r="AP167" s="64">
        <v>2</v>
      </c>
      <c r="AQ167" s="64"/>
      <c r="AR167" s="64"/>
    </row>
    <row r="168" spans="1:44" x14ac:dyDescent="0.25">
      <c r="A168" s="16">
        <v>4</v>
      </c>
      <c r="C168" s="12" t="str">
        <f t="shared" si="3"/>
        <v>Poltto</v>
      </c>
      <c r="D168" s="12" t="str">
        <f>Translations!$B$264</f>
        <v>Kaupallisia peruspolttoaineita vastaavat polttoaineet (75 k artiklan 2 kohta)</v>
      </c>
      <c r="E168" s="12" t="str">
        <f t="shared" si="3"/>
        <v>Polttoaineen määrä [t], [Nm3] tai [TJ]</v>
      </c>
      <c r="F168" s="12"/>
      <c r="G168" s="52" t="s">
        <v>1633</v>
      </c>
      <c r="H168" s="242" t="str">
        <f>Translations!$B$72</f>
        <v>Tyypin I oletusarvot</v>
      </c>
      <c r="I168" s="242"/>
      <c r="J168" s="242" t="str">
        <f>Translations!$B$76</f>
        <v>Tyypin II oletusarvot</v>
      </c>
      <c r="K168" s="242"/>
      <c r="L168" s="242" t="str">
        <f>Translations!$B$75</f>
        <v>Laboratorioanalyysit</v>
      </c>
      <c r="M168" s="242"/>
      <c r="N168" s="242"/>
      <c r="O168" s="47"/>
      <c r="P168" s="52" t="str">
        <f>G168</f>
        <v>2a/2b</v>
      </c>
      <c r="Q168" s="70" t="str">
        <f>D168</f>
        <v>Kaupallisia peruspolttoaineita vastaavat polttoaineet (75 k artiklan 2 kohta)</v>
      </c>
      <c r="R168" s="12"/>
      <c r="S168" s="12" t="str">
        <f>EUconst_CNTR_EF&amp;Q168</f>
        <v>EF_Kaupallisia peruspolttoaineita vastaavat polttoaineet (75 k artiklan 2 kohta)</v>
      </c>
      <c r="Z168" s="16" t="b">
        <f>IF(G168=EUconst_NA,TRUE,FALSE)</f>
        <v>0</v>
      </c>
      <c r="AL168" s="64">
        <v>1</v>
      </c>
      <c r="AM168" s="64"/>
      <c r="AN168" s="64">
        <v>1</v>
      </c>
      <c r="AO168" s="64"/>
      <c r="AP168" s="64">
        <v>2</v>
      </c>
      <c r="AQ168" s="64"/>
      <c r="AR168" s="64"/>
    </row>
    <row r="169" spans="1:44" x14ac:dyDescent="0.25">
      <c r="AL169" s="64"/>
      <c r="AM169" s="64"/>
      <c r="AN169" s="64"/>
      <c r="AO169" s="64"/>
      <c r="AP169" s="64"/>
      <c r="AQ169" s="64"/>
      <c r="AR169" s="64"/>
    </row>
    <row r="170" spans="1:44" s="65" customFormat="1" ht="12.75" customHeight="1" x14ac:dyDescent="0.3">
      <c r="B170" s="66" t="str">
        <f>Translations!$B$232</f>
        <v>Yksikön muuntokerroin</v>
      </c>
      <c r="C170" s="66" t="str">
        <f>Translations!$B$128</f>
        <v>Lyhyt nimi</v>
      </c>
      <c r="D170" s="66" t="str">
        <f>Translations!$B$129</f>
        <v>Alatoiminto</v>
      </c>
      <c r="E170" s="66" t="str">
        <f>Translations!$B$71</f>
        <v>Parametri</v>
      </c>
      <c r="F170" s="231"/>
      <c r="G170" s="67" t="str">
        <f>Translations!$B$130</f>
        <v>Vähintään</v>
      </c>
      <c r="H170" s="67">
        <v>1</v>
      </c>
      <c r="I170" s="67">
        <v>2</v>
      </c>
      <c r="J170" s="67" t="s">
        <v>137</v>
      </c>
      <c r="K170" s="67" t="str">
        <f>Translations!$B$125</f>
        <v>2b</v>
      </c>
      <c r="L170" s="67">
        <v>3</v>
      </c>
      <c r="M170" s="67" t="str">
        <f>Translations!$B$261</f>
        <v>3a</v>
      </c>
      <c r="N170" s="67" t="str">
        <f>Translations!$B$262</f>
        <v>3b</v>
      </c>
      <c r="O170" s="67">
        <v>4</v>
      </c>
      <c r="P170" s="67" t="str">
        <f>Translations!$B$131</f>
        <v>Enintään</v>
      </c>
      <c r="Q170" s="68"/>
      <c r="Z170" s="65" t="str">
        <f>Translations!$B$132</f>
        <v>harmaaksi?</v>
      </c>
      <c r="AK170" s="65" t="s">
        <v>1632</v>
      </c>
      <c r="AL170" s="102">
        <v>1</v>
      </c>
      <c r="AM170" s="102">
        <v>2</v>
      </c>
      <c r="AN170" s="102" t="s">
        <v>137</v>
      </c>
      <c r="AO170" s="102" t="str">
        <f>Translations!$B$125</f>
        <v>2b</v>
      </c>
      <c r="AP170" s="102">
        <v>3</v>
      </c>
      <c r="AQ170" s="102" t="str">
        <f>Translations!$B$261</f>
        <v>3a</v>
      </c>
      <c r="AR170" s="102" t="str">
        <f>Translations!$B$262</f>
        <v>3b</v>
      </c>
    </row>
    <row r="171" spans="1:44" x14ac:dyDescent="0.25">
      <c r="A171" s="16">
        <v>1</v>
      </c>
      <c r="C171" s="12" t="str">
        <f t="shared" ref="C171:E174" si="4">C165</f>
        <v>Poltto</v>
      </c>
      <c r="D171" s="12" t="str">
        <f t="shared" si="4"/>
        <v>Kaupalliset peruspolttoaineet</v>
      </c>
      <c r="E171" s="12" t="str">
        <f t="shared" si="4"/>
        <v>Polttoaineen määrä [t], [Nm3] tai [TJ]</v>
      </c>
      <c r="F171" s="12"/>
      <c r="G171" s="52" t="s">
        <v>1633</v>
      </c>
      <c r="H171" s="242" t="str">
        <f>Translations!$B$72</f>
        <v>Tyypin I oletusarvot</v>
      </c>
      <c r="I171" s="242"/>
      <c r="J171" s="242" t="str">
        <f>Translations!$B$76</f>
        <v>Tyypin II oletusarvot</v>
      </c>
      <c r="K171" s="242" t="str">
        <f>Translations!$B$142</f>
        <v>Vakiintuneet mallit (jos sovellettavissa)</v>
      </c>
      <c r="L171" s="242" t="str">
        <f>Translations!$B$75</f>
        <v>Laboratorioanalyysit</v>
      </c>
      <c r="M171" s="242"/>
      <c r="N171" s="242"/>
      <c r="O171" s="47"/>
      <c r="P171" s="52" t="str">
        <f>G171</f>
        <v>2a/2b</v>
      </c>
      <c r="Q171" s="70" t="str">
        <f>D171</f>
        <v>Kaupalliset peruspolttoaineet</v>
      </c>
      <c r="R171" s="12"/>
      <c r="S171" s="12" t="str">
        <f>EUconst_CNTR_UCF&amp;Q171</f>
        <v>UCF_Kaupalliset peruspolttoaineet</v>
      </c>
      <c r="Z171" s="16" t="b">
        <f>IF(G171=EUconst_NA,TRUE,FALSE)</f>
        <v>0</v>
      </c>
      <c r="AL171" s="64">
        <v>1</v>
      </c>
      <c r="AM171" s="64"/>
      <c r="AN171" s="64">
        <v>1</v>
      </c>
      <c r="AO171" s="64"/>
      <c r="AP171" s="64">
        <v>2</v>
      </c>
      <c r="AQ171" s="64"/>
      <c r="AR171" s="64"/>
    </row>
    <row r="172" spans="1:44" x14ac:dyDescent="0.25">
      <c r="A172" s="16">
        <v>2</v>
      </c>
      <c r="C172" s="12" t="str">
        <f t="shared" si="4"/>
        <v>Poltto</v>
      </c>
      <c r="D172" s="12" t="str">
        <f t="shared" si="4"/>
        <v>Muut kaasumaiset ja nestemäiset polttoaineet</v>
      </c>
      <c r="E172" s="12" t="str">
        <f t="shared" si="4"/>
        <v>Polttoaineen määrä [t], [Nm3] tai [TJ]</v>
      </c>
      <c r="F172" s="12"/>
      <c r="G172" s="52" t="s">
        <v>1633</v>
      </c>
      <c r="H172" s="242" t="str">
        <f>Translations!$B$72</f>
        <v>Tyypin I oletusarvot</v>
      </c>
      <c r="I172" s="242"/>
      <c r="J172" s="242" t="str">
        <f>Translations!$B$76</f>
        <v>Tyypin II oletusarvot</v>
      </c>
      <c r="K172" s="242" t="str">
        <f>Translations!$B$142</f>
        <v>Vakiintuneet mallit (jos sovellettavissa)</v>
      </c>
      <c r="L172" s="242" t="str">
        <f>Translations!$B$75</f>
        <v>Laboratorioanalyysit</v>
      </c>
      <c r="M172" s="242"/>
      <c r="N172" s="242"/>
      <c r="O172" s="47"/>
      <c r="P172" s="52">
        <v>3</v>
      </c>
      <c r="Q172" s="70" t="str">
        <f>D172</f>
        <v>Muut kaasumaiset ja nestemäiset polttoaineet</v>
      </c>
      <c r="R172" s="12"/>
      <c r="S172" s="12" t="str">
        <f>EUconst_CNTR_UCF&amp;Q172</f>
        <v>UCF_Muut kaasumaiset ja nestemäiset polttoaineet</v>
      </c>
      <c r="Z172" s="16" t="b">
        <f>IF(G172=EUconst_NA,TRUE,FALSE)</f>
        <v>0</v>
      </c>
      <c r="AL172" s="64">
        <v>1</v>
      </c>
      <c r="AM172" s="64"/>
      <c r="AN172" s="64">
        <v>1</v>
      </c>
      <c r="AO172" s="64"/>
      <c r="AP172" s="64">
        <v>2</v>
      </c>
      <c r="AQ172" s="64"/>
      <c r="AR172" s="64"/>
    </row>
    <row r="173" spans="1:44" x14ac:dyDescent="0.25">
      <c r="A173" s="16">
        <v>3</v>
      </c>
      <c r="C173" s="12" t="str">
        <f t="shared" si="4"/>
        <v>Poltto</v>
      </c>
      <c r="D173" s="12" t="str">
        <f t="shared" si="4"/>
        <v>Kiinteät polttoaineet</v>
      </c>
      <c r="E173" s="12" t="str">
        <f t="shared" si="4"/>
        <v>Polttoaineen määrä [t], [Nm3] tai [TJ]</v>
      </c>
      <c r="F173" s="12"/>
      <c r="G173" s="52" t="s">
        <v>1633</v>
      </c>
      <c r="H173" s="242" t="str">
        <f>Translations!$B$72</f>
        <v>Tyypin I oletusarvot</v>
      </c>
      <c r="I173" s="242"/>
      <c r="J173" s="242" t="str">
        <f>Translations!$B$76</f>
        <v>Tyypin II oletusarvot</v>
      </c>
      <c r="K173" s="242" t="str">
        <f>Translations!$B$142</f>
        <v>Vakiintuneet mallit (jos sovellettavissa)</v>
      </c>
      <c r="L173" s="242" t="str">
        <f>Translations!$B$75</f>
        <v>Laboratorioanalyysit</v>
      </c>
      <c r="M173" s="242"/>
      <c r="N173" s="242"/>
      <c r="O173" s="47"/>
      <c r="P173" s="52">
        <v>3</v>
      </c>
      <c r="Q173" s="70" t="str">
        <f>D173</f>
        <v>Kiinteät polttoaineet</v>
      </c>
      <c r="R173" s="12"/>
      <c r="S173" s="12" t="str">
        <f>EUconst_CNTR_UCF&amp;Q173</f>
        <v>UCF_Kiinteät polttoaineet</v>
      </c>
      <c r="Z173" s="16" t="b">
        <f>IF(G173=EUconst_NA,TRUE,FALSE)</f>
        <v>0</v>
      </c>
      <c r="AL173" s="64">
        <v>1</v>
      </c>
      <c r="AM173" s="64"/>
      <c r="AN173" s="64">
        <v>1</v>
      </c>
      <c r="AO173" s="64"/>
      <c r="AP173" s="64">
        <v>2</v>
      </c>
      <c r="AQ173" s="64"/>
      <c r="AR173" s="64"/>
    </row>
    <row r="174" spans="1:44" x14ac:dyDescent="0.25">
      <c r="A174" s="16">
        <v>4</v>
      </c>
      <c r="C174" s="12" t="str">
        <f t="shared" si="4"/>
        <v>Poltto</v>
      </c>
      <c r="D174" s="12" t="str">
        <f>Translations!$B$264</f>
        <v>Kaupallisia peruspolttoaineita vastaavat polttoaineet (75 k artiklan 2 kohta)</v>
      </c>
      <c r="E174" s="12" t="str">
        <f t="shared" si="4"/>
        <v>Polttoaineen määrä [t], [Nm3] tai [TJ]</v>
      </c>
      <c r="F174" s="12"/>
      <c r="G174" s="52" t="s">
        <v>1633</v>
      </c>
      <c r="H174" s="242" t="str">
        <f>Translations!$B$72</f>
        <v>Tyypin I oletusarvot</v>
      </c>
      <c r="I174" s="242"/>
      <c r="J174" s="242" t="str">
        <f>Translations!$B$76</f>
        <v>Tyypin II oletusarvot</v>
      </c>
      <c r="K174" s="242" t="str">
        <f>Translations!$B$142</f>
        <v>Vakiintuneet mallit (jos sovellettavissa)</v>
      </c>
      <c r="L174" s="242" t="str">
        <f>Translations!$B$75</f>
        <v>Laboratorioanalyysit</v>
      </c>
      <c r="M174" s="242"/>
      <c r="N174" s="242"/>
      <c r="O174" s="47"/>
      <c r="P174" s="52" t="str">
        <f>G174</f>
        <v>2a/2b</v>
      </c>
      <c r="Q174" s="70" t="str">
        <f>D174</f>
        <v>Kaupallisia peruspolttoaineita vastaavat polttoaineet (75 k artiklan 2 kohta)</v>
      </c>
      <c r="R174" s="12"/>
      <c r="S174" s="12" t="str">
        <f>EUconst_CNTR_UCF&amp;Q174</f>
        <v>UCF_Kaupallisia peruspolttoaineita vastaavat polttoaineet (75 k artiklan 2 kohta)</v>
      </c>
      <c r="Z174" s="16" t="b">
        <f>IF(G174=EUconst_NA,TRUE,FALSE)</f>
        <v>0</v>
      </c>
      <c r="AL174" s="64">
        <v>1</v>
      </c>
      <c r="AM174" s="64"/>
      <c r="AN174" s="64">
        <v>1</v>
      </c>
      <c r="AO174" s="64"/>
      <c r="AP174" s="64">
        <v>2</v>
      </c>
      <c r="AQ174" s="64"/>
      <c r="AR174" s="64"/>
    </row>
    <row r="175" spans="1:44" x14ac:dyDescent="0.25">
      <c r="AL175" s="64"/>
      <c r="AM175" s="64"/>
      <c r="AN175" s="64"/>
      <c r="AO175" s="64"/>
      <c r="AP175" s="64"/>
      <c r="AQ175" s="64"/>
      <c r="AR175" s="64"/>
    </row>
    <row r="176" spans="1:44" s="65" customFormat="1" ht="12.75" customHeight="1" x14ac:dyDescent="0.3">
      <c r="B176" s="66" t="str">
        <f>Translations!$B$165</f>
        <v>Biomassaosuus</v>
      </c>
      <c r="C176" s="66" t="str">
        <f>Translations!$B$128</f>
        <v>Lyhyt nimi</v>
      </c>
      <c r="D176" s="66" t="str">
        <f>Translations!$B$129</f>
        <v>Alatoiminto</v>
      </c>
      <c r="E176" s="66" t="str">
        <f>Translations!$B$71</f>
        <v>Parametri</v>
      </c>
      <c r="F176" s="231"/>
      <c r="G176" s="67" t="str">
        <f>Translations!$B$130</f>
        <v>Vähintään</v>
      </c>
      <c r="H176" s="67">
        <v>1</v>
      </c>
      <c r="I176" s="67">
        <v>2</v>
      </c>
      <c r="J176" s="67" t="s">
        <v>137</v>
      </c>
      <c r="K176" s="67" t="str">
        <f>Translations!$B$125</f>
        <v>2b</v>
      </c>
      <c r="L176" s="67">
        <v>3</v>
      </c>
      <c r="M176" s="67" t="str">
        <f>Translations!$B$261</f>
        <v>3a</v>
      </c>
      <c r="N176" s="67" t="str">
        <f>Translations!$B$262</f>
        <v>3b</v>
      </c>
      <c r="O176" s="67">
        <v>4</v>
      </c>
      <c r="P176" s="67" t="str">
        <f>Translations!$B$131</f>
        <v>Enintään</v>
      </c>
      <c r="Q176" s="68"/>
      <c r="Z176" s="65" t="str">
        <f>Translations!$B$132</f>
        <v>harmaaksi?</v>
      </c>
      <c r="AK176" s="65" t="s">
        <v>1632</v>
      </c>
      <c r="AL176" s="102">
        <v>1</v>
      </c>
      <c r="AM176" s="102">
        <v>2</v>
      </c>
      <c r="AN176" s="102" t="s">
        <v>137</v>
      </c>
      <c r="AO176" s="102" t="str">
        <f>Translations!$B$125</f>
        <v>2b</v>
      </c>
      <c r="AP176" s="102">
        <v>3</v>
      </c>
      <c r="AQ176" s="102" t="str">
        <f>Translations!$B$261</f>
        <v>3a</v>
      </c>
      <c r="AR176" s="102" t="str">
        <f>Translations!$B$262</f>
        <v>3b</v>
      </c>
    </row>
    <row r="177" spans="1:44" x14ac:dyDescent="0.25">
      <c r="A177" s="16">
        <v>1</v>
      </c>
      <c r="C177" s="12" t="str">
        <f t="shared" ref="C177:E180" si="5">C171</f>
        <v>Poltto</v>
      </c>
      <c r="D177" s="12" t="str">
        <f t="shared" si="5"/>
        <v>Kaupalliset peruspolttoaineet</v>
      </c>
      <c r="E177" s="12" t="str">
        <f t="shared" si="5"/>
        <v>Polttoaineen määrä [t], [Nm3] tai [TJ]</v>
      </c>
      <c r="F177" s="12"/>
      <c r="G177" s="52">
        <v>1</v>
      </c>
      <c r="H177" s="242" t="str">
        <f>Translations!$B$73</f>
        <v>Tyypin I biomassaosuus</v>
      </c>
      <c r="I177" s="242" t="str">
        <f>Translations!$B$74</f>
        <v>Tyypin II biomassaosuus</v>
      </c>
      <c r="J177" s="242"/>
      <c r="K177" s="242"/>
      <c r="L177" s="242"/>
      <c r="M177" s="242" t="str">
        <f>Translations!$B$75</f>
        <v>Laboratorioanalyysit</v>
      </c>
      <c r="N177" s="242" t="str">
        <f>Translations!$B$266</f>
        <v>Arvio fossiilisen ja bioperäisen hiilen massataseesta</v>
      </c>
      <c r="O177" s="47"/>
      <c r="P177" s="52">
        <f>G177</f>
        <v>1</v>
      </c>
      <c r="Q177" s="70" t="str">
        <f>D177</f>
        <v>Kaupalliset peruspolttoaineet</v>
      </c>
      <c r="R177" s="12"/>
      <c r="S177" s="12" t="str">
        <f>EUconst_CNTR_BiomassContent&amp;Q177</f>
        <v>BioC_Kaupalliset peruspolttoaineet</v>
      </c>
      <c r="Z177" s="16" t="b">
        <f>IF(G177=EUconst_NA,TRUE,FALSE)</f>
        <v>0</v>
      </c>
      <c r="AL177" s="64">
        <v>1</v>
      </c>
      <c r="AM177" s="64"/>
      <c r="AN177" s="64"/>
      <c r="AO177" s="64"/>
      <c r="AP177" s="64"/>
      <c r="AQ177" s="64">
        <v>2</v>
      </c>
      <c r="AR177" s="64">
        <v>2</v>
      </c>
    </row>
    <row r="178" spans="1:44" x14ac:dyDescent="0.25">
      <c r="A178" s="16">
        <v>2</v>
      </c>
      <c r="C178" s="12" t="str">
        <f t="shared" si="5"/>
        <v>Poltto</v>
      </c>
      <c r="D178" s="12" t="str">
        <f t="shared" si="5"/>
        <v>Muut kaasumaiset ja nestemäiset polttoaineet</v>
      </c>
      <c r="E178" s="12" t="str">
        <f t="shared" si="5"/>
        <v>Polttoaineen määrä [t], [Nm3] tai [TJ]</v>
      </c>
      <c r="F178" s="12"/>
      <c r="G178" s="52">
        <v>1</v>
      </c>
      <c r="H178" s="242" t="str">
        <f>Translations!$B$73</f>
        <v>Tyypin I biomassaosuus</v>
      </c>
      <c r="I178" s="242" t="str">
        <f>Translations!$B$74</f>
        <v>Tyypin II biomassaosuus</v>
      </c>
      <c r="J178" s="242"/>
      <c r="K178" s="242"/>
      <c r="L178" s="242"/>
      <c r="M178" s="242" t="str">
        <f>Translations!$B$75</f>
        <v>Laboratorioanalyysit</v>
      </c>
      <c r="N178" s="242" t="str">
        <f>Translations!$B$266</f>
        <v>Arvio fossiilisen ja bioperäisen hiilen massataseesta</v>
      </c>
      <c r="O178" s="47"/>
      <c r="P178" s="52" t="str">
        <f>Translations!$B$267</f>
        <v>3a/3b</v>
      </c>
      <c r="Q178" s="70" t="str">
        <f>D178</f>
        <v>Muut kaasumaiset ja nestemäiset polttoaineet</v>
      </c>
      <c r="R178" s="12"/>
      <c r="S178" s="12" t="str">
        <f>EUconst_CNTR_BiomassContent&amp;Q178</f>
        <v>BioC_Muut kaasumaiset ja nestemäiset polttoaineet</v>
      </c>
      <c r="Z178" s="16" t="b">
        <f>IF(G178=EUconst_NA,TRUE,FALSE)</f>
        <v>0</v>
      </c>
      <c r="AL178" s="64">
        <v>1</v>
      </c>
      <c r="AM178" s="64"/>
      <c r="AN178" s="64"/>
      <c r="AO178" s="64"/>
      <c r="AP178" s="64"/>
      <c r="AQ178" s="64">
        <v>2</v>
      </c>
      <c r="AR178" s="64">
        <v>2</v>
      </c>
    </row>
    <row r="179" spans="1:44" x14ac:dyDescent="0.25">
      <c r="A179" s="16">
        <v>3</v>
      </c>
      <c r="C179" s="12" t="str">
        <f t="shared" si="5"/>
        <v>Poltto</v>
      </c>
      <c r="D179" s="12" t="str">
        <f t="shared" si="5"/>
        <v>Kiinteät polttoaineet</v>
      </c>
      <c r="E179" s="12" t="str">
        <f t="shared" si="5"/>
        <v>Polttoaineen määrä [t], [Nm3] tai [TJ]</v>
      </c>
      <c r="F179" s="12"/>
      <c r="G179" s="52">
        <v>1</v>
      </c>
      <c r="H179" s="242" t="str">
        <f>Translations!$B$73</f>
        <v>Tyypin I biomassaosuus</v>
      </c>
      <c r="I179" s="242" t="str">
        <f>Translations!$B$74</f>
        <v>Tyypin II biomassaosuus</v>
      </c>
      <c r="J179" s="242"/>
      <c r="K179" s="242"/>
      <c r="L179" s="242"/>
      <c r="M179" s="242" t="str">
        <f>Translations!$B$75</f>
        <v>Laboratorioanalyysit</v>
      </c>
      <c r="N179" s="242" t="str">
        <f>Translations!$B$266</f>
        <v>Arvio fossiilisen ja bioperäisen hiilen massataseesta</v>
      </c>
      <c r="O179" s="47"/>
      <c r="P179" s="52" t="str">
        <f>Translations!$B$267</f>
        <v>3a/3b</v>
      </c>
      <c r="Q179" s="70" t="str">
        <f>D179</f>
        <v>Kiinteät polttoaineet</v>
      </c>
      <c r="R179" s="12"/>
      <c r="S179" s="12" t="str">
        <f>EUconst_CNTR_BiomassContent&amp;Q179</f>
        <v>BioC_Kiinteät polttoaineet</v>
      </c>
      <c r="Z179" s="16" t="b">
        <f>IF(G179=EUconst_NA,TRUE,FALSE)</f>
        <v>0</v>
      </c>
      <c r="AL179" s="64">
        <v>1</v>
      </c>
      <c r="AM179" s="64"/>
      <c r="AN179" s="64"/>
      <c r="AO179" s="64"/>
      <c r="AP179" s="64"/>
      <c r="AQ179" s="64">
        <v>2</v>
      </c>
      <c r="AR179" s="64">
        <v>2</v>
      </c>
    </row>
    <row r="180" spans="1:44" x14ac:dyDescent="0.25">
      <c r="A180" s="16">
        <v>4</v>
      </c>
      <c r="C180" s="12" t="str">
        <f t="shared" si="5"/>
        <v>Poltto</v>
      </c>
      <c r="D180" s="12" t="str">
        <f>Translations!$B$264</f>
        <v>Kaupallisia peruspolttoaineita vastaavat polttoaineet (75 k artiklan 2 kohta)</v>
      </c>
      <c r="E180" s="12" t="str">
        <f t="shared" si="5"/>
        <v>Polttoaineen määrä [t], [Nm3] tai [TJ]</v>
      </c>
      <c r="F180" s="12"/>
      <c r="G180" s="52">
        <v>1</v>
      </c>
      <c r="H180" s="242" t="str">
        <f>Translations!$B$73</f>
        <v>Tyypin I biomassaosuus</v>
      </c>
      <c r="I180" s="242" t="str">
        <f>Translations!$B$74</f>
        <v>Tyypin II biomassaosuus</v>
      </c>
      <c r="J180" s="242"/>
      <c r="K180" s="242"/>
      <c r="L180" s="242"/>
      <c r="M180" s="242" t="str">
        <f>Translations!$B$75</f>
        <v>Laboratorioanalyysit</v>
      </c>
      <c r="N180" s="242" t="str">
        <f>Translations!$B$266</f>
        <v>Arvio fossiilisen ja bioperäisen hiilen massataseesta</v>
      </c>
      <c r="O180" s="47"/>
      <c r="P180" s="52">
        <f>G180</f>
        <v>1</v>
      </c>
      <c r="Q180" s="70" t="str">
        <f>D180</f>
        <v>Kaupallisia peruspolttoaineita vastaavat polttoaineet (75 k artiklan 2 kohta)</v>
      </c>
      <c r="R180" s="12"/>
      <c r="S180" s="12" t="str">
        <f>EUconst_CNTR_BiomassContent&amp;Q180</f>
        <v>BioC_Kaupallisia peruspolttoaineita vastaavat polttoaineet (75 k artiklan 2 kohta)</v>
      </c>
      <c r="Z180" s="16" t="b">
        <f>IF(G180=EUconst_NA,TRUE,FALSE)</f>
        <v>0</v>
      </c>
      <c r="AL180" s="64">
        <v>1</v>
      </c>
      <c r="AM180" s="64"/>
      <c r="AN180" s="64"/>
      <c r="AO180" s="64"/>
      <c r="AP180" s="64"/>
      <c r="AQ180" s="64">
        <v>2</v>
      </c>
      <c r="AR180" s="64">
        <v>2</v>
      </c>
    </row>
    <row r="181" spans="1:44" x14ac:dyDescent="0.25">
      <c r="M181" s="243"/>
      <c r="N181" s="243"/>
    </row>
    <row r="182" spans="1:44" x14ac:dyDescent="0.25">
      <c r="B182" s="49"/>
      <c r="C182" s="64"/>
      <c r="D182" s="73"/>
      <c r="E182" s="73"/>
      <c r="F182" s="64"/>
      <c r="G182" s="73"/>
      <c r="H182" s="73"/>
      <c r="J182" s="49"/>
      <c r="K182" s="73"/>
      <c r="L182" s="73"/>
      <c r="M182" s="64"/>
      <c r="N182" s="64"/>
      <c r="O182" s="73"/>
      <c r="P182" s="64"/>
    </row>
    <row r="183" spans="1:44" s="63" customFormat="1" ht="13" x14ac:dyDescent="0.3">
      <c r="B183" s="66" t="str">
        <f>Translations!$B$166</f>
        <v>Määrittämistason muuntaminen</v>
      </c>
      <c r="D183" s="102" t="str">
        <f>Translations!$B$143</f>
        <v>Määrittämistasot</v>
      </c>
    </row>
    <row r="184" spans="1:44" customFormat="1" x14ac:dyDescent="0.25">
      <c r="B184" s="37"/>
      <c r="C184" s="40">
        <v>1</v>
      </c>
      <c r="D184" s="40">
        <v>1</v>
      </c>
      <c r="E184" s="16"/>
      <c r="F184" s="16"/>
    </row>
    <row r="185" spans="1:44" customFormat="1" x14ac:dyDescent="0.25">
      <c r="B185" s="37"/>
      <c r="C185" s="40">
        <v>2</v>
      </c>
      <c r="D185" s="40">
        <v>2</v>
      </c>
      <c r="E185" s="16"/>
      <c r="F185" s="16"/>
    </row>
    <row r="186" spans="1:44" customFormat="1" x14ac:dyDescent="0.25">
      <c r="B186" s="37"/>
      <c r="C186" s="40">
        <v>3</v>
      </c>
      <c r="D186" s="40" t="s">
        <v>137</v>
      </c>
      <c r="E186" s="16"/>
      <c r="F186" s="16"/>
    </row>
    <row r="187" spans="1:44" customFormat="1" x14ac:dyDescent="0.25">
      <c r="B187" s="37"/>
      <c r="C187" s="40">
        <v>4</v>
      </c>
      <c r="D187" s="40" t="str">
        <f>Translations!$B$125</f>
        <v>2b</v>
      </c>
      <c r="E187" s="16"/>
      <c r="F187" s="16"/>
    </row>
    <row r="188" spans="1:44" customFormat="1" x14ac:dyDescent="0.25">
      <c r="B188" s="37"/>
      <c r="C188" s="40">
        <v>5</v>
      </c>
      <c r="D188" s="40">
        <v>3</v>
      </c>
      <c r="E188" s="16"/>
      <c r="F188" s="16"/>
    </row>
    <row r="189" spans="1:44" customFormat="1" x14ac:dyDescent="0.25">
      <c r="B189" s="37"/>
      <c r="C189" s="40">
        <v>6</v>
      </c>
      <c r="D189" s="40" t="str">
        <f>Translations!$B$261</f>
        <v>3a</v>
      </c>
      <c r="E189" s="16"/>
      <c r="F189" s="16"/>
    </row>
    <row r="190" spans="1:44" customFormat="1" x14ac:dyDescent="0.25">
      <c r="B190" s="37"/>
      <c r="C190" s="40">
        <v>7</v>
      </c>
      <c r="D190" s="40" t="str">
        <f>Translations!$B$262</f>
        <v>3b</v>
      </c>
      <c r="E190" s="16"/>
      <c r="F190" s="16"/>
    </row>
    <row r="191" spans="1:44" customFormat="1" x14ac:dyDescent="0.25">
      <c r="B191" s="37"/>
      <c r="C191" s="40">
        <v>8</v>
      </c>
      <c r="D191" s="40">
        <v>4</v>
      </c>
      <c r="E191" s="16"/>
      <c r="F191" s="16"/>
    </row>
    <row r="193" spans="1:4" s="63" customFormat="1" ht="13" x14ac:dyDescent="0.3">
      <c r="B193" s="66" t="s">
        <v>1634</v>
      </c>
      <c r="D193" s="102"/>
    </row>
    <row r="195" spans="1:4" x14ac:dyDescent="0.25">
      <c r="A195" s="16" t="s">
        <v>1635</v>
      </c>
      <c r="B195" s="232" t="str">
        <f>Translations!$B$560</f>
        <v>1A3a – Kotimaan lentoliikenne</v>
      </c>
    </row>
    <row r="196" spans="1:4" x14ac:dyDescent="0.25">
      <c r="B196" s="232" t="str">
        <f>Translations!$B$561</f>
        <v>1A3c – Rautatiet</v>
      </c>
    </row>
    <row r="197" spans="1:4" x14ac:dyDescent="0.25">
      <c r="B197" s="232" t="str">
        <f>Translations!$B$562</f>
        <v>1A3d – Kotimaan vesiliikenne</v>
      </c>
    </row>
    <row r="198" spans="1:4" x14ac:dyDescent="0.25">
      <c r="B198" s="232" t="str">
        <f>Translations!$B$563</f>
        <v>1A4c – Maatalous/metsätalous/kalatalous</v>
      </c>
    </row>
    <row r="199" spans="1:4" x14ac:dyDescent="0.25">
      <c r="B199" s="232" t="str">
        <f>Translations!$B$564</f>
        <v>1A5a – Energia – Kiinteä poltto</v>
      </c>
    </row>
    <row r="200" spans="1:4" x14ac:dyDescent="0.25">
      <c r="B200" s="232" t="str">
        <f>Translations!$B$565</f>
        <v>1A5b – Energia – liikkuva poltto</v>
      </c>
    </row>
    <row r="201" spans="1:4" x14ac:dyDescent="0.25">
      <c r="B201" s="232" t="str">
        <f>Translations!$B$568</f>
        <v>ETS1-päästökaupan soveltamisala</v>
      </c>
    </row>
    <row r="202" spans="1:4" x14ac:dyDescent="0.25">
      <c r="B202" s="232" t="str">
        <f>Translations!$B$566</f>
        <v>Muut luokat</v>
      </c>
    </row>
    <row r="203" spans="1:4" x14ac:dyDescent="0.25">
      <c r="B203" s="232" t="str">
        <f>Translations!$B$567</f>
        <v>Tuntematon</v>
      </c>
    </row>
    <row r="204" spans="1:4" customFormat="1" x14ac:dyDescent="0.25"/>
    <row r="205" spans="1:4" s="37" customFormat="1" x14ac:dyDescent="0.25">
      <c r="A205" s="37" t="s">
        <v>1636</v>
      </c>
    </row>
  </sheetData>
  <sheetProtection sheet="1" objects="1" scenarios="1" formatCells="0" formatColumns="0" formatRows="0"/>
  <phoneticPr fontId="45" type="noConversion"/>
  <conditionalFormatting sqref="B183">
    <cfRule type="expression" dxfId="36" priority="64" stopIfTrue="1">
      <formula>$X183</formula>
    </cfRule>
    <cfRule type="containsText" dxfId="35" priority="63" stopIfTrue="1" operator="containsText" text="!">
      <formula>NOT(ISERROR(SEARCH("!",B183)))</formula>
    </cfRule>
  </conditionalFormatting>
  <conditionalFormatting sqref="B193">
    <cfRule type="expression" dxfId="34" priority="2" stopIfTrue="1">
      <formula>$X193</formula>
    </cfRule>
    <cfRule type="containsText" dxfId="33" priority="1" stopIfTrue="1" operator="containsText" text="!">
      <formula>NOT(ISERROR(SEARCH("!",B193)))</formula>
    </cfRule>
  </conditionalFormatting>
  <conditionalFormatting sqref="C159:C162">
    <cfRule type="expression" dxfId="32" priority="45" stopIfTrue="1">
      <formula>$B158&lt;&gt;$B159</formula>
    </cfRule>
  </conditionalFormatting>
  <conditionalFormatting sqref="C168:D168">
    <cfRule type="expression" dxfId="31" priority="5" stopIfTrue="1">
      <formula>$B167&lt;&gt;$B168</formula>
    </cfRule>
  </conditionalFormatting>
  <conditionalFormatting sqref="C174:D174">
    <cfRule type="expression" dxfId="30" priority="4" stopIfTrue="1">
      <formula>$B173&lt;&gt;$B174</formula>
    </cfRule>
  </conditionalFormatting>
  <conditionalFormatting sqref="C177:G179 C180 E180:G180">
    <cfRule type="expression" dxfId="29" priority="30" stopIfTrue="1">
      <formula>$Z177</formula>
    </cfRule>
    <cfRule type="expression" dxfId="28" priority="33" stopIfTrue="1">
      <formula>$B176&lt;&gt;$B177</formula>
    </cfRule>
  </conditionalFormatting>
  <conditionalFormatting sqref="C165:P167 E168:P168 C171:P173 E174:P174 C159:G161">
    <cfRule type="expression" dxfId="27" priority="59" stopIfTrue="1">
      <formula>$B158&lt;&gt;$B159</formula>
    </cfRule>
  </conditionalFormatting>
  <conditionalFormatting sqref="C153:S156">
    <cfRule type="expression" dxfId="26" priority="46" stopIfTrue="1">
      <formula>$B152&lt;&gt;$B153</formula>
    </cfRule>
  </conditionalFormatting>
  <conditionalFormatting sqref="D180">
    <cfRule type="expression" dxfId="25" priority="3" stopIfTrue="1">
      <formula>$B179&lt;&gt;$B180</formula>
    </cfRule>
  </conditionalFormatting>
  <conditionalFormatting sqref="D162:G162">
    <cfRule type="expression" dxfId="24" priority="6" stopIfTrue="1">
      <formula>$B161&lt;&gt;$B162</formula>
    </cfRule>
  </conditionalFormatting>
  <conditionalFormatting sqref="H159:O162">
    <cfRule type="expression" dxfId="23" priority="16" stopIfTrue="1">
      <formula>$Z159</formula>
    </cfRule>
    <cfRule type="expression" dxfId="22" priority="17" stopIfTrue="1">
      <formula>AL159=2</formula>
    </cfRule>
    <cfRule type="expression" dxfId="21" priority="18" stopIfTrue="1">
      <formula>AL159=1</formula>
    </cfRule>
  </conditionalFormatting>
  <conditionalFormatting sqref="H165:O168">
    <cfRule type="expression" dxfId="20" priority="42" stopIfTrue="1">
      <formula>$Z165</formula>
    </cfRule>
    <cfRule type="expression" dxfId="19" priority="43" stopIfTrue="1">
      <formula>AL165=2</formula>
    </cfRule>
    <cfRule type="expression" dxfId="18" priority="44" stopIfTrue="1">
      <formula>AL165=1</formula>
    </cfRule>
  </conditionalFormatting>
  <conditionalFormatting sqref="H171:O174">
    <cfRule type="expression" dxfId="17" priority="12" stopIfTrue="1">
      <formula>$Z171</formula>
    </cfRule>
    <cfRule type="expression" dxfId="16" priority="13" stopIfTrue="1">
      <formula>AL171=2</formula>
    </cfRule>
    <cfRule type="expression" dxfId="15" priority="14" stopIfTrue="1">
      <formula>AL171=1</formula>
    </cfRule>
  </conditionalFormatting>
  <conditionalFormatting sqref="H177:O180">
    <cfRule type="expression" dxfId="14" priority="8" stopIfTrue="1">
      <formula>$Z177</formula>
    </cfRule>
    <cfRule type="expression" dxfId="13" priority="9" stopIfTrue="1">
      <formula>AL177=2</formula>
    </cfRule>
    <cfRule type="expression" dxfId="12" priority="10" stopIfTrue="1">
      <formula>AL177=1</formula>
    </cfRule>
  </conditionalFormatting>
  <conditionalFormatting sqref="H159:S162">
    <cfRule type="expression" dxfId="11" priority="19" stopIfTrue="1">
      <formula>$B158&lt;&gt;$B159</formula>
    </cfRule>
  </conditionalFormatting>
  <conditionalFormatting sqref="H177:S180">
    <cfRule type="expression" dxfId="10" priority="11" stopIfTrue="1">
      <formula>$B176&lt;&gt;$B177</formula>
    </cfRule>
  </conditionalFormatting>
  <conditionalFormatting sqref="N159:N162">
    <cfRule type="expression" dxfId="9" priority="15" stopIfTrue="1">
      <formula>AQ159=2</formula>
    </cfRule>
  </conditionalFormatting>
  <conditionalFormatting sqref="N171:N174 N165:N168">
    <cfRule type="expression" dxfId="8" priority="39" stopIfTrue="1">
      <formula>AQ165=2</formula>
    </cfRule>
  </conditionalFormatting>
  <conditionalFormatting sqref="N177:N180">
    <cfRule type="expression" dxfId="7" priority="7" stopIfTrue="1">
      <formula>AQ177=2</formula>
    </cfRule>
  </conditionalFormatting>
  <conditionalFormatting sqref="Q165:Q168">
    <cfRule type="expression" dxfId="6" priority="28" stopIfTrue="1">
      <formula>$B164&lt;&gt;$B165</formula>
    </cfRule>
  </conditionalFormatting>
  <conditionalFormatting sqref="Q171:Q174">
    <cfRule type="expression" dxfId="5" priority="27" stopIfTrue="1">
      <formula>$B170&lt;&gt;$B171</formula>
    </cfRule>
  </conditionalFormatting>
  <conditionalFormatting sqref="R165:S168">
    <cfRule type="expression" dxfId="4" priority="38" stopIfTrue="1">
      <formula>$Z165</formula>
    </cfRule>
    <cfRule type="expression" dxfId="3" priority="41" stopIfTrue="1">
      <formula>$B164&lt;&gt;$B165</formula>
    </cfRule>
  </conditionalFormatting>
  <conditionalFormatting sqref="R171:S174">
    <cfRule type="expression" dxfId="2" priority="34" stopIfTrue="1">
      <formula>$Z171</formula>
    </cfRule>
    <cfRule type="expression" dxfId="1" priority="37" stopIfTrue="1">
      <formula>$B170&lt;&gt;$B171</formula>
    </cfRule>
  </conditionalFormatting>
  <pageMargins left="0.70866141732283472" right="0.70866141732283472" top="0.78740157480314965" bottom="0.78740157480314965" header="0.31496062992125984" footer="0.31496062992125984"/>
  <pageSetup paperSize="9" scale="49" fitToWidth="3" fitToHeight="10" orientation="portrait" r:id="rId1"/>
  <headerFooter>
    <oddHeader>&amp;L&amp;F, &amp;A&amp;R&amp;D, &amp;T</oddHeader>
    <oddFooter>&amp;C&amp;P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14A3-D3A3-40FE-B455-3C324F745FA8}">
  <sheetPr>
    <tabColor indexed="12"/>
  </sheetPr>
  <dimension ref="A1"/>
  <sheetViews>
    <sheetView workbookViewId="0"/>
  </sheetViews>
  <sheetFormatPr defaultRowHeight="12.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tabColor indexed="12"/>
  </sheetPr>
  <dimension ref="A1:AO68"/>
  <sheetViews>
    <sheetView topLeftCell="A8" zoomScaleNormal="100" workbookViewId="0">
      <selection activeCell="U52" sqref="U52"/>
    </sheetView>
  </sheetViews>
  <sheetFormatPr defaultColWidth="9.1796875" defaultRowHeight="12.5" x14ac:dyDescent="0.25"/>
  <cols>
    <col min="1" max="1" width="38.54296875" customWidth="1"/>
    <col min="2" max="2" width="5.81640625" customWidth="1"/>
    <col min="3" max="3" width="34.81640625" customWidth="1"/>
    <col min="4" max="4" width="5" customWidth="1"/>
    <col min="5" max="5" width="25" customWidth="1"/>
    <col min="6" max="7" width="12.7265625" hidden="1" customWidth="1"/>
    <col min="8" max="8" width="14.1796875" hidden="1" customWidth="1"/>
    <col min="9" max="9" width="12.7265625" hidden="1" customWidth="1"/>
    <col min="10" max="10" width="13.7265625" hidden="1" customWidth="1"/>
    <col min="11" max="11" width="12.7265625" hidden="1" customWidth="1"/>
    <col min="12" max="12" width="14" hidden="1" customWidth="1"/>
    <col min="13" max="13" width="13.54296875" customWidth="1"/>
    <col min="14" max="14" width="16" customWidth="1"/>
    <col min="15" max="19" width="12.7265625" customWidth="1"/>
    <col min="20" max="20" width="13.1796875" customWidth="1"/>
    <col min="21" max="21" width="42.1796875" customWidth="1"/>
    <col min="22" max="22" width="51.1796875" customWidth="1"/>
    <col min="23" max="23" width="50.54296875" customWidth="1"/>
    <col min="24" max="24" width="26.1796875" customWidth="1"/>
    <col min="25" max="46" width="12.7265625" customWidth="1"/>
  </cols>
  <sheetData>
    <row r="1" spans="1:39" x14ac:dyDescent="0.25">
      <c r="AJ1" s="16" t="s">
        <v>0</v>
      </c>
      <c r="AK1" s="16" t="s">
        <v>0</v>
      </c>
      <c r="AL1" s="16" t="s">
        <v>0</v>
      </c>
      <c r="AM1" s="16" t="s">
        <v>0</v>
      </c>
    </row>
    <row r="2" spans="1:39" ht="23" x14ac:dyDescent="0.5">
      <c r="A2" s="74" t="s">
        <v>1637</v>
      </c>
    </row>
    <row r="4" spans="1:39" s="405" customFormat="1" ht="13" x14ac:dyDescent="0.3">
      <c r="A4" s="405" t="s">
        <v>1638</v>
      </c>
    </row>
    <row r="5" spans="1:39" ht="13" thickBot="1" x14ac:dyDescent="0.3"/>
    <row r="6" spans="1:39" ht="13" thickBot="1" x14ac:dyDescent="0.3">
      <c r="A6" s="415" t="s">
        <v>1639</v>
      </c>
      <c r="E6" s="16"/>
      <c r="M6" s="412" t="s">
        <v>2</v>
      </c>
      <c r="N6" s="413" t="str">
        <f ca="1">IF(ISERROR(CELL("filename",O7)),"MSParameters",MID(CELL("filename",O7),FIND("]",CELL("filename",O7))+1,1024))</f>
        <v>MSParameters</v>
      </c>
    </row>
    <row r="7" spans="1:39" x14ac:dyDescent="0.25">
      <c r="A7" s="415" t="s">
        <v>1640</v>
      </c>
      <c r="E7" s="16"/>
    </row>
    <row r="8" spans="1:39" x14ac:dyDescent="0.25">
      <c r="A8" s="415" t="s">
        <v>1641</v>
      </c>
      <c r="E8" s="16"/>
      <c r="M8" s="64"/>
      <c r="N8" s="16"/>
    </row>
    <row r="9" spans="1:39" x14ac:dyDescent="0.25">
      <c r="A9" s="415" t="s">
        <v>1642</v>
      </c>
      <c r="E9" s="16"/>
    </row>
    <row r="10" spans="1:39" x14ac:dyDescent="0.25">
      <c r="A10" s="415" t="s">
        <v>1643</v>
      </c>
      <c r="E10" s="16"/>
      <c r="M10" s="64"/>
      <c r="N10" s="16"/>
    </row>
    <row r="11" spans="1:39" x14ac:dyDescent="0.25">
      <c r="A11" s="415" t="s">
        <v>1644</v>
      </c>
      <c r="E11" s="16"/>
    </row>
    <row r="12" spans="1:39" x14ac:dyDescent="0.25">
      <c r="A12" s="415" t="s">
        <v>1645</v>
      </c>
      <c r="E12" s="16"/>
    </row>
    <row r="13" spans="1:39" ht="13" thickBot="1" x14ac:dyDescent="0.3">
      <c r="A13" s="415"/>
      <c r="E13" s="16"/>
    </row>
    <row r="14" spans="1:39" ht="16" thickBot="1" x14ac:dyDescent="0.3">
      <c r="A14" s="416"/>
      <c r="B14" s="416"/>
      <c r="C14" s="416"/>
      <c r="D14" s="416"/>
      <c r="E14" s="416"/>
      <c r="F14" s="1315" t="s">
        <v>1646</v>
      </c>
      <c r="G14" s="1316"/>
      <c r="H14" s="1316"/>
      <c r="I14" s="1316"/>
      <c r="J14" s="1316"/>
      <c r="K14" s="1316"/>
      <c r="L14" s="1317"/>
      <c r="M14" s="417"/>
      <c r="N14" s="290"/>
      <c r="O14" s="1321" t="s">
        <v>1647</v>
      </c>
      <c r="P14" s="1322"/>
      <c r="Q14" s="1322"/>
      <c r="R14" s="1322"/>
      <c r="S14" s="1322"/>
      <c r="T14" s="1323"/>
      <c r="U14" s="418"/>
    </row>
    <row r="15" spans="1:39" ht="13" thickBot="1" x14ac:dyDescent="0.3">
      <c r="A15" s="419"/>
      <c r="B15" s="419"/>
      <c r="C15" s="419"/>
      <c r="D15" s="419"/>
      <c r="E15" s="419"/>
      <c r="F15" s="1318" t="s">
        <v>1648</v>
      </c>
      <c r="G15" s="1319"/>
      <c r="H15" s="1319"/>
      <c r="I15" s="1319"/>
      <c r="J15" s="1319"/>
      <c r="K15" s="1319"/>
      <c r="L15" s="1320"/>
      <c r="M15" s="417"/>
      <c r="N15" s="290"/>
      <c r="O15" s="1324" t="s">
        <v>1649</v>
      </c>
      <c r="P15" s="1325"/>
      <c r="Q15" s="1325"/>
      <c r="R15" s="1325"/>
      <c r="S15" s="1325"/>
      <c r="T15" s="1326"/>
      <c r="U15" s="16"/>
    </row>
    <row r="16" spans="1:39" x14ac:dyDescent="0.25">
      <c r="A16" s="1225" t="s">
        <v>1650</v>
      </c>
      <c r="B16" s="1226" t="s">
        <v>1651</v>
      </c>
      <c r="C16" s="1227"/>
      <c r="D16" s="1225" t="s">
        <v>1652</v>
      </c>
      <c r="E16" s="1227"/>
      <c r="F16" s="657"/>
      <c r="G16" s="420"/>
      <c r="H16" s="1330" t="str">
        <f>Translations!$B$383</f>
        <v>EF</v>
      </c>
      <c r="I16" s="1331"/>
      <c r="J16" s="1330" t="str">
        <f>Translations!$B$386</f>
        <v>UCF</v>
      </c>
      <c r="K16" s="1331"/>
      <c r="L16" s="422" t="s">
        <v>1653</v>
      </c>
      <c r="M16" s="417"/>
      <c r="N16" s="290"/>
      <c r="O16" s="421" t="str">
        <f>Translations!$B$377</f>
        <v>RFA</v>
      </c>
      <c r="P16" s="1328" t="str">
        <f>Translations!$B$386</f>
        <v>UCF</v>
      </c>
      <c r="Q16" s="1329"/>
      <c r="R16" s="1328" t="str">
        <f>Translations!$B$383</f>
        <v>EF</v>
      </c>
      <c r="S16" s="1329"/>
      <c r="T16" s="422" t="s">
        <v>1653</v>
      </c>
      <c r="U16" s="16"/>
    </row>
    <row r="17" spans="1:41" ht="13" thickBot="1" x14ac:dyDescent="0.3">
      <c r="A17" s="1327"/>
      <c r="B17" s="1332"/>
      <c r="C17" s="1333"/>
      <c r="D17" s="1327"/>
      <c r="E17" s="1333"/>
      <c r="F17" s="658"/>
      <c r="G17" s="423" t="str">
        <f>Translations!$B$394</f>
        <v>Yksikkö</v>
      </c>
      <c r="H17" s="424" t="str">
        <f>Translations!$B$395</f>
        <v>Arvo</v>
      </c>
      <c r="I17" s="425" t="str">
        <f>Translations!$B$394</f>
        <v>Yksikkö</v>
      </c>
      <c r="J17" s="424" t="str">
        <f>Translations!$B$395</f>
        <v>Arvo</v>
      </c>
      <c r="K17" s="425" t="str">
        <f>Translations!$B$394</f>
        <v>Yksikkö</v>
      </c>
      <c r="L17" s="428" t="s">
        <v>1654</v>
      </c>
      <c r="M17" s="417"/>
      <c r="N17" s="290"/>
      <c r="O17" s="426" t="str">
        <f>Translations!$B$394</f>
        <v>Yksikkö</v>
      </c>
      <c r="P17" s="427" t="str">
        <f>Translations!$B$395</f>
        <v>Arvo</v>
      </c>
      <c r="Q17" s="427" t="str">
        <f>Translations!$B$394</f>
        <v>Yksikkö</v>
      </c>
      <c r="R17" s="427" t="str">
        <f>Translations!$B$395</f>
        <v>Arvo</v>
      </c>
      <c r="S17" s="427" t="str">
        <f>Translations!$B$394</f>
        <v>Yksikkö</v>
      </c>
      <c r="T17" s="428" t="s">
        <v>1654</v>
      </c>
      <c r="U17" s="16"/>
    </row>
    <row r="18" spans="1:41" ht="13.5" thickBot="1" x14ac:dyDescent="0.35">
      <c r="A18" s="429" t="s">
        <v>1655</v>
      </c>
      <c r="B18" s="758"/>
      <c r="C18" s="756"/>
      <c r="D18" s="758"/>
      <c r="E18" s="660"/>
      <c r="F18" s="429" t="s">
        <v>1656</v>
      </c>
      <c r="G18" s="430" t="str">
        <f>EUconst_CNTR_ActivityData&amp;EUconst_Unit&amp;"_"&amp;1</f>
        <v>ActivityData_Yksikkö_1</v>
      </c>
      <c r="H18" s="431" t="str">
        <f>EUconst_CNTR_EF&amp;EUconst_Value&amp;"_"&amp;1</f>
        <v>EF_Arvo_1</v>
      </c>
      <c r="I18" s="432" t="str">
        <f>EUconst_CNTR_EF&amp;EUconst_Unit&amp;"_"&amp;1</f>
        <v>EF_Yksikkö_1</v>
      </c>
      <c r="J18" s="431" t="str">
        <f>EUconst_CNTR_UCF&amp;EUconst_Value&amp;"_"&amp;1</f>
        <v>UCF_Arvo_1</v>
      </c>
      <c r="K18" s="432" t="str">
        <f>EUconst_CNTR_UCF&amp;EUconst_Unit&amp;"_"&amp;1</f>
        <v>UCF_Yksikkö_1</v>
      </c>
      <c r="L18" s="433" t="str">
        <f>EUconst_CNTR_BiomassContent&amp;EUconst_Value&amp;"_"&amp;1</f>
        <v>BioC_Arvo_1</v>
      </c>
      <c r="M18" s="434" t="s">
        <v>1657</v>
      </c>
      <c r="N18" s="435" t="s">
        <v>1658</v>
      </c>
      <c r="O18" s="436" t="str">
        <f>EUconst_CNTR_ActivityData&amp;EUconst_Unit&amp;"_"&amp;2</f>
        <v>ActivityData_Yksikkö_2</v>
      </c>
      <c r="P18" s="432" t="str">
        <f>EUconst_CNTR_UCF&amp;EUconst_Value&amp;"_"&amp;2</f>
        <v>UCF_Arvo_2</v>
      </c>
      <c r="Q18" s="432" t="str">
        <f>EUconst_CNTR_UCF&amp;EUconst_Unit&amp;"_"&amp;2</f>
        <v>UCF_Yksikkö_2</v>
      </c>
      <c r="R18" s="432" t="str">
        <f>EUconst_CNTR_EF&amp;EUconst_Value&amp;"_"&amp;2</f>
        <v>EF_Arvo_2</v>
      </c>
      <c r="S18" s="432" t="str">
        <f>EUconst_CNTR_EF&amp;EUconst_Unit&amp;"_"&amp;2</f>
        <v>EF_Yksikkö_2</v>
      </c>
      <c r="T18" s="433" t="str">
        <f>EUconst_CNTR_BiomassContent&amp;EUconst_Value&amp;"_"&amp;2</f>
        <v>BioC_Arvo_2</v>
      </c>
      <c r="U18" s="36" t="s">
        <v>1659</v>
      </c>
      <c r="AL18" s="662" t="str">
        <f>INDEX(EUConst_TierActivityListNames,COLUMNS($AB17:AB17))</f>
        <v>Kaupalliset peruspolttoaineet</v>
      </c>
      <c r="AM18" s="662" t="str">
        <f>INDEX(EUConst_TierActivityListNames,COLUMNS($AB17:AC17))</f>
        <v>Muut kaasumaiset ja nestemäiset polttoaineet</v>
      </c>
      <c r="AN18" s="662" t="str">
        <f>INDEX(EUConst_TierActivityListNames,COLUMNS($AB17:AD17))</f>
        <v>Kiinteät polttoaineet</v>
      </c>
      <c r="AO18" s="662" t="str">
        <f>INDEX(EUConst_TierActivityListNames,COLUMNS($AB17:AE17))</f>
        <v>Kaupallisia peruspolttoaineita vastaavat polttoaineet (75 k artiklan 2 kohta)</v>
      </c>
    </row>
    <row r="19" spans="1:41" x14ac:dyDescent="0.25">
      <c r="A19" s="1334" t="str">
        <f>Translations!B569</f>
        <v>Nestemäinen - Moottoribensiini (Seos)</v>
      </c>
      <c r="B19" s="1335">
        <v>1</v>
      </c>
      <c r="C19" s="1336" t="str">
        <f t="shared" ref="C19:C59" si="0">IF(B19="","",INDEX(EUConst_TierActivityListNames,B19))</f>
        <v>Kaupalliset peruspolttoaineet</v>
      </c>
      <c r="D19" s="1337"/>
      <c r="E19" s="1338" t="str">
        <f t="shared" ref="E19:E59" si="1">IF(D19="","",INDEX(EUConst_TierActivityListNames,D19))</f>
        <v/>
      </c>
      <c r="F19" s="1339" t="s">
        <v>1660</v>
      </c>
      <c r="G19" s="1340" t="str">
        <f t="shared" ref="G19:G51" si="2">EUconst_t</f>
        <v>t</v>
      </c>
      <c r="H19" s="1341">
        <v>69.3</v>
      </c>
      <c r="I19" s="1342" t="str">
        <f t="shared" ref="I19:I52" si="3">EUconst_tCO2&amp;"/"&amp;EUconst_TJ</f>
        <v>tCO2/TJ</v>
      </c>
      <c r="J19" s="1341">
        <v>44.3</v>
      </c>
      <c r="K19" s="1342" t="str">
        <f t="shared" ref="K19:K52" si="4">EUconst_GJ&amp;"/"&amp;EUconst_t</f>
        <v>GJ/t</v>
      </c>
      <c r="L19" s="1343" t="str">
        <f t="shared" ref="L19:L51" si="5">EUconst_NA</f>
        <v>ei sovellettavissa</v>
      </c>
      <c r="M19" s="1344" t="b">
        <v>0</v>
      </c>
      <c r="N19" s="1344" t="b">
        <v>0</v>
      </c>
      <c r="O19" s="1345" t="s">
        <v>136</v>
      </c>
      <c r="P19" s="1346" t="str">
        <f t="shared" ref="P19:P37" si="6">EUconst_NA</f>
        <v>ei sovellettavissa</v>
      </c>
      <c r="Q19" s="1346" t="s">
        <v>1661</v>
      </c>
      <c r="R19" s="1346" t="str">
        <f t="shared" ref="R19:R45" si="7">EUconst_NA</f>
        <v>ei sovellettavissa</v>
      </c>
      <c r="S19" s="1346" t="str">
        <f t="shared" ref="S19:S52" si="8">EUconst_tCO2&amp;"/"&amp;EUconst_TJ</f>
        <v>tCO2/TJ</v>
      </c>
      <c r="T19" s="1347" t="str">
        <f t="shared" ref="T19:T34" si="9">L19</f>
        <v>ei sovellettavissa</v>
      </c>
      <c r="U19" s="16"/>
      <c r="AL19" s="663">
        <f>IF(COUNTIF($C19:$E19,AL$18)=0,"",MAX(AL$18:AL18)+1)</f>
        <v>1</v>
      </c>
      <c r="AM19" s="663" t="str">
        <f>IF(COUNTIF($C19:$E19,AM$18)=0,"",MAX(AM$18:AM18)+1)</f>
        <v/>
      </c>
      <c r="AN19" s="663" t="str">
        <f>IF(COUNTIF($C19:$E19,AN$18)=0,"",MAX(AN$18:AN18)+1)</f>
        <v/>
      </c>
      <c r="AO19" s="663" t="str">
        <f>IF(COUNTIF($C19:$E19,AO$18)=0,"",MAX(AO$18:AO18)+1)</f>
        <v/>
      </c>
    </row>
    <row r="20" spans="1:41" x14ac:dyDescent="0.25">
      <c r="A20" s="1334" t="str">
        <f>Translations!B570</f>
        <v>Nestemäinen - Dieselöljy (Seos)</v>
      </c>
      <c r="B20" s="1335">
        <v>1</v>
      </c>
      <c r="C20" s="1336" t="str">
        <f t="shared" si="0"/>
        <v>Kaupalliset peruspolttoaineet</v>
      </c>
      <c r="D20" s="1337"/>
      <c r="E20" s="1338" t="str">
        <f t="shared" si="1"/>
        <v/>
      </c>
      <c r="F20" s="1339" t="s">
        <v>1660</v>
      </c>
      <c r="G20" s="1340" t="str">
        <f t="shared" si="2"/>
        <v>t</v>
      </c>
      <c r="H20" s="1341">
        <v>74.099999999999994</v>
      </c>
      <c r="I20" s="1342" t="str">
        <f t="shared" si="3"/>
        <v>tCO2/TJ</v>
      </c>
      <c r="J20" s="1341">
        <v>43</v>
      </c>
      <c r="K20" s="1342" t="str">
        <f t="shared" si="4"/>
        <v>GJ/t</v>
      </c>
      <c r="L20" s="1343" t="str">
        <f t="shared" si="5"/>
        <v>ei sovellettavissa</v>
      </c>
      <c r="M20" s="1344" t="b">
        <v>0</v>
      </c>
      <c r="N20" s="1344" t="b">
        <v>0</v>
      </c>
      <c r="O20" s="1345" t="s">
        <v>136</v>
      </c>
      <c r="P20" s="1346" t="str">
        <f t="shared" si="6"/>
        <v>ei sovellettavissa</v>
      </c>
      <c r="Q20" s="1346" t="s">
        <v>1661</v>
      </c>
      <c r="R20" s="1346" t="str">
        <f t="shared" si="7"/>
        <v>ei sovellettavissa</v>
      </c>
      <c r="S20" s="1346" t="str">
        <f t="shared" si="8"/>
        <v>tCO2/TJ</v>
      </c>
      <c r="T20" s="1347" t="str">
        <f>L20</f>
        <v>ei sovellettavissa</v>
      </c>
      <c r="U20" s="16"/>
      <c r="AL20" s="663">
        <f>IF(COUNTIF($C20:$E20,AL$18)=0,"",MAX(AL$18:AL19)+1)</f>
        <v>2</v>
      </c>
      <c r="AM20" s="663" t="str">
        <f>IF(COUNTIF($C20:$E20,AM$18)=0,"",MAX(AM$18:AM19)+1)</f>
        <v/>
      </c>
      <c r="AN20" s="663" t="str">
        <f>IF(COUNTIF($C20:$E20,AN$18)=0,"",MAX(AN$18:AN19)+1)</f>
        <v/>
      </c>
      <c r="AO20" s="663" t="str">
        <f>IF(COUNTIF($C20:$E20,AO$18)=0,"",MAX(AO$18:AO19)+1)</f>
        <v/>
      </c>
    </row>
    <row r="21" spans="1:41" x14ac:dyDescent="0.25">
      <c r="A21" s="1334" t="str">
        <f>Translations!B571</f>
        <v>Nestemäinen - Moottoribensiini (ei sekoitettu tai lisäaine)</v>
      </c>
      <c r="B21" s="1335">
        <v>1</v>
      </c>
      <c r="C21" s="1336" t="str">
        <f t="shared" si="0"/>
        <v>Kaupalliset peruspolttoaineet</v>
      </c>
      <c r="D21" s="1337"/>
      <c r="E21" s="1338" t="str">
        <f t="shared" si="1"/>
        <v/>
      </c>
      <c r="F21" s="1339"/>
      <c r="G21" s="1340" t="str">
        <f t="shared" si="2"/>
        <v>t</v>
      </c>
      <c r="H21" s="1341"/>
      <c r="I21" s="1342" t="str">
        <f t="shared" si="3"/>
        <v>tCO2/TJ</v>
      </c>
      <c r="J21" s="1341"/>
      <c r="K21" s="1342" t="str">
        <f t="shared" si="4"/>
        <v>GJ/t</v>
      </c>
      <c r="L21" s="1343"/>
      <c r="M21" s="1344" t="b">
        <v>0</v>
      </c>
      <c r="N21" s="1344" t="b">
        <v>0</v>
      </c>
      <c r="O21" s="1345" t="s">
        <v>136</v>
      </c>
      <c r="P21" s="1346">
        <f>0.74*43.4/1000</f>
        <v>3.2115999999999999E-2</v>
      </c>
      <c r="Q21" s="1346" t="s">
        <v>1661</v>
      </c>
      <c r="R21" s="1346">
        <v>71.599999999999994</v>
      </c>
      <c r="S21" s="1346" t="s">
        <v>129</v>
      </c>
      <c r="T21" s="1348">
        <v>0</v>
      </c>
      <c r="U21" s="16"/>
      <c r="AL21" s="663">
        <f>IF(COUNTIF($C21:$E21,AL$18)=0,"",MAX(AL$18:AL20)+1)</f>
        <v>3</v>
      </c>
      <c r="AM21" s="663" t="str">
        <f>IF(COUNTIF($C21:$E21,AM$18)=0,"",MAX(AM$18:AM20)+1)</f>
        <v/>
      </c>
      <c r="AN21" s="663" t="str">
        <f>IF(COUNTIF($C21:$E21,AN$18)=0,"",MAX(AN$18:AN20)+1)</f>
        <v/>
      </c>
      <c r="AO21" s="663" t="str">
        <f>IF(COUNTIF($C21:$E21,AO$18)=0,"",MAX(AO$18:AO20)+1)</f>
        <v/>
      </c>
    </row>
    <row r="22" spans="1:41" x14ac:dyDescent="0.25">
      <c r="A22" s="1334" t="str">
        <f>Translations!B573</f>
        <v>Nestemäinen - Dieselöljy (ei sekoitettu tai lisäaine)</v>
      </c>
      <c r="B22" s="1335">
        <v>1</v>
      </c>
      <c r="C22" s="1336" t="str">
        <f t="shared" si="0"/>
        <v>Kaupalliset peruspolttoaineet</v>
      </c>
      <c r="D22" s="1337"/>
      <c r="E22" s="1338" t="str">
        <f t="shared" si="1"/>
        <v/>
      </c>
      <c r="F22" s="1339"/>
      <c r="G22" s="1340" t="str">
        <f t="shared" si="2"/>
        <v>t</v>
      </c>
      <c r="H22" s="1341"/>
      <c r="I22" s="1342" t="str">
        <f t="shared" si="3"/>
        <v>tCO2/TJ</v>
      </c>
      <c r="J22" s="1341"/>
      <c r="K22" s="1342" t="str">
        <f t="shared" si="4"/>
        <v>GJ/t</v>
      </c>
      <c r="L22" s="1343"/>
      <c r="M22" s="1344" t="b">
        <v>0</v>
      </c>
      <c r="N22" s="1344" t="b">
        <v>0</v>
      </c>
      <c r="O22" s="1345" t="s">
        <v>136</v>
      </c>
      <c r="P22" s="1346">
        <f>0.832*43.3/1000</f>
        <v>3.6025599999999998E-2</v>
      </c>
      <c r="Q22" s="1346" t="s">
        <v>1661</v>
      </c>
      <c r="R22" s="1346">
        <v>72.900000000000006</v>
      </c>
      <c r="S22" s="1346" t="s">
        <v>129</v>
      </c>
      <c r="T22" s="1348">
        <v>0</v>
      </c>
      <c r="U22" s="16"/>
      <c r="AL22" s="663">
        <f>IF(COUNTIF($C22:$E22,AL$18)=0,"",MAX(AL$18:AL21)+1)</f>
        <v>4</v>
      </c>
      <c r="AM22" s="663" t="str">
        <f>IF(COUNTIF($C22:$E22,AM$18)=0,"",MAX(AM$18:AM21)+1)</f>
        <v/>
      </c>
      <c r="AN22" s="663" t="str">
        <f>IF(COUNTIF($C22:$E22,AN$18)=0,"",MAX(AN$18:AN21)+1)</f>
        <v/>
      </c>
      <c r="AO22" s="663" t="str">
        <f>IF(COUNTIF($C22:$E22,AO$18)=0,"",MAX(AO$18:AO21)+1)</f>
        <v/>
      </c>
    </row>
    <row r="23" spans="1:41" x14ac:dyDescent="0.25">
      <c r="A23" s="1334" t="str">
        <f>Translations!B606</f>
        <v>Nestemäinen - Kevyt polttoöljy (ei sekoitettu tai lisäaine)</v>
      </c>
      <c r="B23" s="1335">
        <v>1</v>
      </c>
      <c r="C23" s="1336" t="str">
        <f t="shared" si="0"/>
        <v>Kaupalliset peruspolttoaineet</v>
      </c>
      <c r="D23" s="1337"/>
      <c r="E23" s="1338" t="str">
        <f t="shared" si="1"/>
        <v/>
      </c>
      <c r="F23" s="1349" t="s">
        <v>1660</v>
      </c>
      <c r="G23" s="1350" t="str">
        <f t="shared" si="2"/>
        <v>t</v>
      </c>
      <c r="H23" s="1351">
        <v>74.099999999999994</v>
      </c>
      <c r="I23" s="1352" t="str">
        <f t="shared" si="3"/>
        <v>tCO2/TJ</v>
      </c>
      <c r="J23" s="1351">
        <v>43</v>
      </c>
      <c r="K23" s="1352" t="str">
        <f t="shared" si="4"/>
        <v>GJ/t</v>
      </c>
      <c r="L23" s="1353" t="str">
        <f>EUconst_NA</f>
        <v>ei sovellettavissa</v>
      </c>
      <c r="M23" s="1344" t="b">
        <v>0</v>
      </c>
      <c r="N23" s="1344" t="b">
        <v>0</v>
      </c>
      <c r="O23" s="1345" t="s">
        <v>136</v>
      </c>
      <c r="P23" s="1346">
        <f>0.834*43.2/1000</f>
        <v>3.6028800000000007E-2</v>
      </c>
      <c r="Q23" s="1346" t="s">
        <v>1661</v>
      </c>
      <c r="R23" s="1346">
        <v>73.099999999999994</v>
      </c>
      <c r="S23" s="1346" t="s">
        <v>129</v>
      </c>
      <c r="T23" s="1348">
        <v>0</v>
      </c>
      <c r="U23" s="16"/>
      <c r="AL23" s="663">
        <f>IF(COUNTIF($C23:$E23,AL$18)=0,"",MAX(AL$18:AL22)+1)</f>
        <v>5</v>
      </c>
      <c r="AM23" s="663" t="str">
        <f>IF(COUNTIF($C23:$E23,AM$18)=0,"",MAX(AM$18:AM22)+1)</f>
        <v/>
      </c>
      <c r="AN23" s="663" t="str">
        <f>IF(COUNTIF($C23:$E23,AN$18)=0,"",MAX(AN$18:AN22)+1)</f>
        <v/>
      </c>
      <c r="AO23" s="663" t="str">
        <f>IF(COUNTIF($C23:$E23,AO$18)=0,"",MAX(AO$18:AO22)+1)</f>
        <v/>
      </c>
    </row>
    <row r="24" spans="1:41" ht="12.65" customHeight="1" x14ac:dyDescent="0.25">
      <c r="A24" s="1334" t="str">
        <f>Translations!B574</f>
        <v>Nestemäinen - Kevyt polttoöljy (seos)</v>
      </c>
      <c r="B24" s="1335">
        <v>1</v>
      </c>
      <c r="C24" s="1336" t="str">
        <f t="shared" si="0"/>
        <v>Kaupalliset peruspolttoaineet</v>
      </c>
      <c r="D24" s="1337"/>
      <c r="E24" s="1338" t="str">
        <f t="shared" si="1"/>
        <v/>
      </c>
      <c r="F24" s="1339" t="s">
        <v>1660</v>
      </c>
      <c r="G24" s="1340" t="str">
        <f t="shared" si="2"/>
        <v>t</v>
      </c>
      <c r="H24" s="1341" t="str">
        <f>EUconst_NA</f>
        <v>ei sovellettavissa</v>
      </c>
      <c r="I24" s="1342" t="str">
        <f t="shared" si="3"/>
        <v>tCO2/TJ</v>
      </c>
      <c r="J24" s="1341" t="str">
        <f>EUconst_NA</f>
        <v>ei sovellettavissa</v>
      </c>
      <c r="K24" s="1342" t="str">
        <f t="shared" si="4"/>
        <v>GJ/t</v>
      </c>
      <c r="L24" s="1343" t="str">
        <f t="shared" si="5"/>
        <v>ei sovellettavissa</v>
      </c>
      <c r="M24" s="1344" t="b">
        <v>1</v>
      </c>
      <c r="N24" s="1344" t="b">
        <v>0</v>
      </c>
      <c r="O24" s="1345" t="s">
        <v>136</v>
      </c>
      <c r="P24" s="1346" t="str">
        <f>EUconst_NA</f>
        <v>ei sovellettavissa</v>
      </c>
      <c r="Q24" s="1346" t="s">
        <v>1661</v>
      </c>
      <c r="R24" s="1346" t="str">
        <f>EUconst_NA</f>
        <v>ei sovellettavissa</v>
      </c>
      <c r="S24" s="1346" t="str">
        <f t="shared" si="8"/>
        <v>tCO2/TJ</v>
      </c>
      <c r="T24" s="1346" t="str">
        <f>EUconst_NA</f>
        <v>ei sovellettavissa</v>
      </c>
      <c r="U24" s="16"/>
      <c r="AL24" s="663">
        <f>IF(COUNTIF($C24:$E24,AL$18)=0,"",MAX(AL$18:AL23)+1)</f>
        <v>6</v>
      </c>
      <c r="AM24" s="663" t="str">
        <f>IF(COUNTIF($C24:$E24,AM$18)=0,"",MAX(AM$18:AM23)+1)</f>
        <v/>
      </c>
      <c r="AN24" s="663" t="str">
        <f>IF(COUNTIF($C24:$E24,AN$18)=0,"",MAX(AN$18:AN23)+1)</f>
        <v/>
      </c>
      <c r="AO24" s="663" t="str">
        <f>IF(COUNTIF($C24:$E24,AO$18)=0,"",MAX(AO$18:AO23)+1)</f>
        <v/>
      </c>
    </row>
    <row r="25" spans="1:41" ht="16" customHeight="1" x14ac:dyDescent="0.25">
      <c r="A25" s="1334" t="str">
        <f>Translations!B575</f>
        <v>Nestemäinen - Muut keskiraskaat öljyt</v>
      </c>
      <c r="B25" s="1335">
        <v>2</v>
      </c>
      <c r="C25" s="1336" t="str">
        <f t="shared" si="0"/>
        <v>Muut kaasumaiset ja nestemäiset polttoaineet</v>
      </c>
      <c r="D25" s="1337"/>
      <c r="E25" s="1338" t="str">
        <f t="shared" si="1"/>
        <v/>
      </c>
      <c r="F25" s="1339" t="s">
        <v>1660</v>
      </c>
      <c r="G25" s="1340" t="str">
        <f t="shared" si="2"/>
        <v>t</v>
      </c>
      <c r="H25" s="1341" t="str">
        <f>EUconst_NA</f>
        <v>ei sovellettavissa</v>
      </c>
      <c r="I25" s="1342" t="str">
        <f t="shared" si="3"/>
        <v>tCO2/TJ</v>
      </c>
      <c r="J25" s="1341" t="str">
        <f>EUconst_NA</f>
        <v>ei sovellettavissa</v>
      </c>
      <c r="K25" s="1342" t="str">
        <f t="shared" si="4"/>
        <v>GJ/t</v>
      </c>
      <c r="L25" s="1341" t="str">
        <f>EUconst_NA</f>
        <v>ei sovellettavissa</v>
      </c>
      <c r="M25" s="1344" t="b">
        <v>0</v>
      </c>
      <c r="N25" s="1344" t="b">
        <v>0</v>
      </c>
      <c r="O25" s="1345" t="s">
        <v>136</v>
      </c>
      <c r="P25" s="1346">
        <f>0.85*42.7/1000</f>
        <v>3.6295000000000001E-2</v>
      </c>
      <c r="Q25" s="1346" t="s">
        <v>1661</v>
      </c>
      <c r="R25" s="1346">
        <v>74.099999999999994</v>
      </c>
      <c r="S25" s="1346" t="str">
        <f t="shared" si="8"/>
        <v>tCO2/TJ</v>
      </c>
      <c r="T25" s="1347" t="str">
        <f t="shared" si="9"/>
        <v>ei sovellettavissa</v>
      </c>
      <c r="U25" s="16"/>
      <c r="AL25" s="663" t="str">
        <f>IF(COUNTIF($C25:$E25,AL$18)=0,"",MAX(AL$18:AL24)+1)</f>
        <v/>
      </c>
      <c r="AM25" s="663">
        <f>IF(COUNTIF($C25:$E25,AM$18)=0,"",MAX(AM$18:AM24)+1)</f>
        <v>1</v>
      </c>
      <c r="AN25" s="663" t="str">
        <f>IF(COUNTIF($C25:$E25,AN$18)=0,"",MAX(AN$18:AN24)+1)</f>
        <v/>
      </c>
      <c r="AO25" s="663" t="str">
        <f>IF(COUNTIF($C25:$E25,AO$18)=0,"",MAX(AO$18:AO24)+1)</f>
        <v/>
      </c>
    </row>
    <row r="26" spans="1:41" ht="14.5" customHeight="1" x14ac:dyDescent="0.25">
      <c r="A26" s="1334" t="str">
        <f>Translations!B608</f>
        <v>Nestemäinen - Pienmoottoribensiini</v>
      </c>
      <c r="B26" s="1335">
        <v>1</v>
      </c>
      <c r="C26" s="1336" t="str">
        <f t="shared" si="0"/>
        <v>Kaupalliset peruspolttoaineet</v>
      </c>
      <c r="D26" s="1337"/>
      <c r="E26" s="1338" t="str">
        <f t="shared" si="1"/>
        <v/>
      </c>
      <c r="F26" s="1339" t="s">
        <v>1660</v>
      </c>
      <c r="G26" s="1350" t="str">
        <f t="shared" si="2"/>
        <v>t</v>
      </c>
      <c r="H26" s="1351" t="str">
        <f>EUconst_NA</f>
        <v>ei sovellettavissa</v>
      </c>
      <c r="I26" s="1352" t="str">
        <f t="shared" si="3"/>
        <v>tCO2/TJ</v>
      </c>
      <c r="J26" s="1351" t="str">
        <f>EUconst_NA</f>
        <v>ei sovellettavissa</v>
      </c>
      <c r="K26" s="1352" t="str">
        <f t="shared" si="4"/>
        <v>GJ/t</v>
      </c>
      <c r="L26" s="1351" t="str">
        <f>EUconst_NA</f>
        <v>ei sovellettavissa</v>
      </c>
      <c r="M26" s="1344" t="b">
        <v>0</v>
      </c>
      <c r="N26" s="1344" t="b">
        <v>0</v>
      </c>
      <c r="O26" s="1345" t="s">
        <v>136</v>
      </c>
      <c r="P26" s="1346">
        <f>0.69*44.5/1000</f>
        <v>3.0705E-2</v>
      </c>
      <c r="Q26" s="1346" t="s">
        <v>1661</v>
      </c>
      <c r="R26" s="1346">
        <v>69.2</v>
      </c>
      <c r="S26" s="1346" t="str">
        <f t="shared" si="8"/>
        <v>tCO2/TJ</v>
      </c>
      <c r="T26" s="1347" t="str">
        <f t="shared" si="9"/>
        <v>ei sovellettavissa</v>
      </c>
      <c r="U26" s="16"/>
      <c r="AL26" s="663">
        <f>IF(COUNTIF($C26:$E26,AL$18)=0,"",MAX(AL$18:AL25)+1)</f>
        <v>7</v>
      </c>
      <c r="AM26" s="663" t="str">
        <f>IF(COUNTIF($C26:$E26,AM$18)=0,"",MAX(AM$18:AM25)+1)</f>
        <v/>
      </c>
      <c r="AN26" s="663" t="str">
        <f>IF(COUNTIF($C26:$E26,AN$18)=0,"",MAX(AN$18:AN25)+1)</f>
        <v/>
      </c>
      <c r="AO26" s="663" t="str">
        <f>IF(COUNTIF($C26:$E26,AO$18)=0,"",MAX(AO$18:AO25)+1)</f>
        <v/>
      </c>
    </row>
    <row r="27" spans="1:41" x14ac:dyDescent="0.25">
      <c r="A27" s="1334" t="str">
        <f>Translations!B577</f>
        <v>Nestemäinen - Nestekaasu</v>
      </c>
      <c r="B27" s="1335">
        <v>1</v>
      </c>
      <c r="C27" s="1336" t="str">
        <f t="shared" si="0"/>
        <v>Kaupalliset peruspolttoaineet</v>
      </c>
      <c r="D27" s="1337"/>
      <c r="E27" s="1338" t="str">
        <f t="shared" si="1"/>
        <v/>
      </c>
      <c r="F27" s="1339" t="s">
        <v>1660</v>
      </c>
      <c r="G27" s="1340" t="str">
        <f t="shared" si="2"/>
        <v>t</v>
      </c>
      <c r="H27" s="1341">
        <v>63.1</v>
      </c>
      <c r="I27" s="1342" t="str">
        <f t="shared" si="3"/>
        <v>tCO2/TJ</v>
      </c>
      <c r="J27" s="1341">
        <v>47.3</v>
      </c>
      <c r="K27" s="1342" t="str">
        <f t="shared" si="4"/>
        <v>GJ/t</v>
      </c>
      <c r="L27" s="1343" t="str">
        <f t="shared" si="5"/>
        <v>ei sovellettavissa</v>
      </c>
      <c r="M27" s="1344" t="b">
        <f>TRUE</f>
        <v>1</v>
      </c>
      <c r="N27" s="1344" t="b">
        <v>0</v>
      </c>
      <c r="O27" s="1345" t="s">
        <v>139</v>
      </c>
      <c r="P27" s="1346">
        <v>46.3</v>
      </c>
      <c r="Q27" s="1346" t="s">
        <v>1662</v>
      </c>
      <c r="R27" s="1346">
        <v>64.900000000000006</v>
      </c>
      <c r="S27" s="1346" t="str">
        <f t="shared" si="8"/>
        <v>tCO2/TJ</v>
      </c>
      <c r="T27" s="1347">
        <v>0</v>
      </c>
      <c r="U27" s="16"/>
      <c r="AL27" s="663">
        <f>IF(COUNTIF($C27:$E27,AL$18)=0,"",MAX(AL$18:AL26)+1)</f>
        <v>8</v>
      </c>
      <c r="AM27" s="663" t="str">
        <f>IF(COUNTIF($C27:$E27,AM$18)=0,"",MAX(AM$18:AM26)+1)</f>
        <v/>
      </c>
      <c r="AN27" s="663" t="str">
        <f>IF(COUNTIF($C27:$E27,AN$18)=0,"",MAX(AN$18:AN26)+1)</f>
        <v/>
      </c>
      <c r="AO27" s="663" t="str">
        <f>IF(COUNTIF($C27:$E27,AO$18)=0,"",MAX(AO$18:AO26)+1)</f>
        <v/>
      </c>
    </row>
    <row r="28" spans="1:41" x14ac:dyDescent="0.25">
      <c r="A28" s="1334" t="str">
        <f>Translations!B578</f>
        <v>Nestemäinen - Muut petrolit</v>
      </c>
      <c r="B28" s="1335">
        <v>2</v>
      </c>
      <c r="C28" s="1336" t="str">
        <f t="shared" si="0"/>
        <v>Muut kaasumaiset ja nestemäiset polttoaineet</v>
      </c>
      <c r="D28" s="1337"/>
      <c r="E28" s="1338" t="str">
        <f t="shared" si="1"/>
        <v/>
      </c>
      <c r="F28" s="1339" t="s">
        <v>1660</v>
      </c>
      <c r="G28" s="1340" t="str">
        <f t="shared" si="2"/>
        <v>t</v>
      </c>
      <c r="H28" s="1341">
        <v>71.900000000000006</v>
      </c>
      <c r="I28" s="1342" t="str">
        <f t="shared" si="3"/>
        <v>tCO2/TJ</v>
      </c>
      <c r="J28" s="1341">
        <v>43.8</v>
      </c>
      <c r="K28" s="1342" t="str">
        <f t="shared" si="4"/>
        <v>GJ/t</v>
      </c>
      <c r="L28" s="1343" t="str">
        <f t="shared" si="5"/>
        <v>ei sovellettavissa</v>
      </c>
      <c r="M28" s="1344" t="b">
        <v>0</v>
      </c>
      <c r="N28" s="1344" t="b">
        <v>0</v>
      </c>
      <c r="O28" s="1345" t="s">
        <v>139</v>
      </c>
      <c r="P28" s="1346">
        <v>43.1</v>
      </c>
      <c r="Q28" s="1346" t="s">
        <v>1662</v>
      </c>
      <c r="R28" s="1346">
        <v>71.5</v>
      </c>
      <c r="S28" s="1346" t="str">
        <f t="shared" si="8"/>
        <v>tCO2/TJ</v>
      </c>
      <c r="T28" s="1347" t="str">
        <f t="shared" si="9"/>
        <v>ei sovellettavissa</v>
      </c>
      <c r="U28" s="16"/>
      <c r="AL28" s="663" t="str">
        <f>IF(COUNTIF($C28:$E28,AL$18)=0,"",MAX(AL$18:AL27)+1)</f>
        <v/>
      </c>
      <c r="AM28" s="663">
        <f>IF(COUNTIF($C28:$E28,AM$18)=0,"",MAX(AM$18:AM27)+1)</f>
        <v>2</v>
      </c>
      <c r="AN28" s="663" t="str">
        <f>IF(COUNTIF($C28:$E28,AN$18)=0,"",MAX(AN$18:AN27)+1)</f>
        <v/>
      </c>
      <c r="AO28" s="663" t="str">
        <f>IF(COUNTIF($C28:$E28,AO$18)=0,"",MAX(AO$18:AO27)+1)</f>
        <v/>
      </c>
    </row>
    <row r="29" spans="1:41" x14ac:dyDescent="0.25">
      <c r="A29" s="1334" t="str">
        <f>Translations!B579</f>
        <v>Nestemäinen - Nesteytetty maakaasu</v>
      </c>
      <c r="B29" s="1335">
        <v>2</v>
      </c>
      <c r="C29" s="1336" t="str">
        <f t="shared" si="0"/>
        <v>Muut kaasumaiset ja nestemäiset polttoaineet</v>
      </c>
      <c r="D29" s="1337"/>
      <c r="E29" s="1338" t="str">
        <f t="shared" si="1"/>
        <v/>
      </c>
      <c r="F29" s="1339" t="s">
        <v>1660</v>
      </c>
      <c r="G29" s="1340" t="str">
        <f t="shared" si="2"/>
        <v>t</v>
      </c>
      <c r="H29" s="1341">
        <v>64.2</v>
      </c>
      <c r="I29" s="1342" t="str">
        <f t="shared" si="3"/>
        <v>tCO2/TJ</v>
      </c>
      <c r="J29" s="1341">
        <v>44.2</v>
      </c>
      <c r="K29" s="1342" t="str">
        <f t="shared" si="4"/>
        <v>GJ/t</v>
      </c>
      <c r="L29" s="1343" t="str">
        <f t="shared" si="5"/>
        <v>ei sovellettavissa</v>
      </c>
      <c r="M29" s="1344" t="b">
        <v>1</v>
      </c>
      <c r="N29" s="1344" t="b">
        <v>0</v>
      </c>
      <c r="O29" s="1345" t="s">
        <v>139</v>
      </c>
      <c r="P29" s="1346">
        <v>49.7</v>
      </c>
      <c r="Q29" s="1346" t="s">
        <v>1662</v>
      </c>
      <c r="R29" s="1346">
        <v>55.3</v>
      </c>
      <c r="S29" s="1346" t="str">
        <f t="shared" si="8"/>
        <v>tCO2/TJ</v>
      </c>
      <c r="T29" s="1347">
        <v>0</v>
      </c>
      <c r="U29" s="16"/>
      <c r="AL29" s="663" t="str">
        <f>IF(COUNTIF($C29:$E29,AL$18)=0,"",MAX(AL$18:AL28)+1)</f>
        <v/>
      </c>
      <c r="AM29" s="663">
        <f>IF(COUNTIF($C29:$E29,AM$18)=0,"",MAX(AM$18:AM28)+1)</f>
        <v>3</v>
      </c>
      <c r="AN29" s="663" t="str">
        <f>IF(COUNTIF($C29:$E29,AN$18)=0,"",MAX(AN$18:AN28)+1)</f>
        <v/>
      </c>
      <c r="AO29" s="663" t="str">
        <f>IF(COUNTIF($C29:$E29,AO$18)=0,"",MAX(AO$18:AO28)+1)</f>
        <v/>
      </c>
    </row>
    <row r="30" spans="1:41" x14ac:dyDescent="0.25">
      <c r="A30" s="1334" t="str">
        <f>Translations!B580</f>
        <v>Nestemäinen - Lentobensiini</v>
      </c>
      <c r="B30" s="1335">
        <v>1</v>
      </c>
      <c r="C30" s="1336" t="str">
        <f t="shared" si="0"/>
        <v>Kaupalliset peruspolttoaineet</v>
      </c>
      <c r="D30" s="1337"/>
      <c r="E30" s="1338" t="str">
        <f t="shared" si="1"/>
        <v/>
      </c>
      <c r="F30" s="1339" t="s">
        <v>1660</v>
      </c>
      <c r="G30" s="1340" t="str">
        <f t="shared" si="2"/>
        <v>t</v>
      </c>
      <c r="H30" s="1341">
        <v>70</v>
      </c>
      <c r="I30" s="1342" t="str">
        <f t="shared" si="3"/>
        <v>tCO2/TJ</v>
      </c>
      <c r="J30" s="1341">
        <v>44.3</v>
      </c>
      <c r="K30" s="1342" t="str">
        <f t="shared" si="4"/>
        <v>GJ/t</v>
      </c>
      <c r="L30" s="1343" t="str">
        <f t="shared" si="5"/>
        <v>ei sovellettavissa</v>
      </c>
      <c r="M30" s="1344" t="b">
        <f>TRUE</f>
        <v>1</v>
      </c>
      <c r="N30" s="1344" t="b">
        <v>0</v>
      </c>
      <c r="O30" s="1345" t="s">
        <v>139</v>
      </c>
      <c r="P30" s="1346">
        <v>43.7</v>
      </c>
      <c r="Q30" s="1346" t="s">
        <v>1662</v>
      </c>
      <c r="R30" s="1346">
        <v>71.3</v>
      </c>
      <c r="S30" s="1346" t="str">
        <f t="shared" si="8"/>
        <v>tCO2/TJ</v>
      </c>
      <c r="T30" s="1347">
        <v>0</v>
      </c>
      <c r="U30" s="16"/>
      <c r="AL30" s="663">
        <f>IF(COUNTIF($C30:$E30,AL$18)=0,"",MAX(AL$18:AL29)+1)</f>
        <v>9</v>
      </c>
      <c r="AM30" s="663" t="str">
        <f>IF(COUNTIF($C30:$E30,AM$18)=0,"",MAX(AM$18:AM29)+1)</f>
        <v/>
      </c>
      <c r="AN30" s="663" t="str">
        <f>IF(COUNTIF($C30:$E30,AN$18)=0,"",MAX(AN$18:AN29)+1)</f>
        <v/>
      </c>
      <c r="AO30" s="663" t="str">
        <f>IF(COUNTIF($C30:$E30,AO$18)=0,"",MAX(AO$18:AO29)+1)</f>
        <v/>
      </c>
    </row>
    <row r="31" spans="1:41" x14ac:dyDescent="0.25">
      <c r="A31" s="1334" t="str">
        <f>Translations!B582</f>
        <v>Nestemäinen - Lentopetroli</v>
      </c>
      <c r="B31" s="1335">
        <v>1</v>
      </c>
      <c r="C31" s="1336" t="str">
        <f t="shared" si="0"/>
        <v>Kaupalliset peruspolttoaineet</v>
      </c>
      <c r="D31" s="1337"/>
      <c r="E31" s="1338" t="str">
        <f t="shared" si="1"/>
        <v/>
      </c>
      <c r="F31" s="1339" t="s">
        <v>1660</v>
      </c>
      <c r="G31" s="1340" t="str">
        <f t="shared" si="2"/>
        <v>t</v>
      </c>
      <c r="H31" s="1341">
        <v>71.5</v>
      </c>
      <c r="I31" s="1342" t="str">
        <f t="shared" si="3"/>
        <v>tCO2/TJ</v>
      </c>
      <c r="J31" s="1341">
        <v>44.1</v>
      </c>
      <c r="K31" s="1342" t="str">
        <f t="shared" si="4"/>
        <v>GJ/t</v>
      </c>
      <c r="L31" s="1343" t="str">
        <f t="shared" si="5"/>
        <v>ei sovellettavissa</v>
      </c>
      <c r="M31" s="1344" t="b">
        <f>TRUE</f>
        <v>1</v>
      </c>
      <c r="N31" s="1344" t="b">
        <v>0</v>
      </c>
      <c r="O31" s="1345" t="s">
        <v>139</v>
      </c>
      <c r="P31" s="1346">
        <v>43.3</v>
      </c>
      <c r="Q31" s="1346" t="s">
        <v>1662</v>
      </c>
      <c r="R31" s="1346">
        <v>73.2</v>
      </c>
      <c r="S31" s="1346" t="str">
        <f t="shared" si="8"/>
        <v>tCO2/TJ</v>
      </c>
      <c r="T31" s="1347">
        <v>0</v>
      </c>
      <c r="U31" s="16"/>
      <c r="AL31" s="663">
        <f>IF(COUNTIF($C31:$E31,AL$18)=0,"",MAX(AL$18:AL30)+1)</f>
        <v>10</v>
      </c>
      <c r="AM31" s="663" t="str">
        <f>IF(COUNTIF($C31:$E31,AM$18)=0,"",MAX(AM$18:AM30)+1)</f>
        <v/>
      </c>
      <c r="AN31" s="663" t="str">
        <f>IF(COUNTIF($C31:$E31,AN$18)=0,"",MAX(AN$18:AN30)+1)</f>
        <v/>
      </c>
      <c r="AO31" s="663" t="str">
        <f>IF(COUNTIF($C31:$E31,AO$18)=0,"",MAX(AO$18:AO30)+1)</f>
        <v/>
      </c>
    </row>
    <row r="32" spans="1:41" x14ac:dyDescent="0.25">
      <c r="A32" s="1334" t="str">
        <f>Translations!B609</f>
        <v>Nestemäinen - 2-tahtiöljyt</v>
      </c>
      <c r="B32" s="1335">
        <v>1</v>
      </c>
      <c r="C32" s="1336" t="str">
        <f t="shared" si="0"/>
        <v>Kaupalliset peruspolttoaineet</v>
      </c>
      <c r="D32" s="1337"/>
      <c r="E32" s="1338" t="str">
        <f t="shared" si="1"/>
        <v/>
      </c>
      <c r="F32" s="1339" t="s">
        <v>1660</v>
      </c>
      <c r="G32" s="1340" t="s">
        <v>136</v>
      </c>
      <c r="H32" s="1341"/>
      <c r="I32" s="1342" t="str">
        <f t="shared" si="3"/>
        <v>tCO2/TJ</v>
      </c>
      <c r="J32" s="1341"/>
      <c r="K32" s="1342" t="str">
        <f t="shared" si="4"/>
        <v>GJ/t</v>
      </c>
      <c r="L32" s="1343" t="str">
        <f t="shared" si="5"/>
        <v>ei sovellettavissa</v>
      </c>
      <c r="M32" s="1344" t="b">
        <f>TRUE</f>
        <v>1</v>
      </c>
      <c r="N32" s="1344" t="b">
        <v>0</v>
      </c>
      <c r="O32" s="1345" t="s">
        <v>136</v>
      </c>
      <c r="P32" s="1346">
        <f>0.85*40.2/1000</f>
        <v>3.4169999999999999E-2</v>
      </c>
      <c r="Q32" s="1346" t="s">
        <v>1661</v>
      </c>
      <c r="R32" s="1346">
        <v>73.3</v>
      </c>
      <c r="S32" s="1346" t="str">
        <f t="shared" si="8"/>
        <v>tCO2/TJ</v>
      </c>
      <c r="T32" s="1347">
        <v>0</v>
      </c>
      <c r="U32" s="16"/>
      <c r="AL32" s="663">
        <f>IF(COUNTIF($C32:$E32,AL$18)=0,"",MAX(AL$18:AL31)+1)</f>
        <v>11</v>
      </c>
      <c r="AM32" s="663" t="str">
        <f>IF(COUNTIF($C32:$E32,AM$18)=0,"",MAX(AM$18:AM31)+1)</f>
        <v/>
      </c>
      <c r="AN32" s="663" t="str">
        <f>IF(COUNTIF($C32:$E32,AN$18)=0,"",MAX(AN$18:AN31)+1)</f>
        <v/>
      </c>
      <c r="AO32" s="663" t="str">
        <f>IF(COUNTIF($C32:$E32,AO$18)=0,"",MAX(AO$18:AO31)+1)</f>
        <v/>
      </c>
    </row>
    <row r="33" spans="1:41" x14ac:dyDescent="0.25">
      <c r="A33" s="1334" t="s">
        <v>1504</v>
      </c>
      <c r="B33" s="1335">
        <v>1</v>
      </c>
      <c r="C33" s="1336" t="str">
        <f t="shared" si="0"/>
        <v>Kaupalliset peruspolttoaineet</v>
      </c>
      <c r="D33" s="1337"/>
      <c r="E33" s="1338" t="str">
        <f t="shared" si="1"/>
        <v/>
      </c>
      <c r="F33" s="1339" t="s">
        <v>1660</v>
      </c>
      <c r="G33" s="1350" t="str">
        <f t="shared" si="2"/>
        <v>t</v>
      </c>
      <c r="H33" s="1351">
        <v>73.3</v>
      </c>
      <c r="I33" s="1352" t="str">
        <f t="shared" si="3"/>
        <v>tCO2/TJ</v>
      </c>
      <c r="J33" s="1351">
        <v>38.1</v>
      </c>
      <c r="K33" s="1352" t="str">
        <f t="shared" si="4"/>
        <v>GJ/t</v>
      </c>
      <c r="L33" s="1353" t="str">
        <f t="shared" si="5"/>
        <v>ei sovellettavissa</v>
      </c>
      <c r="M33" s="1344" t="b">
        <v>1</v>
      </c>
      <c r="N33" s="1344" t="b">
        <v>0</v>
      </c>
      <c r="O33" s="1345" t="s">
        <v>136</v>
      </c>
      <c r="P33" s="1346">
        <f>0.82*25.6/1000</f>
        <v>2.0992E-2</v>
      </c>
      <c r="Q33" s="1346" t="s">
        <v>1661</v>
      </c>
      <c r="R33" s="1346">
        <v>68.2</v>
      </c>
      <c r="S33" s="1346" t="str">
        <f t="shared" si="8"/>
        <v>tCO2/TJ</v>
      </c>
      <c r="T33" s="1354">
        <v>1</v>
      </c>
      <c r="U33" s="16"/>
      <c r="AL33" s="663">
        <f>IF(COUNTIF($C33:$E33,AL$18)=0,"",MAX(AL$18:AL32)+1)</f>
        <v>12</v>
      </c>
      <c r="AM33" s="663" t="str">
        <f>IF(COUNTIF($C33:$E33,AM$18)=0,"",MAX(AM$18:AM32)+1)</f>
        <v/>
      </c>
      <c r="AN33" s="663" t="str">
        <f>IF(COUNTIF($C33:$E33,AN$18)=0,"",MAX(AN$18:AN32)+1)</f>
        <v/>
      </c>
      <c r="AO33" s="663" t="str">
        <f>IF(COUNTIF($C33:$E33,AO$18)=0,"",MAX(AO$18:AO32)+1)</f>
        <v/>
      </c>
    </row>
    <row r="34" spans="1:41" ht="16" customHeight="1" x14ac:dyDescent="0.25">
      <c r="A34" s="1334" t="str">
        <f>Translations!B607</f>
        <v>Nestemäinen - Bioetanoli</v>
      </c>
      <c r="B34" s="1335">
        <v>1</v>
      </c>
      <c r="C34" s="1336" t="str">
        <f t="shared" si="0"/>
        <v>Kaupalliset peruspolttoaineet</v>
      </c>
      <c r="D34" s="1337"/>
      <c r="E34" s="1338" t="str">
        <f t="shared" si="1"/>
        <v/>
      </c>
      <c r="F34" s="1339" t="s">
        <v>1660</v>
      </c>
      <c r="G34" s="1350" t="str">
        <f t="shared" si="2"/>
        <v>t</v>
      </c>
      <c r="H34" s="1351" t="str">
        <f>EUconst_NA</f>
        <v>ei sovellettavissa</v>
      </c>
      <c r="I34" s="1352" t="str">
        <f t="shared" si="3"/>
        <v>tCO2/TJ</v>
      </c>
      <c r="J34" s="1351">
        <v>27</v>
      </c>
      <c r="K34" s="1352" t="str">
        <f t="shared" si="4"/>
        <v>GJ/t</v>
      </c>
      <c r="L34" s="1355">
        <v>1</v>
      </c>
      <c r="M34" s="1344" t="b">
        <v>1</v>
      </c>
      <c r="N34" s="1344" t="b">
        <v>0</v>
      </c>
      <c r="O34" s="1345" t="s">
        <v>136</v>
      </c>
      <c r="P34" s="1346">
        <f>0.79*26.6/1000</f>
        <v>2.1014000000000001E-2</v>
      </c>
      <c r="Q34" s="1346" t="s">
        <v>1661</v>
      </c>
      <c r="R34" s="1346">
        <v>72</v>
      </c>
      <c r="S34" s="1346" t="str">
        <f t="shared" si="8"/>
        <v>tCO2/TJ</v>
      </c>
      <c r="T34" s="1354">
        <f t="shared" si="9"/>
        <v>1</v>
      </c>
      <c r="U34" s="16"/>
      <c r="AL34" s="663">
        <f>IF(COUNTIF($C34:$E34,AL$18)=0,"",MAX(AL$18:AL33)+1)</f>
        <v>13</v>
      </c>
      <c r="AM34" s="663" t="str">
        <f>IF(COUNTIF($C34:$E34,AM$18)=0,"",MAX(AM$18:AM33)+1)</f>
        <v/>
      </c>
      <c r="AN34" s="663" t="str">
        <f>IF(COUNTIF($C34:$E34,AN$18)=0,"",MAX(AN$18:AN33)+1)</f>
        <v/>
      </c>
      <c r="AO34" s="663" t="str">
        <f>IF(COUNTIF($C34:$E34,AO$18)=0,"",MAX(AO$18:AO33)+1)</f>
        <v/>
      </c>
    </row>
    <row r="35" spans="1:41" ht="13" customHeight="1" x14ac:dyDescent="0.25">
      <c r="A35" s="1334" t="str">
        <f>Translations!B585</f>
        <v>Nestemäinen - Uusiutuva diesel (ei sekoitettu)</v>
      </c>
      <c r="B35" s="1335">
        <v>1</v>
      </c>
      <c r="C35" s="1336" t="str">
        <f t="shared" si="0"/>
        <v>Kaupalliset peruspolttoaineet</v>
      </c>
      <c r="D35" s="1337"/>
      <c r="E35" s="1338" t="str">
        <f t="shared" si="1"/>
        <v/>
      </c>
      <c r="F35" s="1339" t="s">
        <v>1660</v>
      </c>
      <c r="G35" s="1340" t="str">
        <f t="shared" si="2"/>
        <v>t</v>
      </c>
      <c r="H35" s="1341" t="str">
        <f>EUconst_NA</f>
        <v>ei sovellettavissa</v>
      </c>
      <c r="I35" s="1342" t="str">
        <f t="shared" si="3"/>
        <v>tCO2/TJ</v>
      </c>
      <c r="J35" s="1341">
        <v>27</v>
      </c>
      <c r="K35" s="1342" t="str">
        <f t="shared" si="4"/>
        <v>GJ/t</v>
      </c>
      <c r="L35" s="1356">
        <v>1</v>
      </c>
      <c r="M35" s="1344" t="b">
        <v>1</v>
      </c>
      <c r="N35" s="1344" t="b">
        <v>0</v>
      </c>
      <c r="O35" s="1345" t="s">
        <v>136</v>
      </c>
      <c r="P35" s="1346">
        <f>0.78*43.6/1000</f>
        <v>3.4008000000000004E-2</v>
      </c>
      <c r="Q35" s="1346" t="s">
        <v>1661</v>
      </c>
      <c r="R35" s="1346">
        <v>71.599999999999994</v>
      </c>
      <c r="S35" s="1346" t="str">
        <f t="shared" si="8"/>
        <v>tCO2/TJ</v>
      </c>
      <c r="T35" s="1354">
        <f t="shared" ref="T35:T52" si="10">L35</f>
        <v>1</v>
      </c>
      <c r="U35" s="16"/>
      <c r="AL35" s="663">
        <f>IF(COUNTIF($C35:$E35,AL$18)=0,"",MAX(AL$18:AL34)+1)</f>
        <v>14</v>
      </c>
      <c r="AM35" s="663" t="str">
        <f>IF(COUNTIF($C35:$E35,AM$18)=0,"",MAX(AM$18:AM34)+1)</f>
        <v/>
      </c>
      <c r="AN35" s="663" t="str">
        <f>IF(COUNTIF($C35:$E35,AN$18)=0,"",MAX(AN$18:AN34)+1)</f>
        <v/>
      </c>
      <c r="AO35" s="663" t="str">
        <f>IF(COUNTIF($C35:$E35,AO$18)=0,"",MAX(AO$18:AO34)+1)</f>
        <v/>
      </c>
    </row>
    <row r="36" spans="1:41" ht="13" customHeight="1" x14ac:dyDescent="0.25">
      <c r="A36" s="1334" t="str">
        <f>Translations!B586</f>
        <v>Nestemäinen - Kierrätys- ja jäteöljyt</v>
      </c>
      <c r="B36" s="1335">
        <v>2</v>
      </c>
      <c r="C36" s="1336" t="str">
        <f t="shared" si="0"/>
        <v>Muut kaasumaiset ja nestemäiset polttoaineet</v>
      </c>
      <c r="D36" s="1337"/>
      <c r="E36" s="1338" t="str">
        <f t="shared" si="1"/>
        <v/>
      </c>
      <c r="F36" s="1339" t="s">
        <v>1660</v>
      </c>
      <c r="G36" s="1340" t="str">
        <f t="shared" si="2"/>
        <v>t</v>
      </c>
      <c r="H36" s="1341">
        <v>73.3</v>
      </c>
      <c r="I36" s="1342" t="str">
        <f t="shared" si="3"/>
        <v>tCO2/TJ</v>
      </c>
      <c r="J36" s="1341">
        <v>40.200000000000003</v>
      </c>
      <c r="K36" s="1342" t="str">
        <f t="shared" si="4"/>
        <v>GJ/t</v>
      </c>
      <c r="L36" s="1341" t="str">
        <f>EUconst_NA</f>
        <v>ei sovellettavissa</v>
      </c>
      <c r="M36" s="1344" t="b">
        <f>FALSE</f>
        <v>0</v>
      </c>
      <c r="N36" s="1344" t="b">
        <v>0</v>
      </c>
      <c r="O36" s="1345" t="s">
        <v>139</v>
      </c>
      <c r="P36" s="1346">
        <v>38</v>
      </c>
      <c r="Q36" s="1346" t="s">
        <v>1662</v>
      </c>
      <c r="R36" s="1346">
        <v>78.8</v>
      </c>
      <c r="S36" s="1346" t="str">
        <f t="shared" si="8"/>
        <v>tCO2/TJ</v>
      </c>
      <c r="T36" s="1357" t="str">
        <f>L36</f>
        <v>ei sovellettavissa</v>
      </c>
      <c r="U36" s="16"/>
      <c r="AL36" s="663" t="str">
        <f>IF(COUNTIF($C36:$E36,AL$18)=0,"",MAX(AL$18:AL35)+1)</f>
        <v/>
      </c>
      <c r="AM36" s="663">
        <f>IF(COUNTIF($C36:$E36,AM$18)=0,"",MAX(AM$18:AM35)+1)</f>
        <v>4</v>
      </c>
      <c r="AN36" s="663" t="str">
        <f>IF(COUNTIF($C36:$E36,AN$18)=0,"",MAX(AN$18:AN35)+1)</f>
        <v/>
      </c>
      <c r="AO36" s="663" t="str">
        <f>IF(COUNTIF($C36:$E36,AO$18)=0,"",MAX(AO$18:AO35)+1)</f>
        <v/>
      </c>
    </row>
    <row r="37" spans="1:41" ht="13" customHeight="1" x14ac:dyDescent="0.25">
      <c r="A37" s="1334" t="str">
        <f>Translations!B587</f>
        <v>Nestemäinen - Muut nestemäiset polttoaineet</v>
      </c>
      <c r="B37" s="1335">
        <v>2</v>
      </c>
      <c r="C37" s="1336" t="str">
        <f t="shared" si="0"/>
        <v>Muut kaasumaiset ja nestemäiset polttoaineet</v>
      </c>
      <c r="D37" s="1337"/>
      <c r="E37" s="1338" t="str">
        <f t="shared" si="1"/>
        <v/>
      </c>
      <c r="F37" s="1339" t="s">
        <v>1660</v>
      </c>
      <c r="G37" s="1340" t="str">
        <f t="shared" si="2"/>
        <v>t</v>
      </c>
      <c r="H37" s="1341" t="str">
        <f>EUconst_NA</f>
        <v>ei sovellettavissa</v>
      </c>
      <c r="I37" s="1342" t="str">
        <f t="shared" si="3"/>
        <v>tCO2/TJ</v>
      </c>
      <c r="J37" s="1341" t="str">
        <f>EUconst_NA</f>
        <v>ei sovellettavissa</v>
      </c>
      <c r="K37" s="1342" t="str">
        <f t="shared" si="4"/>
        <v>GJ/t</v>
      </c>
      <c r="L37" s="1341" t="str">
        <f>EUconst_NA</f>
        <v>ei sovellettavissa</v>
      </c>
      <c r="M37" s="1344" t="b">
        <v>0</v>
      </c>
      <c r="N37" s="1344" t="b">
        <v>0</v>
      </c>
      <c r="O37" s="1345" t="s">
        <v>139</v>
      </c>
      <c r="P37" s="1346" t="str">
        <f t="shared" si="6"/>
        <v>ei sovellettavissa</v>
      </c>
      <c r="Q37" s="1346" t="s">
        <v>1662</v>
      </c>
      <c r="R37" s="1346" t="str">
        <f t="shared" si="7"/>
        <v>ei sovellettavissa</v>
      </c>
      <c r="S37" s="1346" t="str">
        <f t="shared" si="8"/>
        <v>tCO2/TJ</v>
      </c>
      <c r="T37" s="1347" t="str">
        <f t="shared" si="10"/>
        <v>ei sovellettavissa</v>
      </c>
      <c r="U37" s="16"/>
      <c r="AL37" s="663" t="str">
        <f>IF(COUNTIF($C37:$E37,AL$18)=0,"",MAX(AL$18:AL36)+1)</f>
        <v/>
      </c>
      <c r="AM37" s="663">
        <f>IF(COUNTIF($C37:$E37,AM$18)=0,"",MAX(AM$18:AM36)+1)</f>
        <v>5</v>
      </c>
      <c r="AN37" s="663" t="str">
        <f>IF(COUNTIF($C37:$E37,AN$18)=0,"",MAX(AN$18:AN36)+1)</f>
        <v/>
      </c>
      <c r="AO37" s="663" t="str">
        <f>IF(COUNTIF($C37:$E37,AO$18)=0,"",MAX(AO$18:AO36)+1)</f>
        <v/>
      </c>
    </row>
    <row r="38" spans="1:41" ht="13" customHeight="1" x14ac:dyDescent="0.25">
      <c r="A38" s="1334" t="str">
        <f>Translations!B588</f>
        <v>Kaasumainen - Maakaasu</v>
      </c>
      <c r="B38" s="1335">
        <v>2</v>
      </c>
      <c r="C38" s="1336" t="str">
        <f t="shared" si="0"/>
        <v>Muut kaasumaiset ja nestemäiset polttoaineet</v>
      </c>
      <c r="D38" s="1337"/>
      <c r="E38" s="1338" t="str">
        <f t="shared" si="1"/>
        <v/>
      </c>
      <c r="F38" s="1339" t="s">
        <v>1660</v>
      </c>
      <c r="G38" s="1340" t="str">
        <f t="shared" si="2"/>
        <v>t</v>
      </c>
      <c r="H38" s="1341">
        <v>56.1</v>
      </c>
      <c r="I38" s="1342" t="str">
        <f t="shared" si="3"/>
        <v>tCO2/TJ</v>
      </c>
      <c r="J38" s="1341">
        <v>48</v>
      </c>
      <c r="K38" s="1342" t="str">
        <f t="shared" si="4"/>
        <v>GJ/t</v>
      </c>
      <c r="L38" s="1356">
        <v>1</v>
      </c>
      <c r="M38" s="1344" t="b">
        <v>1</v>
      </c>
      <c r="N38" s="1344" t="b">
        <v>0</v>
      </c>
      <c r="O38" s="1345" t="s">
        <v>120</v>
      </c>
      <c r="P38" s="1346">
        <f>37.44</f>
        <v>37.44</v>
      </c>
      <c r="Q38" s="1346" t="s">
        <v>126</v>
      </c>
      <c r="R38" s="1346">
        <v>55.52</v>
      </c>
      <c r="S38" s="1346" t="str">
        <f t="shared" si="8"/>
        <v>tCO2/TJ</v>
      </c>
      <c r="T38" s="1358" t="str">
        <f>EUconst_NA</f>
        <v>ei sovellettavissa</v>
      </c>
      <c r="U38" s="16"/>
      <c r="AL38" s="663" t="str">
        <f>IF(COUNTIF($C38:$E38,AL$18)=0,"",MAX(AL$18:AL37)+1)</f>
        <v/>
      </c>
      <c r="AM38" s="663">
        <f>IF(COUNTIF($C38:$E38,AM$18)=0,"",MAX(AM$18:AM37)+1)</f>
        <v>6</v>
      </c>
      <c r="AN38" s="663" t="str">
        <f>IF(COUNTIF($C38:$E38,AN$18)=0,"",MAX(AN$18:AN37)+1)</f>
        <v/>
      </c>
      <c r="AO38" s="663" t="str">
        <f>IF(COUNTIF($C38:$E38,AO$18)=0,"",MAX(AO$18:AO37)+1)</f>
        <v/>
      </c>
    </row>
    <row r="39" spans="1:41" ht="13" customHeight="1" x14ac:dyDescent="0.25">
      <c r="A39" s="1334" t="str">
        <f>Translations!B589</f>
        <v>Kaasumainen - Kaatopaikkakaasu</v>
      </c>
      <c r="B39" s="1335">
        <v>2</v>
      </c>
      <c r="C39" s="1336" t="str">
        <f t="shared" si="0"/>
        <v>Muut kaasumaiset ja nestemäiset polttoaineet</v>
      </c>
      <c r="D39" s="1337"/>
      <c r="E39" s="1338" t="str">
        <f t="shared" si="1"/>
        <v/>
      </c>
      <c r="F39" s="1339" t="s">
        <v>1660</v>
      </c>
      <c r="G39" s="1340" t="str">
        <f t="shared" si="2"/>
        <v>t</v>
      </c>
      <c r="H39" s="1341" t="str">
        <f>EUconst_NA</f>
        <v>ei sovellettavissa</v>
      </c>
      <c r="I39" s="1342" t="str">
        <f t="shared" si="3"/>
        <v>tCO2/TJ</v>
      </c>
      <c r="J39" s="1341">
        <v>50.4</v>
      </c>
      <c r="K39" s="1342" t="str">
        <f t="shared" si="4"/>
        <v>GJ/t</v>
      </c>
      <c r="L39" s="1356">
        <v>1</v>
      </c>
      <c r="M39" s="1344" t="b">
        <v>1</v>
      </c>
      <c r="N39" s="1344" t="b">
        <v>0</v>
      </c>
      <c r="O39" s="1345" t="s">
        <v>120</v>
      </c>
      <c r="P39" s="1346">
        <v>17</v>
      </c>
      <c r="Q39" s="1346" t="s">
        <v>126</v>
      </c>
      <c r="R39" s="1346">
        <v>54.6</v>
      </c>
      <c r="S39" s="1346" t="str">
        <f t="shared" si="8"/>
        <v>tCO2/TJ</v>
      </c>
      <c r="T39" s="1357">
        <f t="shared" si="10"/>
        <v>1</v>
      </c>
      <c r="U39" s="16"/>
      <c r="AL39" s="663" t="str">
        <f>IF(COUNTIF($C39:$E39,AL$18)=0,"",MAX(AL$18:AL38)+1)</f>
        <v/>
      </c>
      <c r="AM39" s="663">
        <f>IF(COUNTIF($C39:$E39,AM$18)=0,"",MAX(AM$18:AM38)+1)</f>
        <v>7</v>
      </c>
      <c r="AN39" s="663" t="str">
        <f>IF(COUNTIF($C39:$E39,AN$18)=0,"",MAX(AN$18:AN38)+1)</f>
        <v/>
      </c>
      <c r="AO39" s="663" t="str">
        <f>IF(COUNTIF($C39:$E39,AO$18)=0,"",MAX(AO$18:AO38)+1)</f>
        <v/>
      </c>
    </row>
    <row r="40" spans="1:41" ht="13" customHeight="1" x14ac:dyDescent="0.25">
      <c r="A40" s="1334" t="str">
        <f>Translations!B590</f>
        <v>Kaasumainen - Jätevedenpuhdistamoiden kaasu</v>
      </c>
      <c r="B40" s="1335">
        <v>2</v>
      </c>
      <c r="C40" s="1336" t="str">
        <f t="shared" si="0"/>
        <v>Muut kaasumaiset ja nestemäiset polttoaineet</v>
      </c>
      <c r="D40" s="1337"/>
      <c r="E40" s="1338" t="str">
        <f t="shared" si="1"/>
        <v/>
      </c>
      <c r="F40" s="1339" t="s">
        <v>1660</v>
      </c>
      <c r="G40" s="1340" t="str">
        <f t="shared" si="2"/>
        <v>t</v>
      </c>
      <c r="H40" s="1341" t="str">
        <f>EUconst_NA</f>
        <v>ei sovellettavissa</v>
      </c>
      <c r="I40" s="1342" t="str">
        <f t="shared" si="3"/>
        <v>tCO2/TJ</v>
      </c>
      <c r="J40" s="1341">
        <v>50.4</v>
      </c>
      <c r="K40" s="1342" t="str">
        <f t="shared" si="4"/>
        <v>GJ/t</v>
      </c>
      <c r="L40" s="1356">
        <v>1</v>
      </c>
      <c r="M40" s="1344" t="b">
        <v>1</v>
      </c>
      <c r="N40" s="1344" t="b">
        <v>0</v>
      </c>
      <c r="O40" s="1345" t="s">
        <v>120</v>
      </c>
      <c r="P40" s="1346">
        <v>23</v>
      </c>
      <c r="Q40" s="1346" t="s">
        <v>126</v>
      </c>
      <c r="R40" s="1346">
        <v>54.6</v>
      </c>
      <c r="S40" s="1346" t="str">
        <f t="shared" si="8"/>
        <v>tCO2/TJ</v>
      </c>
      <c r="T40" s="1357">
        <f t="shared" si="10"/>
        <v>1</v>
      </c>
      <c r="U40" s="16"/>
      <c r="AL40" s="663" t="str">
        <f>IF(COUNTIF($C40:$E40,AL$18)=0,"",MAX(AL$18:AL39)+1)</f>
        <v/>
      </c>
      <c r="AM40" s="663">
        <f>IF(COUNTIF($C40:$E40,AM$18)=0,"",MAX(AM$18:AM39)+1)</f>
        <v>8</v>
      </c>
      <c r="AN40" s="663" t="str">
        <f>IF(COUNTIF($C40:$E40,AN$18)=0,"",MAX(AN$18:AN39)+1)</f>
        <v/>
      </c>
      <c r="AO40" s="663" t="str">
        <f>IF(COUNTIF($C40:$E40,AO$18)=0,"",MAX(AO$18:AO39)+1)</f>
        <v/>
      </c>
    </row>
    <row r="41" spans="1:41" ht="13" customHeight="1" x14ac:dyDescent="0.25">
      <c r="A41" s="1334" t="s">
        <v>1663</v>
      </c>
      <c r="B41" s="1335">
        <v>2</v>
      </c>
      <c r="C41" s="1336" t="str">
        <f t="shared" si="0"/>
        <v>Muut kaasumaiset ja nestemäiset polttoaineet</v>
      </c>
      <c r="D41" s="1337"/>
      <c r="E41" s="1338" t="str">
        <f t="shared" si="1"/>
        <v/>
      </c>
      <c r="F41" s="1339" t="s">
        <v>1660</v>
      </c>
      <c r="G41" s="1359" t="str">
        <f t="shared" si="2"/>
        <v>t</v>
      </c>
      <c r="H41" s="1360">
        <v>61.6</v>
      </c>
      <c r="I41" s="1361" t="str">
        <f t="shared" si="3"/>
        <v>tCO2/TJ</v>
      </c>
      <c r="J41" s="1360">
        <v>46.4</v>
      </c>
      <c r="K41" s="1361" t="str">
        <f t="shared" si="4"/>
        <v>GJ/t</v>
      </c>
      <c r="L41" s="1360" t="str">
        <f>EUconst_NA</f>
        <v>ei sovellettavissa</v>
      </c>
      <c r="M41" s="1344" t="b">
        <v>1</v>
      </c>
      <c r="N41" s="1344" t="b">
        <v>0</v>
      </c>
      <c r="O41" s="1345" t="s">
        <v>120</v>
      </c>
      <c r="P41" s="1346">
        <v>35.1</v>
      </c>
      <c r="Q41" s="1346" t="s">
        <v>126</v>
      </c>
      <c r="R41" s="1346">
        <v>54.6</v>
      </c>
      <c r="S41" s="1346" t="str">
        <f t="shared" si="8"/>
        <v>tCO2/TJ</v>
      </c>
      <c r="T41" s="1362">
        <v>1</v>
      </c>
      <c r="U41" s="16"/>
      <c r="AL41" s="663" t="str">
        <f>IF(COUNTIF($C41:$E41,AL$18)=0,"",MAX(AL$18:AL40)+1)</f>
        <v/>
      </c>
      <c r="AM41" s="663">
        <f>IF(COUNTIF($C41:$E41,AM$18)=0,"",MAX(AM$18:AM40)+1)</f>
        <v>9</v>
      </c>
      <c r="AN41" s="663" t="str">
        <f>IF(COUNTIF($C41:$E41,AN$18)=0,"",MAX(AN$18:AN40)+1)</f>
        <v/>
      </c>
      <c r="AO41" s="663" t="str">
        <f>IF(COUNTIF($C41:$E41,AO$18)=0,"",MAX(AO$18:AO40)+1)</f>
        <v/>
      </c>
    </row>
    <row r="42" spans="1:41" ht="13" customHeight="1" x14ac:dyDescent="0.25">
      <c r="A42" s="1334" t="str">
        <f>Translations!B592</f>
        <v>Kaasumainen - Propaani</v>
      </c>
      <c r="B42" s="1335">
        <v>1</v>
      </c>
      <c r="C42" s="1336" t="str">
        <f t="shared" si="0"/>
        <v>Kaupalliset peruspolttoaineet</v>
      </c>
      <c r="D42" s="1337"/>
      <c r="E42" s="1338" t="str">
        <f t="shared" si="1"/>
        <v/>
      </c>
      <c r="F42" s="1339" t="s">
        <v>1660</v>
      </c>
      <c r="G42" s="1340" t="str">
        <f t="shared" si="2"/>
        <v>t</v>
      </c>
      <c r="H42" s="1341">
        <v>2.9929999999999999</v>
      </c>
      <c r="I42" s="1342" t="s">
        <v>1664</v>
      </c>
      <c r="J42" s="1341" t="str">
        <f>EUconst_NA</f>
        <v>ei sovellettavissa</v>
      </c>
      <c r="K42" s="1342" t="str">
        <f t="shared" si="4"/>
        <v>GJ/t</v>
      </c>
      <c r="L42" s="1341" t="str">
        <f>EUconst_NA</f>
        <v>ei sovellettavissa</v>
      </c>
      <c r="M42" s="1344" t="b">
        <v>1</v>
      </c>
      <c r="N42" s="1344" t="b">
        <v>1</v>
      </c>
      <c r="O42" s="1345" t="s">
        <v>139</v>
      </c>
      <c r="P42" s="1346">
        <v>46.3</v>
      </c>
      <c r="Q42" s="1346" t="s">
        <v>1662</v>
      </c>
      <c r="R42" s="1346">
        <v>64.7</v>
      </c>
      <c r="S42" s="1346" t="str">
        <f t="shared" si="8"/>
        <v>tCO2/TJ</v>
      </c>
      <c r="T42" s="1362">
        <v>0</v>
      </c>
      <c r="U42" s="16"/>
      <c r="AL42" s="663">
        <f>IF(COUNTIF($C42:$E42,AL$18)=0,"",MAX(AL$18:AL41)+1)</f>
        <v>15</v>
      </c>
      <c r="AM42" s="663" t="str">
        <f>IF(COUNTIF($C42:$E42,AM$18)=0,"",MAX(AM$18:AM41)+1)</f>
        <v/>
      </c>
      <c r="AN42" s="663" t="str">
        <f>IF(COUNTIF($C42:$E42,AN$18)=0,"",MAX(AN$18:AN41)+1)</f>
        <v/>
      </c>
      <c r="AO42" s="663" t="str">
        <f>IF(COUNTIF($C42:$E42,AO$18)=0,"",MAX(AO$18:AO41)+1)</f>
        <v/>
      </c>
    </row>
    <row r="43" spans="1:41" ht="13" customHeight="1" x14ac:dyDescent="0.25">
      <c r="A43" s="1334" t="str">
        <f>Translations!B605</f>
        <v>Nestemäinen - Metanoli ja tärpätti</v>
      </c>
      <c r="B43" s="1335">
        <v>2</v>
      </c>
      <c r="C43" s="1336" t="str">
        <f t="shared" si="0"/>
        <v>Muut kaasumaiset ja nestemäiset polttoaineet</v>
      </c>
      <c r="D43" s="1337"/>
      <c r="E43" s="1338" t="str">
        <f t="shared" si="1"/>
        <v/>
      </c>
      <c r="F43" s="1339" t="s">
        <v>1660</v>
      </c>
      <c r="G43" s="1340" t="str">
        <f t="shared" si="2"/>
        <v>t</v>
      </c>
      <c r="H43" s="1341" t="str">
        <f>EUconst_NA</f>
        <v>ei sovellettavissa</v>
      </c>
      <c r="I43" s="1342" t="s">
        <v>1664</v>
      </c>
      <c r="J43" s="1341" t="str">
        <f>EUconst_NA</f>
        <v>ei sovellettavissa</v>
      </c>
      <c r="K43" s="1342" t="str">
        <f t="shared" si="4"/>
        <v>GJ/t</v>
      </c>
      <c r="L43" s="1341" t="str">
        <f>EUconst_NA</f>
        <v>ei sovellettavissa</v>
      </c>
      <c r="M43" s="1344" t="b">
        <v>0</v>
      </c>
      <c r="N43" s="1344" t="b">
        <v>0</v>
      </c>
      <c r="O43" s="1345" t="s">
        <v>139</v>
      </c>
      <c r="P43" s="1346" t="str">
        <f t="shared" ref="P43:P52" si="11">EUconst_NA</f>
        <v>ei sovellettavissa</v>
      </c>
      <c r="Q43" s="1346" t="s">
        <v>1662</v>
      </c>
      <c r="R43" s="1346">
        <v>70</v>
      </c>
      <c r="S43" s="1346" t="str">
        <f t="shared" si="8"/>
        <v>tCO2/TJ</v>
      </c>
      <c r="T43" s="1362">
        <v>1</v>
      </c>
      <c r="U43" s="16"/>
      <c r="AL43" s="663" t="str">
        <f>IF(COUNTIF($C43:$E43,AL$18)=0,"",MAX(AL$18:AL42)+1)</f>
        <v/>
      </c>
      <c r="AM43" s="663">
        <f>IF(COUNTIF($C43:$E43,AM$18)=0,"",MAX(AM$18:AM42)+1)</f>
        <v>10</v>
      </c>
      <c r="AN43" s="663" t="str">
        <f>IF(COUNTIF($C43:$E43,AN$18)=0,"",MAX(AN$18:AN42)+1)</f>
        <v/>
      </c>
      <c r="AO43" s="663" t="str">
        <f>IF(COUNTIF($C43:$E43,AO$18)=0,"",MAX(AO$18:AO42)+1)</f>
        <v/>
      </c>
    </row>
    <row r="44" spans="1:41" ht="13" customHeight="1" x14ac:dyDescent="0.25">
      <c r="A44" s="1334" t="str">
        <f>Translations!B594</f>
        <v>Kaasumainen - Muut kaasumaiset polttoaineet</v>
      </c>
      <c r="B44" s="1335">
        <v>2</v>
      </c>
      <c r="C44" s="1336" t="str">
        <f t="shared" si="0"/>
        <v>Muut kaasumaiset ja nestemäiset polttoaineet</v>
      </c>
      <c r="D44" s="1337"/>
      <c r="E44" s="1338" t="str">
        <f t="shared" si="1"/>
        <v/>
      </c>
      <c r="F44" s="1339" t="s">
        <v>1660</v>
      </c>
      <c r="G44" s="1340" t="str">
        <f t="shared" si="2"/>
        <v>t</v>
      </c>
      <c r="H44" s="1341" t="str">
        <f>EUconst_NA</f>
        <v>ei sovellettavissa</v>
      </c>
      <c r="I44" s="1342" t="str">
        <f t="shared" si="3"/>
        <v>tCO2/TJ</v>
      </c>
      <c r="J44" s="1341" t="str">
        <f>EUconst_NA</f>
        <v>ei sovellettavissa</v>
      </c>
      <c r="K44" s="1342" t="str">
        <f t="shared" si="4"/>
        <v>GJ/t</v>
      </c>
      <c r="L44" s="1341" t="str">
        <f>EUconst_NA</f>
        <v>ei sovellettavissa</v>
      </c>
      <c r="M44" s="1344" t="b">
        <v>0</v>
      </c>
      <c r="N44" s="1344" t="b">
        <v>0</v>
      </c>
      <c r="O44" s="1345" t="s">
        <v>139</v>
      </c>
      <c r="P44" s="1346" t="str">
        <f t="shared" si="11"/>
        <v>ei sovellettavissa</v>
      </c>
      <c r="Q44" s="1346" t="s">
        <v>1662</v>
      </c>
      <c r="R44" s="1346" t="str">
        <f t="shared" si="7"/>
        <v>ei sovellettavissa</v>
      </c>
      <c r="S44" s="1346" t="str">
        <f t="shared" si="8"/>
        <v>tCO2/TJ</v>
      </c>
      <c r="T44" s="1347" t="str">
        <f t="shared" si="10"/>
        <v>ei sovellettavissa</v>
      </c>
      <c r="U44" s="16"/>
      <c r="AL44" s="663" t="str">
        <f>IF(COUNTIF($C44:$E44,AL$18)=0,"",MAX(AL$18:AL43)+1)</f>
        <v/>
      </c>
      <c r="AM44" s="663">
        <f>IF(COUNTIF($C44:$E44,AM$18)=0,"",MAX(AM$18:AM43)+1)</f>
        <v>11</v>
      </c>
      <c r="AN44" s="663" t="str">
        <f>IF(COUNTIF($C44:$E44,AN$18)=0,"",MAX(AN$18:AN43)+1)</f>
        <v/>
      </c>
      <c r="AO44" s="663" t="str">
        <f>IF(COUNTIF($C44:$E44,AO$18)=0,"",MAX(AO$18:AO43)+1)</f>
        <v/>
      </c>
    </row>
    <row r="45" spans="1:41" x14ac:dyDescent="0.25">
      <c r="A45" s="1334"/>
      <c r="B45" s="1335"/>
      <c r="C45" s="1336" t="str">
        <f t="shared" si="0"/>
        <v/>
      </c>
      <c r="D45" s="1337"/>
      <c r="E45" s="1338" t="str">
        <f t="shared" si="1"/>
        <v/>
      </c>
      <c r="F45" s="1363" t="s">
        <v>1660</v>
      </c>
      <c r="G45" s="1359" t="str">
        <f t="shared" si="2"/>
        <v>t</v>
      </c>
      <c r="H45" s="1360">
        <v>101</v>
      </c>
      <c r="I45" s="1361" t="str">
        <f t="shared" si="3"/>
        <v>tCO2/TJ</v>
      </c>
      <c r="J45" s="1360">
        <v>11.9</v>
      </c>
      <c r="K45" s="1361" t="str">
        <f t="shared" si="4"/>
        <v>GJ/t</v>
      </c>
      <c r="L45" s="1343" t="str">
        <f t="shared" si="5"/>
        <v>ei sovellettavissa</v>
      </c>
      <c r="M45" s="1344" t="b">
        <f>TRUE</f>
        <v>1</v>
      </c>
      <c r="N45" s="1344" t="b">
        <v>1</v>
      </c>
      <c r="O45" s="1345" t="s">
        <v>139</v>
      </c>
      <c r="P45" s="1346" t="str">
        <f t="shared" si="11"/>
        <v>ei sovellettavissa</v>
      </c>
      <c r="Q45" s="1346" t="s">
        <v>1662</v>
      </c>
      <c r="R45" s="1346" t="str">
        <f t="shared" si="7"/>
        <v>ei sovellettavissa</v>
      </c>
      <c r="S45" s="1346" t="str">
        <f t="shared" si="8"/>
        <v>tCO2/TJ</v>
      </c>
      <c r="T45" s="1347" t="str">
        <f t="shared" si="10"/>
        <v>ei sovellettavissa</v>
      </c>
      <c r="U45" s="16"/>
      <c r="AL45" s="663" t="str">
        <f>IF(COUNTIF($C45:$E45,AL$18)=0,"",MAX(AL$18:AL44)+1)</f>
        <v/>
      </c>
      <c r="AM45" s="663" t="str">
        <f>IF(COUNTIF($C45:$E45,AM$18)=0,"",MAX(AM$18:AM44)+1)</f>
        <v/>
      </c>
      <c r="AN45" s="663" t="str">
        <f>IF(COUNTIF($C45:$E45,AN$18)=0,"",MAX(AN$18:AN44)+1)</f>
        <v/>
      </c>
      <c r="AO45" s="663" t="str">
        <f>IF(COUNTIF($C45:$E45,AO$18)=0,"",MAX(AO$18:AO44)+1)</f>
        <v/>
      </c>
    </row>
    <row r="46" spans="1:41" x14ac:dyDescent="0.25">
      <c r="A46" s="1334" t="str">
        <f>Translations!B596</f>
        <v>Kiinteä - Antrasiitti</v>
      </c>
      <c r="B46" s="1335">
        <v>3</v>
      </c>
      <c r="C46" s="1336" t="str">
        <f t="shared" si="0"/>
        <v>Kiinteät polttoaineet</v>
      </c>
      <c r="D46" s="1337"/>
      <c r="E46" s="1338" t="str">
        <f t="shared" si="1"/>
        <v/>
      </c>
      <c r="F46" s="1363" t="s">
        <v>1660</v>
      </c>
      <c r="G46" s="1359" t="str">
        <f t="shared" si="2"/>
        <v>t</v>
      </c>
      <c r="H46" s="1360">
        <v>98.3</v>
      </c>
      <c r="I46" s="1361" t="str">
        <f t="shared" si="3"/>
        <v>tCO2/TJ</v>
      </c>
      <c r="J46" s="1360">
        <v>26.7</v>
      </c>
      <c r="K46" s="1361" t="str">
        <f t="shared" si="4"/>
        <v>GJ/t</v>
      </c>
      <c r="L46" s="1343" t="str">
        <f t="shared" si="5"/>
        <v>ei sovellettavissa</v>
      </c>
      <c r="M46" s="1344" t="b">
        <f>TRUE</f>
        <v>1</v>
      </c>
      <c r="N46" s="1344" t="b">
        <v>1</v>
      </c>
      <c r="O46" s="1345" t="s">
        <v>139</v>
      </c>
      <c r="P46" s="1346">
        <v>33.5</v>
      </c>
      <c r="Q46" s="1346" t="s">
        <v>1662</v>
      </c>
      <c r="R46" s="1346">
        <v>98.3</v>
      </c>
      <c r="S46" s="1346" t="str">
        <f t="shared" si="8"/>
        <v>tCO2/TJ</v>
      </c>
      <c r="T46" s="1347" t="str">
        <f t="shared" si="10"/>
        <v>ei sovellettavissa</v>
      </c>
      <c r="U46" s="16"/>
      <c r="AL46" s="663" t="str">
        <f>IF(COUNTIF($C46:$E46,AL$18)=0,"",MAX(AL$18:AL45)+1)</f>
        <v/>
      </c>
      <c r="AM46" s="663" t="str">
        <f>IF(COUNTIF($C46:$E46,AM$18)=0,"",MAX(AM$18:AM45)+1)</f>
        <v/>
      </c>
      <c r="AN46" s="663">
        <f>IF(COUNTIF($C46:$E46,AN$18)=0,"",MAX(AN$18:AN45)+1)</f>
        <v>1</v>
      </c>
      <c r="AO46" s="663" t="str">
        <f>IF(COUNTIF($C46:$E46,AO$18)=0,"",MAX(AO$18:AO45)+1)</f>
        <v/>
      </c>
    </row>
    <row r="47" spans="1:41" x14ac:dyDescent="0.25">
      <c r="A47" s="1334" t="str">
        <f>Translations!B597</f>
        <v>Kiinteä - Koksattava kivihiili</v>
      </c>
      <c r="B47" s="1335">
        <v>3</v>
      </c>
      <c r="C47" s="1336" t="str">
        <f t="shared" si="0"/>
        <v>Kiinteät polttoaineet</v>
      </c>
      <c r="D47" s="1337"/>
      <c r="E47" s="1338" t="str">
        <f t="shared" si="1"/>
        <v/>
      </c>
      <c r="F47" s="1339" t="s">
        <v>1660</v>
      </c>
      <c r="G47" s="1340" t="str">
        <f t="shared" si="2"/>
        <v>t</v>
      </c>
      <c r="H47" s="1341">
        <v>94.6</v>
      </c>
      <c r="I47" s="1342" t="str">
        <f t="shared" si="3"/>
        <v>tCO2/TJ</v>
      </c>
      <c r="J47" s="1341">
        <v>28.2</v>
      </c>
      <c r="K47" s="1342" t="str">
        <f t="shared" si="4"/>
        <v>GJ/t</v>
      </c>
      <c r="L47" s="1343" t="str">
        <f t="shared" si="5"/>
        <v>ei sovellettavissa</v>
      </c>
      <c r="M47" s="1344" t="b">
        <f>TRUE</f>
        <v>1</v>
      </c>
      <c r="N47" s="1344" t="b">
        <v>1</v>
      </c>
      <c r="O47" s="1345" t="s">
        <v>139</v>
      </c>
      <c r="P47" s="1346">
        <v>29</v>
      </c>
      <c r="Q47" s="1346" t="s">
        <v>1662</v>
      </c>
      <c r="R47" s="1346">
        <v>92.3</v>
      </c>
      <c r="S47" s="1346" t="str">
        <f t="shared" si="8"/>
        <v>tCO2/TJ</v>
      </c>
      <c r="T47" s="1347" t="str">
        <f t="shared" si="10"/>
        <v>ei sovellettavissa</v>
      </c>
      <c r="U47" s="16"/>
      <c r="AL47" s="663" t="str">
        <f>IF(COUNTIF($C47:$E47,AL$18)=0,"",MAX(AL$18:AL46)+1)</f>
        <v/>
      </c>
      <c r="AM47" s="663" t="str">
        <f>IF(COUNTIF($C47:$E47,AM$18)=0,"",MAX(AM$18:AM46)+1)</f>
        <v/>
      </c>
      <c r="AN47" s="663">
        <f>IF(COUNTIF($C47:$E47,AN$18)=0,"",MAX(AN$18:AN46)+1)</f>
        <v>2</v>
      </c>
      <c r="AO47" s="663" t="str">
        <f>IF(COUNTIF($C47:$E47,AO$18)=0,"",MAX(AO$18:AO46)+1)</f>
        <v/>
      </c>
    </row>
    <row r="48" spans="1:41" ht="14.15" customHeight="1" x14ac:dyDescent="0.25">
      <c r="A48" s="1334" t="str">
        <f>Translations!B598</f>
        <v>Kiinteä - Kivihiili</v>
      </c>
      <c r="B48" s="1335">
        <v>3</v>
      </c>
      <c r="C48" s="1336" t="str">
        <f t="shared" si="0"/>
        <v>Kiinteät polttoaineet</v>
      </c>
      <c r="D48" s="1337"/>
      <c r="E48" s="1338" t="str">
        <f t="shared" si="1"/>
        <v/>
      </c>
      <c r="F48" s="1339" t="s">
        <v>1660</v>
      </c>
      <c r="G48" s="1340" t="str">
        <f>EUconst_t</f>
        <v>t</v>
      </c>
      <c r="H48" s="1341" t="str">
        <f>EUconst_NA</f>
        <v>ei sovellettavissa</v>
      </c>
      <c r="I48" s="1342" t="str">
        <f t="shared" si="3"/>
        <v>tCO2/TJ</v>
      </c>
      <c r="J48" s="1341">
        <v>29.5</v>
      </c>
      <c r="K48" s="1342" t="str">
        <f t="shared" si="4"/>
        <v>GJ/t</v>
      </c>
      <c r="L48" s="1343" t="str">
        <f>EUconst_NA</f>
        <v>ei sovellettavissa</v>
      </c>
      <c r="M48" s="1344" t="b">
        <v>1</v>
      </c>
      <c r="N48" s="1344" t="b">
        <v>1</v>
      </c>
      <c r="O48" s="1345" t="s">
        <v>139</v>
      </c>
      <c r="P48" s="1346">
        <v>24.8</v>
      </c>
      <c r="Q48" s="1346" t="s">
        <v>1662</v>
      </c>
      <c r="R48" s="1346">
        <v>93.1</v>
      </c>
      <c r="S48" s="1346" t="str">
        <f t="shared" si="8"/>
        <v>tCO2/TJ</v>
      </c>
      <c r="T48" s="1357" t="str">
        <f t="shared" si="10"/>
        <v>ei sovellettavissa</v>
      </c>
      <c r="U48" s="16"/>
      <c r="AL48" s="663" t="str">
        <f>IF(COUNTIF($C48:$E48,AL$18)=0,"",MAX(AL$18:AL47)+1)</f>
        <v/>
      </c>
      <c r="AM48" s="663" t="str">
        <f>IF(COUNTIF($C48:$E48,AM$18)=0,"",MAX(AM$18:AM47)+1)</f>
        <v/>
      </c>
      <c r="AN48" s="663">
        <f>IF(COUNTIF($C48:$E48,AN$18)=0,"",MAX(AN$18:AN47)+1)</f>
        <v>3</v>
      </c>
      <c r="AO48" s="663" t="str">
        <f>IF(COUNTIF($C48:$E48,AO$18)=0,"",MAX(AO$18:AO47)+1)</f>
        <v/>
      </c>
    </row>
    <row r="49" spans="1:41" x14ac:dyDescent="0.25">
      <c r="A49" s="1334" t="str">
        <f>Translations!B599</f>
        <v>Kiinteä - Puolibituminen hiili, ruskohiili</v>
      </c>
      <c r="B49" s="1335">
        <v>3</v>
      </c>
      <c r="C49" s="1336" t="str">
        <f t="shared" si="0"/>
        <v>Kiinteät polttoaineet</v>
      </c>
      <c r="D49" s="1337"/>
      <c r="E49" s="1338" t="str">
        <f t="shared" si="1"/>
        <v/>
      </c>
      <c r="F49" s="1339" t="s">
        <v>1660</v>
      </c>
      <c r="G49" s="1340" t="str">
        <f t="shared" si="2"/>
        <v>t</v>
      </c>
      <c r="H49" s="1341">
        <v>96.1</v>
      </c>
      <c r="I49" s="1342" t="str">
        <f t="shared" si="3"/>
        <v>tCO2/TJ</v>
      </c>
      <c r="J49" s="1341">
        <v>18.899999999999999</v>
      </c>
      <c r="K49" s="1342" t="str">
        <f t="shared" si="4"/>
        <v>GJ/t</v>
      </c>
      <c r="L49" s="1343" t="str">
        <f t="shared" si="5"/>
        <v>ei sovellettavissa</v>
      </c>
      <c r="M49" s="1344" t="b">
        <f>TRUE</f>
        <v>1</v>
      </c>
      <c r="N49" s="1344" t="b">
        <v>1</v>
      </c>
      <c r="O49" s="1345" t="s">
        <v>139</v>
      </c>
      <c r="P49" s="1346">
        <v>20</v>
      </c>
      <c r="Q49" s="1346" t="s">
        <v>1662</v>
      </c>
      <c r="R49" s="1346">
        <v>108</v>
      </c>
      <c r="S49" s="1346" t="str">
        <f t="shared" si="8"/>
        <v>tCO2/TJ</v>
      </c>
      <c r="T49" s="1347" t="str">
        <f t="shared" si="10"/>
        <v>ei sovellettavissa</v>
      </c>
      <c r="U49" s="16"/>
      <c r="AL49" s="663" t="str">
        <f>IF(COUNTIF($C49:$E49,AL$18)=0,"",MAX(AL$18:AL48)+1)</f>
        <v/>
      </c>
      <c r="AM49" s="663" t="str">
        <f>IF(COUNTIF($C49:$E49,AM$18)=0,"",MAX(AM$18:AM48)+1)</f>
        <v/>
      </c>
      <c r="AN49" s="663">
        <f>IF(COUNTIF($C49:$E49,AN$18)=0,"",MAX(AN$18:AN48)+1)</f>
        <v>4</v>
      </c>
      <c r="AO49" s="663" t="str">
        <f>IF(COUNTIF($C49:$E49,AO$18)=0,"",MAX(AO$18:AO48)+1)</f>
        <v/>
      </c>
    </row>
    <row r="50" spans="1:41" x14ac:dyDescent="0.25">
      <c r="A50" s="1334" t="str">
        <f>Translations!B600</f>
        <v>Kiinteä - muu hiili</v>
      </c>
      <c r="B50" s="1335">
        <v>3</v>
      </c>
      <c r="C50" s="1336" t="str">
        <f t="shared" si="0"/>
        <v>Kiinteät polttoaineet</v>
      </c>
      <c r="D50" s="1337"/>
      <c r="E50" s="1338" t="str">
        <f t="shared" si="1"/>
        <v/>
      </c>
      <c r="F50" s="1339" t="s">
        <v>1660</v>
      </c>
      <c r="G50" s="1340" t="str">
        <f t="shared" si="2"/>
        <v>t</v>
      </c>
      <c r="H50" s="1341">
        <v>94.6</v>
      </c>
      <c r="I50" s="1342" t="str">
        <f t="shared" si="3"/>
        <v>tCO2/TJ</v>
      </c>
      <c r="J50" s="1341">
        <v>25.8</v>
      </c>
      <c r="K50" s="1342" t="str">
        <f t="shared" si="4"/>
        <v>GJ/t</v>
      </c>
      <c r="L50" s="1343" t="str">
        <f t="shared" si="5"/>
        <v>ei sovellettavissa</v>
      </c>
      <c r="M50" s="1344" t="b">
        <f>FALSE</f>
        <v>0</v>
      </c>
      <c r="N50" s="1344" t="b">
        <v>1</v>
      </c>
      <c r="O50" s="1345" t="s">
        <v>139</v>
      </c>
      <c r="P50" s="1346">
        <v>10</v>
      </c>
      <c r="Q50" s="1346" t="s">
        <v>1662</v>
      </c>
      <c r="R50" s="1346">
        <v>108</v>
      </c>
      <c r="S50" s="1346" t="str">
        <f t="shared" si="8"/>
        <v>tCO2/TJ</v>
      </c>
      <c r="T50" s="1347" t="str">
        <f t="shared" si="10"/>
        <v>ei sovellettavissa</v>
      </c>
      <c r="U50" s="16"/>
      <c r="AL50" s="663" t="str">
        <f>IF(COUNTIF($C50:$E50,AL$18)=0,"",MAX(AL$18:AL49)+1)</f>
        <v/>
      </c>
      <c r="AM50" s="663" t="str">
        <f>IF(COUNTIF($C50:$E50,AM$18)=0,"",MAX(AM$18:AM49)+1)</f>
        <v/>
      </c>
      <c r="AN50" s="663">
        <f>IF(COUNTIF($C50:$E50,AN$18)=0,"",MAX(AN$18:AN49)+1)</f>
        <v>5</v>
      </c>
      <c r="AO50" s="663" t="str">
        <f>IF(COUNTIF($C50:$E50,AO$18)=0,"",MAX(AO$18:AO49)+1)</f>
        <v/>
      </c>
    </row>
    <row r="51" spans="1:41" x14ac:dyDescent="0.25">
      <c r="A51" s="1334" t="str">
        <f>Translations!B601</f>
        <v>Kiinteä - Koksi</v>
      </c>
      <c r="B51" s="1335">
        <v>3</v>
      </c>
      <c r="C51" s="1336" t="str">
        <f t="shared" si="0"/>
        <v>Kiinteät polttoaineet</v>
      </c>
      <c r="D51" s="1337"/>
      <c r="E51" s="1338" t="str">
        <f t="shared" si="1"/>
        <v/>
      </c>
      <c r="F51" s="1339" t="s">
        <v>1660</v>
      </c>
      <c r="G51" s="1340" t="str">
        <f t="shared" si="2"/>
        <v>t</v>
      </c>
      <c r="H51" s="1341">
        <v>97.5</v>
      </c>
      <c r="I51" s="1342" t="str">
        <f t="shared" si="3"/>
        <v>tCO2/TJ</v>
      </c>
      <c r="J51" s="1341">
        <v>32.5</v>
      </c>
      <c r="K51" s="1342" t="str">
        <f t="shared" si="4"/>
        <v>GJ/t</v>
      </c>
      <c r="L51" s="1343" t="str">
        <f t="shared" si="5"/>
        <v>ei sovellettavissa</v>
      </c>
      <c r="M51" s="1344" t="b">
        <f>TRUE</f>
        <v>1</v>
      </c>
      <c r="N51" s="1344" t="b">
        <v>1</v>
      </c>
      <c r="O51" s="1345" t="s">
        <v>139</v>
      </c>
      <c r="P51" s="1346">
        <v>29.3</v>
      </c>
      <c r="Q51" s="1346" t="s">
        <v>1662</v>
      </c>
      <c r="R51" s="1346">
        <v>107</v>
      </c>
      <c r="S51" s="1346" t="str">
        <f t="shared" si="8"/>
        <v>tCO2/TJ</v>
      </c>
      <c r="T51" s="1347" t="str">
        <f t="shared" si="10"/>
        <v>ei sovellettavissa</v>
      </c>
      <c r="U51" s="16"/>
      <c r="AL51" s="663" t="str">
        <f>IF(COUNTIF($C51:$E51,AL$18)=0,"",MAX(AL$18:AL50)+1)</f>
        <v/>
      </c>
      <c r="AM51" s="663" t="str">
        <f>IF(COUNTIF($C51:$E51,AM$18)=0,"",MAX(AM$18:AM50)+1)</f>
        <v/>
      </c>
      <c r="AN51" s="663">
        <f>IF(COUNTIF($C51:$E51,AN$18)=0,"",MAX(AN$18:AN50)+1)</f>
        <v>6</v>
      </c>
      <c r="AO51" s="663" t="str">
        <f>IF(COUNTIF($C51:$E51,AO$18)=0,"",MAX(AO$18:AO50)+1)</f>
        <v/>
      </c>
    </row>
    <row r="52" spans="1:41" x14ac:dyDescent="0.25">
      <c r="A52" s="1334" t="str">
        <f>Translations!B602</f>
        <v>Kiinteä - Muut kiinteät polttoaineet</v>
      </c>
      <c r="B52" s="1335">
        <v>3</v>
      </c>
      <c r="C52" s="1336" t="str">
        <f t="shared" si="0"/>
        <v>Kiinteät polttoaineet</v>
      </c>
      <c r="D52" s="1337"/>
      <c r="E52" s="1338" t="str">
        <f t="shared" si="1"/>
        <v/>
      </c>
      <c r="F52" s="1339" t="s">
        <v>1660</v>
      </c>
      <c r="G52" s="1340" t="s">
        <v>139</v>
      </c>
      <c r="H52" s="1341">
        <v>0</v>
      </c>
      <c r="I52" s="1342" t="str">
        <f t="shared" si="3"/>
        <v>tCO2/TJ</v>
      </c>
      <c r="J52" s="1341">
        <v>15.6</v>
      </c>
      <c r="K52" s="1342" t="str">
        <f t="shared" si="4"/>
        <v>GJ/t</v>
      </c>
      <c r="L52" s="1343" t="str">
        <f>EUconst_NA</f>
        <v>ei sovellettavissa</v>
      </c>
      <c r="M52" s="1344" t="b">
        <v>0</v>
      </c>
      <c r="N52" s="1344" t="b">
        <v>0</v>
      </c>
      <c r="O52" s="1345" t="s">
        <v>139</v>
      </c>
      <c r="P52" s="1346" t="str">
        <f t="shared" si="11"/>
        <v>ei sovellettavissa</v>
      </c>
      <c r="Q52" s="1346" t="s">
        <v>1662</v>
      </c>
      <c r="R52" s="1346" t="str">
        <f>EUconst_NA</f>
        <v>ei sovellettavissa</v>
      </c>
      <c r="S52" s="1346" t="str">
        <f t="shared" si="8"/>
        <v>tCO2/TJ</v>
      </c>
      <c r="T52" s="1357" t="str">
        <f t="shared" si="10"/>
        <v>ei sovellettavissa</v>
      </c>
      <c r="U52" s="16"/>
      <c r="AL52" s="663" t="str">
        <f>IF(COUNTIF($C52:$E52,AL$18)=0,"",MAX(AL$18:AL51)+1)</f>
        <v/>
      </c>
      <c r="AM52" s="663" t="str">
        <f>IF(COUNTIF($C52:$E52,AM$18)=0,"",MAX(AM$18:AM51)+1)</f>
        <v/>
      </c>
      <c r="AN52" s="663">
        <f>IF(COUNTIF($C52:$E52,AN$18)=0,"",MAX(AN$18:AN51)+1)</f>
        <v>7</v>
      </c>
      <c r="AO52" s="663" t="str">
        <f>IF(COUNTIF($C52:$E52,AO$18)=0,"",MAX(AO$18:AO51)+1)</f>
        <v/>
      </c>
    </row>
    <row r="53" spans="1:41" x14ac:dyDescent="0.25">
      <c r="A53" s="1334" t="str">
        <f>Translations!B603</f>
        <v>Nestemäinen - Biopolttoöljy (HVO)</v>
      </c>
      <c r="B53" s="1335">
        <v>1</v>
      </c>
      <c r="C53" s="1336" t="str">
        <f t="shared" si="0"/>
        <v>Kaupalliset peruspolttoaineet</v>
      </c>
      <c r="D53" s="1337"/>
      <c r="E53" s="1338" t="str">
        <f t="shared" si="1"/>
        <v/>
      </c>
      <c r="F53" s="1339"/>
      <c r="G53" s="1340"/>
      <c r="H53" s="1341"/>
      <c r="I53" s="1342"/>
      <c r="J53" s="1341"/>
      <c r="K53" s="1342"/>
      <c r="L53" s="1343"/>
      <c r="M53" s="1344" t="b">
        <v>1</v>
      </c>
      <c r="N53" s="1344" t="b">
        <v>0</v>
      </c>
      <c r="O53" s="1345" t="s">
        <v>136</v>
      </c>
      <c r="P53" s="1346">
        <f>0.78*43.6/1000</f>
        <v>3.4008000000000004E-2</v>
      </c>
      <c r="Q53" s="1346" t="s">
        <v>1661</v>
      </c>
      <c r="R53" s="1346">
        <v>71.599999999999994</v>
      </c>
      <c r="S53" s="1346" t="s">
        <v>129</v>
      </c>
      <c r="T53" s="1354">
        <v>1</v>
      </c>
      <c r="U53" s="16"/>
      <c r="AL53" s="663">
        <f>IF(COUNTIF($C53:$E53,AL$18)=0,"",MAX(AL$18:AL52)+1)</f>
        <v>16</v>
      </c>
      <c r="AM53" s="663" t="str">
        <f>IF(COUNTIF($C53:$E53,AM$18)=0,"",MAX(AM$18:AM52)+1)</f>
        <v/>
      </c>
      <c r="AN53" s="663" t="str">
        <f>IF(COUNTIF($C53:$E53,AN$18)=0,"",MAX(AN$18:AN52)+1)</f>
        <v/>
      </c>
      <c r="AO53" s="663" t="str">
        <f>IF(COUNTIF($C53:$E53,AO$18)=0,"",MAX(AO$18:AO52)+1)</f>
        <v/>
      </c>
    </row>
    <row r="54" spans="1:41" x14ac:dyDescent="0.25">
      <c r="A54" s="1334" t="s">
        <v>1666</v>
      </c>
      <c r="B54" s="1335">
        <v>2</v>
      </c>
      <c r="C54" s="1336" t="str">
        <f t="shared" si="0"/>
        <v>Muut kaasumaiset ja nestemäiset polttoaineet</v>
      </c>
      <c r="D54" s="1337"/>
      <c r="E54" s="1338" t="str">
        <f t="shared" si="1"/>
        <v/>
      </c>
      <c r="F54" s="1339"/>
      <c r="G54" s="1340"/>
      <c r="H54" s="1341"/>
      <c r="I54" s="1342"/>
      <c r="J54" s="1341"/>
      <c r="K54" s="1342"/>
      <c r="L54" s="1343"/>
      <c r="M54" s="1344" t="b">
        <v>1</v>
      </c>
      <c r="N54" s="1344" t="b">
        <v>1</v>
      </c>
      <c r="O54" s="1345" t="s">
        <v>139</v>
      </c>
      <c r="P54" s="1346">
        <v>42.1</v>
      </c>
      <c r="Q54" s="1346" t="s">
        <v>1662</v>
      </c>
      <c r="R54" s="1346">
        <v>76.099999999999994</v>
      </c>
      <c r="S54" s="1346" t="s">
        <v>129</v>
      </c>
      <c r="T54" s="1347" t="str">
        <f t="shared" ref="T54:T59" si="12">EUconst_NA</f>
        <v>ei sovellettavissa</v>
      </c>
      <c r="U54" s="16"/>
      <c r="AL54" s="663" t="str">
        <f>IF(COUNTIF($C54:$E54,AL$18)=0,"",MAX(AL$18:AL53)+1)</f>
        <v/>
      </c>
      <c r="AM54" s="663">
        <f>IF(COUNTIF($C54:$E54,AM$18)=0,"",MAX(AM$18:AM53)+1)</f>
        <v>12</v>
      </c>
      <c r="AN54" s="663" t="str">
        <f>IF(COUNTIF($C54:$E54,AN$18)=0,"",MAX(AN$18:AN53)+1)</f>
        <v/>
      </c>
      <c r="AO54" s="663" t="str">
        <f>IF(COUNTIF($C54:$E54,AO$18)=0,"",MAX(AO$18:AO53)+1)</f>
        <v/>
      </c>
    </row>
    <row r="55" spans="1:41" x14ac:dyDescent="0.25">
      <c r="A55" s="1334" t="s">
        <v>1667</v>
      </c>
      <c r="B55" s="1335">
        <v>2</v>
      </c>
      <c r="C55" s="1336" t="str">
        <f t="shared" si="0"/>
        <v>Muut kaasumaiset ja nestemäiset polttoaineet</v>
      </c>
      <c r="D55" s="1337"/>
      <c r="E55" s="1338" t="str">
        <f t="shared" si="1"/>
        <v/>
      </c>
      <c r="F55" s="1339"/>
      <c r="G55" s="1340"/>
      <c r="H55" s="1341"/>
      <c r="I55" s="1342"/>
      <c r="J55" s="1341"/>
      <c r="K55" s="1342"/>
      <c r="L55" s="1343"/>
      <c r="M55" s="1344" t="b">
        <v>1</v>
      </c>
      <c r="N55" s="1344" t="b">
        <v>1</v>
      </c>
      <c r="O55" s="1345" t="s">
        <v>139</v>
      </c>
      <c r="P55" s="1346">
        <v>41.5</v>
      </c>
      <c r="Q55" s="1346" t="s">
        <v>1662</v>
      </c>
      <c r="R55" s="1346">
        <v>77</v>
      </c>
      <c r="S55" s="1346" t="s">
        <v>129</v>
      </c>
      <c r="T55" s="1347" t="str">
        <f t="shared" si="12"/>
        <v>ei sovellettavissa</v>
      </c>
      <c r="U55" s="16"/>
      <c r="AL55" s="663" t="str">
        <f>IF(COUNTIF($C55:$E55,AL$18)=0,"",MAX(AL$18:AL54)+1)</f>
        <v/>
      </c>
      <c r="AM55" s="663">
        <f>IF(COUNTIF($C55:$E55,AM$18)=0,"",MAX(AM$18:AM54)+1)</f>
        <v>13</v>
      </c>
      <c r="AN55" s="663" t="str">
        <f>IF(COUNTIF($C55:$E55,AN$18)=0,"",MAX(AN$18:AN54)+1)</f>
        <v/>
      </c>
      <c r="AO55" s="663" t="str">
        <f>IF(COUNTIF($C55:$E55,AO$18)=0,"",MAX(AO$18:AO54)+1)</f>
        <v/>
      </c>
    </row>
    <row r="56" spans="1:41" x14ac:dyDescent="0.25">
      <c r="A56" s="1334" t="s">
        <v>1668</v>
      </c>
      <c r="B56" s="1335">
        <v>2</v>
      </c>
      <c r="C56" s="1336" t="str">
        <f t="shared" si="0"/>
        <v>Muut kaasumaiset ja nestemäiset polttoaineet</v>
      </c>
      <c r="D56" s="1337"/>
      <c r="E56" s="1338" t="str">
        <f t="shared" si="1"/>
        <v/>
      </c>
      <c r="F56" s="1339"/>
      <c r="G56" s="1340"/>
      <c r="H56" s="1341"/>
      <c r="I56" s="1342"/>
      <c r="J56" s="1341"/>
      <c r="K56" s="1342"/>
      <c r="L56" s="1343"/>
      <c r="M56" s="1344" t="b">
        <v>1</v>
      </c>
      <c r="N56" s="1344" t="b">
        <v>1</v>
      </c>
      <c r="O56" s="1345" t="s">
        <v>139</v>
      </c>
      <c r="P56" s="1346">
        <v>40.4</v>
      </c>
      <c r="Q56" s="1346" t="s">
        <v>1662</v>
      </c>
      <c r="R56" s="1346">
        <v>79.2</v>
      </c>
      <c r="S56" s="1346" t="s">
        <v>129</v>
      </c>
      <c r="T56" s="1347" t="str">
        <f t="shared" si="12"/>
        <v>ei sovellettavissa</v>
      </c>
      <c r="U56" s="16"/>
      <c r="AL56" s="663" t="str">
        <f>IF(COUNTIF($C56:$E56,AL$18)=0,"",MAX(AL$18:AL55)+1)</f>
        <v/>
      </c>
      <c r="AM56" s="663">
        <f>IF(COUNTIF($C56:$E56,AM$18)=0,"",MAX(AM$18:AM55)+1)</f>
        <v>14</v>
      </c>
      <c r="AN56" s="663" t="str">
        <f>IF(COUNTIF($C56:$E56,AN$18)=0,"",MAX(AN$18:AN55)+1)</f>
        <v/>
      </c>
      <c r="AO56" s="663" t="str">
        <f>IF(COUNTIF($C56:$E56,AO$18)=0,"",MAX(AO$18:AO55)+1)</f>
        <v/>
      </c>
    </row>
    <row r="57" spans="1:41" x14ac:dyDescent="0.25">
      <c r="A57" s="1334" t="s">
        <v>1669</v>
      </c>
      <c r="B57" s="1335">
        <v>2</v>
      </c>
      <c r="C57" s="1336" t="str">
        <f>IF(B57="","",INDEX(EUConst_TierActivityListNames,B57))</f>
        <v>Muut kaasumaiset ja nestemäiset polttoaineet</v>
      </c>
      <c r="D57" s="1337"/>
      <c r="E57" s="1338"/>
      <c r="F57" s="1339"/>
      <c r="G57" s="1340"/>
      <c r="H57" s="1341"/>
      <c r="I57" s="1342"/>
      <c r="J57" s="1341"/>
      <c r="K57" s="1342"/>
      <c r="L57" s="1343"/>
      <c r="M57" s="1344" t="b">
        <v>1</v>
      </c>
      <c r="N57" s="1344" t="b">
        <v>1</v>
      </c>
      <c r="O57" s="1345" t="s">
        <v>139</v>
      </c>
      <c r="P57" s="1346">
        <v>40.200000000000003</v>
      </c>
      <c r="Q57" s="1346" t="s">
        <v>1662</v>
      </c>
      <c r="R57" s="1346">
        <v>78.400000000000006</v>
      </c>
      <c r="S57" s="1346" t="s">
        <v>129</v>
      </c>
      <c r="T57" s="1347" t="str">
        <f t="shared" si="12"/>
        <v>ei sovellettavissa</v>
      </c>
      <c r="U57" s="16"/>
      <c r="AL57" s="663" t="str">
        <f>IF(COUNTIF($C57:$E57,AL$18)=0,"",MAX(AL$18:AL56)+1)</f>
        <v/>
      </c>
      <c r="AM57" s="663">
        <f>IF(COUNTIF($C57:$E57,AM$18)=0,"",MAX(AM$18:AM56)+1)</f>
        <v>15</v>
      </c>
      <c r="AN57" s="663" t="str">
        <f>IF(COUNTIF($C57:$E57,AN$18)=0,"",MAX(AN$18:AN56)+1)</f>
        <v/>
      </c>
      <c r="AO57" s="663" t="str">
        <f>IF(COUNTIF($C57:$E57,AO$18)=0,"",MAX(AO$18:AO56)+1)</f>
        <v/>
      </c>
    </row>
    <row r="58" spans="1:41" x14ac:dyDescent="0.25">
      <c r="A58" s="1334" t="s">
        <v>70</v>
      </c>
      <c r="B58" s="1335">
        <v>2</v>
      </c>
      <c r="C58" s="1336" t="str">
        <f>IF(B58="","",INDEX(EUConst_TierActivityListNames,B58))</f>
        <v>Muut kaasumaiset ja nestemäiset polttoaineet</v>
      </c>
      <c r="D58" s="1337"/>
      <c r="E58" s="1338" t="str">
        <f>IF(D58="","",INDEX(EUConst_TierActivityListNames,D58))</f>
        <v/>
      </c>
      <c r="F58" s="1363"/>
      <c r="G58" s="1359"/>
      <c r="H58" s="1360"/>
      <c r="I58" s="1361"/>
      <c r="J58" s="1360"/>
      <c r="K58" s="1361"/>
      <c r="L58" s="1343"/>
      <c r="M58" s="1344" t="b">
        <v>0</v>
      </c>
      <c r="N58" s="1344" t="b">
        <v>0</v>
      </c>
      <c r="O58" s="1345" t="s">
        <v>139</v>
      </c>
      <c r="P58" s="1346">
        <v>40.200000000000003</v>
      </c>
      <c r="Q58" s="1346" t="s">
        <v>1662</v>
      </c>
      <c r="R58" s="1346">
        <v>79.2</v>
      </c>
      <c r="S58" s="1346" t="s">
        <v>129</v>
      </c>
      <c r="T58" s="1347" t="str">
        <f t="shared" si="12"/>
        <v>ei sovellettavissa</v>
      </c>
      <c r="U58" s="16"/>
      <c r="AL58" s="663" t="str">
        <f>IF(COUNTIF($C58:$E58,AL$18)=0,"",MAX(AL$18:AL57)+1)</f>
        <v/>
      </c>
      <c r="AM58" s="663">
        <f>IF(COUNTIF($C58:$E58,AM$18)=0,"",MAX(AM$18:AM57)+1)</f>
        <v>16</v>
      </c>
      <c r="AN58" s="663" t="str">
        <f>IF(COUNTIF($C58:$E58,AN$18)=0,"",MAX(AN$18:AN57)+1)</f>
        <v/>
      </c>
      <c r="AO58" s="663" t="str">
        <f>IF(COUNTIF($C58:$E58,AO$18)=0,"",MAX(AO$18:AO57)+1)</f>
        <v/>
      </c>
    </row>
    <row r="59" spans="1:41" ht="13" thickBot="1" x14ac:dyDescent="0.3">
      <c r="A59" s="1334"/>
      <c r="B59" s="1335"/>
      <c r="C59" s="1336" t="str">
        <f t="shared" si="0"/>
        <v/>
      </c>
      <c r="D59" s="1337"/>
      <c r="E59" s="1338" t="str">
        <f t="shared" si="1"/>
        <v/>
      </c>
      <c r="F59" s="1339"/>
      <c r="G59" s="1340"/>
      <c r="H59" s="1341"/>
      <c r="I59" s="1342"/>
      <c r="J59" s="1341"/>
      <c r="K59" s="1342"/>
      <c r="L59" s="1343"/>
      <c r="M59" s="1344" t="b">
        <v>1</v>
      </c>
      <c r="N59" s="1344" t="b">
        <v>1</v>
      </c>
      <c r="O59" s="1345" t="s">
        <v>139</v>
      </c>
      <c r="P59" s="1346"/>
      <c r="Q59" s="1346" t="s">
        <v>1662</v>
      </c>
      <c r="R59" s="1346"/>
      <c r="S59" s="1346" t="s">
        <v>129</v>
      </c>
      <c r="T59" s="1347" t="str">
        <f t="shared" si="12"/>
        <v>ei sovellettavissa</v>
      </c>
      <c r="U59" s="16"/>
      <c r="AL59" s="663" t="str">
        <f>IF(COUNTIF($C59:$E59,AL$18)=0,"",MAX(AL$18:AL58)+1)</f>
        <v/>
      </c>
      <c r="AM59" s="663" t="str">
        <f>IF(COUNTIF($C59:$E59,AM$18)=0,"",MAX(AM$18:AM58)+1)</f>
        <v/>
      </c>
      <c r="AN59" s="663" t="str">
        <f>IF(COUNTIF($C59:$E59,AN$18)=0,"",MAX(AN$18:AN58)+1)</f>
        <v/>
      </c>
      <c r="AO59" s="663" t="str">
        <f>IF(COUNTIF($C59:$E59,AO$18)=0,"",MAX(AO$18:AO58)+1)</f>
        <v/>
      </c>
    </row>
    <row r="60" spans="1:41" ht="13" thickBot="1" x14ac:dyDescent="0.3">
      <c r="A60" s="437" t="s">
        <v>1636</v>
      </c>
      <c r="B60" s="757"/>
      <c r="C60" s="437"/>
      <c r="D60" s="757"/>
      <c r="E60" s="437"/>
      <c r="F60" s="437"/>
      <c r="G60" s="438"/>
      <c r="H60" s="439"/>
      <c r="I60" s="439"/>
      <c r="J60" s="439"/>
      <c r="K60" s="439"/>
      <c r="L60" s="659"/>
      <c r="M60" s="441"/>
      <c r="N60" s="438"/>
      <c r="O60" s="442"/>
      <c r="P60" s="439"/>
      <c r="Q60" s="439"/>
      <c r="R60" s="439"/>
      <c r="S60" s="439"/>
      <c r="T60" s="440"/>
      <c r="U60" s="16"/>
    </row>
    <row r="62" spans="1:41" s="405" customFormat="1" ht="13.5" thickBot="1" x14ac:dyDescent="0.35">
      <c r="A62" s="405" t="s">
        <v>1670</v>
      </c>
    </row>
    <row r="63" spans="1:41" ht="13" thickBot="1" x14ac:dyDescent="0.3">
      <c r="E63" s="16"/>
      <c r="M63" s="414" t="str">
        <f>IF(COUNTIF(MSPara_CategoryMatrix,"")&gt;0,EUconst_ERR_Incomplete,"")</f>
        <v/>
      </c>
    </row>
    <row r="64" spans="1:41" ht="13.5" thickBot="1" x14ac:dyDescent="0.35">
      <c r="C64" s="408" t="s">
        <v>1671</v>
      </c>
      <c r="E64" s="411" t="s">
        <v>1672</v>
      </c>
    </row>
    <row r="65" spans="1:34" x14ac:dyDescent="0.25">
      <c r="A65" s="406">
        <v>1</v>
      </c>
      <c r="B65" s="407" t="str">
        <f>INDEX(EUConst_TierActivityListNames,A65)</f>
        <v>Kaupalliset peruspolttoaineet</v>
      </c>
      <c r="C65" s="409" t="str">
        <f ca="1">ADDRESS(ROW(),COLUMN(E65),,,$N$6)&amp;":"&amp;ADDRESS(ROW(),COLUMN(E65)+MAX(0,COUNTBLANK($E$69:$AH$69)-1-COUNTIF(E65:AH65,EUconst_NA)-COUNTIF(E65:AH65,"")))</f>
        <v>MSParameters!$E$65:$T$65</v>
      </c>
      <c r="E65" s="683" t="str">
        <f>IFERROR(INDEX(MSPara_SourceStreamCategory,MATCH(COLUMNS($E65:E65),INDEX($AL$19:$AO$59,,MATCH($B65,$AL$18:$AO$18,0)),0)),EUconst_NA)</f>
        <v>Nestemäinen - Moottoribensiini (Seos)</v>
      </c>
      <c r="F65" s="684" t="str">
        <f>IFERROR(INDEX(MSPara_SourceStreamCategory,MATCH(COLUMNS($E65:F65),INDEX($AL$19:$AO$59,,MATCH($B65,$AL$18:$AO$18,0)),0)),EUconst_NA)</f>
        <v>Nestemäinen - Dieselöljy (Seos)</v>
      </c>
      <c r="G65" s="684" t="str">
        <f>IFERROR(INDEX(MSPara_SourceStreamCategory,MATCH(COLUMNS($E65:G65),INDEX($AL$19:$AO$59,,MATCH($B65,$AL$18:$AO$18,0)),0)),EUconst_NA)</f>
        <v>Nestemäinen - Moottoribensiini (ei sekoitettu tai lisäaine)</v>
      </c>
      <c r="H65" s="684" t="str">
        <f>IFERROR(INDEX(MSPara_SourceStreamCategory,MATCH(COLUMNS($E65:H65),INDEX($AL$19:$AO$59,,MATCH($B65,$AL$18:$AO$18,0)),0)),EUconst_NA)</f>
        <v>Nestemäinen - Dieselöljy (ei sekoitettu tai lisäaine)</v>
      </c>
      <c r="I65" s="684" t="str">
        <f>IFERROR(INDEX(MSPara_SourceStreamCategory,MATCH(COLUMNS($E65:I65),INDEX($AL$19:$AO$59,,MATCH($B65,$AL$18:$AO$18,0)),0)),EUconst_NA)</f>
        <v>Nestemäinen - Kevyt polttoöljy (ei sekoitettu tai lisäaine)</v>
      </c>
      <c r="J65" s="684" t="str">
        <f>IFERROR(INDEX(MSPara_SourceStreamCategory,MATCH(COLUMNS($E65:J65),INDEX($AL$19:$AO$59,,MATCH($B65,$AL$18:$AO$18,0)),0)),EUconst_NA)</f>
        <v>Nestemäinen - Kevyt polttoöljy (seos)</v>
      </c>
      <c r="K65" s="684" t="str">
        <f>IFERROR(INDEX(MSPara_SourceStreamCategory,MATCH(COLUMNS($E65:K65),INDEX($AL$19:$AO$59,,MATCH($B65,$AL$18:$AO$18,0)),0)),EUconst_NA)</f>
        <v>Nestemäinen - Pienmoottoribensiini</v>
      </c>
      <c r="L65" s="685" t="str">
        <f>IFERROR(INDEX(MSPara_SourceStreamCategory,MATCH(COLUMNS($E65:L65),INDEX($AL$19:$AO$59,,MATCH($B65,$AL$18:$AO$18,0)),0)),EUconst_NA)</f>
        <v>Nestemäinen - Nestekaasu</v>
      </c>
      <c r="M65" s="685" t="str">
        <f>IFERROR(INDEX(MSPara_SourceStreamCategory,MATCH(COLUMNS($E65:M65),INDEX($AL$19:$AO$59,,MATCH($B65,$AL$18:$AO$18,0)),0)),EUconst_NA)</f>
        <v>Nestemäinen - Lentobensiini</v>
      </c>
      <c r="N65" s="685" t="str">
        <f>IFERROR(INDEX(MSPara_SourceStreamCategory,MATCH(COLUMNS($E65:N65),INDEX($AL$19:$AO$59,,MATCH($B65,$AL$18:$AO$18,0)),0)),EUconst_NA)</f>
        <v>Nestemäinen - Lentopetroli</v>
      </c>
      <c r="O65" s="685" t="str">
        <f>IFERROR(INDEX(MSPara_SourceStreamCategory,MATCH(COLUMNS($E65:O65),INDEX($AL$19:$AO$59,,MATCH($B65,$AL$18:$AO$18,0)),0)),EUconst_NA)</f>
        <v>Nestemäinen - 2-tahtiöljyt</v>
      </c>
      <c r="P65" s="686" t="str">
        <f>IFERROR(INDEX(MSPara_SourceStreamCategory,MATCH(COLUMNS($E65:P65),INDEX($AL$19:$AO$59,,MATCH($B65,$AL$18:$AO$18,0)),0)),EUconst_NA)</f>
        <v>Nestemäinen - Etanolidiesel</v>
      </c>
      <c r="Q65" s="686" t="str">
        <f>IFERROR(INDEX(MSPara_SourceStreamCategory,MATCH(COLUMNS($E65:Q65),INDEX($AL$19:$AO$59,,MATCH($B65,$AL$18:$AO$18,0)),0)),EUconst_NA)</f>
        <v>Nestemäinen - Bioetanoli</v>
      </c>
      <c r="R65" s="686" t="str">
        <f>IFERROR(INDEX(MSPara_SourceStreamCategory,MATCH(COLUMNS($E65:R65),INDEX($AL$19:$AO$59,,MATCH($B65,$AL$18:$AO$18,0)),0)),EUconst_NA)</f>
        <v>Nestemäinen - Uusiutuva diesel (ei sekoitettu)</v>
      </c>
      <c r="S65" s="686" t="str">
        <f>IFERROR(INDEX(MSPara_SourceStreamCategory,MATCH(COLUMNS($E65:S65),INDEX($AL$19:$AO$59,,MATCH($B65,$AL$18:$AO$18,0)),0)),EUconst_NA)</f>
        <v>Kaasumainen - Propaani</v>
      </c>
      <c r="T65" s="686" t="str">
        <f>IFERROR(INDEX(MSPara_SourceStreamCategory,MATCH(COLUMNS($E65:T65),INDEX($AL$19:$AO$59,,MATCH($B65,$AL$18:$AO$18,0)),0)),EUconst_NA)</f>
        <v>Nestemäinen - Biopolttoöljy (HVO)</v>
      </c>
      <c r="U65" s="686" t="str">
        <f>IFERROR(INDEX(MSPara_SourceStreamCategory,MATCH(COLUMNS($E65:U65),INDEX($AL$19:$AO$59,,MATCH($B65,$AL$18:$AO$18,0)),0)),EUconst_NA)</f>
        <v>ei sovellettavissa</v>
      </c>
      <c r="V65" s="686" t="str">
        <f>IFERROR(INDEX(MSPara_SourceStreamCategory,MATCH(COLUMNS($E65:V65),INDEX($AL$19:$AO$59,,MATCH($B65,$AL$18:$AO$18,0)),0)),EUconst_NA)</f>
        <v>ei sovellettavissa</v>
      </c>
      <c r="W65" s="686" t="str">
        <f>IFERROR(INDEX(MSPara_SourceStreamCategory,MATCH(COLUMNS($E65:W65),INDEX($AL$19:$AO$59,,MATCH($B65,$AL$18:$AO$18,0)),0)),EUconst_NA)</f>
        <v>ei sovellettavissa</v>
      </c>
      <c r="X65" s="686" t="str">
        <f>IFERROR(INDEX(MSPara_SourceStreamCategory,MATCH(COLUMNS($E65:X65),INDEX($AL$19:$AO$59,,MATCH($B65,$AL$18:$AO$18,0)),0)),EUconst_NA)</f>
        <v>ei sovellettavissa</v>
      </c>
      <c r="Y65" s="686" t="str">
        <f>IFERROR(INDEX(MSPara_SourceStreamCategory,MATCH(COLUMNS($E65:Y65),INDEX($AL$19:$AO$59,,MATCH($B65,$AL$18:$AO$18,0)),0)),EUconst_NA)</f>
        <v>ei sovellettavissa</v>
      </c>
      <c r="Z65" s="686" t="str">
        <f>IFERROR(INDEX(MSPara_SourceStreamCategory,MATCH(COLUMNS($E65:Z65),INDEX($AL$19:$AO$59,,MATCH($B65,$AL$18:$AO$18,0)),0)),EUconst_NA)</f>
        <v>ei sovellettavissa</v>
      </c>
      <c r="AA65" s="686" t="str">
        <f>IFERROR(INDEX(MSPara_SourceStreamCategory,MATCH(COLUMNS($E65:AA65),INDEX($AL$19:$AO$59,,MATCH($B65,$AL$18:$AO$18,0)),0)),EUconst_NA)</f>
        <v>ei sovellettavissa</v>
      </c>
      <c r="AB65" s="686" t="str">
        <f>IFERROR(INDEX(MSPara_SourceStreamCategory,MATCH(COLUMNS($E65:AB65),INDEX($AL$19:$AO$59,,MATCH($B65,$AL$18:$AO$18,0)),0)),EUconst_NA)</f>
        <v>ei sovellettavissa</v>
      </c>
      <c r="AC65" s="686" t="str">
        <f>IFERROR(INDEX(MSPara_SourceStreamCategory,MATCH(COLUMNS($E65:AC65),INDEX($AL$19:$AO$59,,MATCH($B65,$AL$18:$AO$18,0)),0)),EUconst_NA)</f>
        <v>ei sovellettavissa</v>
      </c>
      <c r="AD65" s="686" t="str">
        <f>IFERROR(INDEX(MSPara_SourceStreamCategory,MATCH(COLUMNS($E65:AD65),INDEX($AL$19:$AO$59,,MATCH($B65,$AL$18:$AO$18,0)),0)),EUconst_NA)</f>
        <v>ei sovellettavissa</v>
      </c>
      <c r="AE65" s="686" t="str">
        <f>IFERROR(INDEX(MSPara_SourceStreamCategory,MATCH(COLUMNS($E65:AE65),INDEX($AL$19:$AO$59,,MATCH($B65,$AL$18:$AO$18,0)),0)),EUconst_NA)</f>
        <v>ei sovellettavissa</v>
      </c>
      <c r="AF65" s="686" t="str">
        <f>IFERROR(INDEX(MSPara_SourceStreamCategory,MATCH(COLUMNS($E65:AF65),INDEX($AL$19:$AO$59,,MATCH($B65,$AL$18:$AO$18,0)),0)),EUconst_NA)</f>
        <v>ei sovellettavissa</v>
      </c>
      <c r="AG65" s="686" t="str">
        <f>IFERROR(INDEX(MSPara_SourceStreamCategory,MATCH(COLUMNS($E65:AG65),INDEX($AL$19:$AO$59,,MATCH($B65,$AL$18:$AO$18,0)),0)),EUconst_NA)</f>
        <v>ei sovellettavissa</v>
      </c>
      <c r="AH65" s="687" t="str">
        <f>IFERROR(INDEX(MSPara_SourceStreamCategory,MATCH(COLUMNS($E65:AH65),INDEX($AL$19:$AO$59,,MATCH($B65,$AL$18:$AO$18,0)),0)),EUconst_NA)</f>
        <v>ei sovellettavissa</v>
      </c>
    </row>
    <row r="66" spans="1:34" x14ac:dyDescent="0.25">
      <c r="A66" s="406">
        <v>2</v>
      </c>
      <c r="B66" s="407" t="str">
        <f>INDEX(EUConst_TierActivityListNames,A66)</f>
        <v>Muut kaasumaiset ja nestemäiset polttoaineet</v>
      </c>
      <c r="C66" s="410" t="str">
        <f ca="1">ADDRESS(ROW(),COLUMN(E66),,,$N$6)&amp;":"&amp;ADDRESS(ROW(),COLUMN(E66)+MAX(0,COUNTBLANK($E$69:$AH$69)-1-COUNTIF(E66:AH66,EUconst_NA)-COUNTIF(E66:AH66,"")))</f>
        <v>MSParameters!$E$66:$T$66</v>
      </c>
      <c r="E66" s="688" t="str">
        <f>IFERROR(INDEX(MSPara_SourceStreamCategory,MATCH(COLUMNS($E66:E66),INDEX($AL$19:$AO$59,,MATCH($B66,$AL$18:$AO$18,0)),0)),EUconst_NA)</f>
        <v>Nestemäinen - Muut keskiraskaat öljyt</v>
      </c>
      <c r="F66" s="689" t="str">
        <f>IFERROR(INDEX(MSPara_SourceStreamCategory,MATCH(COLUMNS($E66:F66),INDEX($AL$19:$AO$59,,MATCH($B66,$AL$18:$AO$18,0)),0)),EUconst_NA)</f>
        <v>Nestemäinen - Muut petrolit</v>
      </c>
      <c r="G66" s="689" t="str">
        <f>IFERROR(INDEX(MSPara_SourceStreamCategory,MATCH(COLUMNS($E66:G66),INDEX($AL$19:$AO$59,,MATCH($B66,$AL$18:$AO$18,0)),0)),EUconst_NA)</f>
        <v>Nestemäinen - Nesteytetty maakaasu</v>
      </c>
      <c r="H66" s="689" t="str">
        <f>IFERROR(INDEX(MSPara_SourceStreamCategory,MATCH(COLUMNS($E66:H66),INDEX($AL$19:$AO$59,,MATCH($B66,$AL$18:$AO$18,0)),0)),EUconst_NA)</f>
        <v>Nestemäinen - Kierrätys- ja jäteöljyt</v>
      </c>
      <c r="I66" s="689" t="str">
        <f>IFERROR(INDEX(MSPara_SourceStreamCategory,MATCH(COLUMNS($E66:I66),INDEX($AL$19:$AO$59,,MATCH($B66,$AL$18:$AO$18,0)),0)),EUconst_NA)</f>
        <v>Nestemäinen - Muut nestemäiset polttoaineet</v>
      </c>
      <c r="J66" s="690" t="str">
        <f>IFERROR(INDEX(MSPara_SourceStreamCategory,MATCH(COLUMNS($E66:J66),INDEX($AL$19:$AO$59,,MATCH($B66,$AL$18:$AO$18,0)),0)),EUconst_NA)</f>
        <v>Kaasumainen - Maakaasu</v>
      </c>
      <c r="K66" s="690" t="str">
        <f>IFERROR(INDEX(MSPara_SourceStreamCategory,MATCH(COLUMNS($E66:K66),INDEX($AL$19:$AO$59,,MATCH($B66,$AL$18:$AO$18,0)),0)),EUconst_NA)</f>
        <v>Kaasumainen - Kaatopaikkakaasu</v>
      </c>
      <c r="L66" s="690" t="str">
        <f>IFERROR(INDEX(MSPara_SourceStreamCategory,MATCH(COLUMNS($E66:L66),INDEX($AL$19:$AO$59,,MATCH($B66,$AL$18:$AO$18,0)),0)),EUconst_NA)</f>
        <v>Kaasumainen - Jätevedenpuhdistamoiden kaasu</v>
      </c>
      <c r="M66" s="690" t="str">
        <f>IFERROR(INDEX(MSPara_SourceStreamCategory,MATCH(COLUMNS($E66:M66),INDEX($AL$19:$AO$59,,MATCH($B66,$AL$18:$AO$18,0)),0)),EUconst_NA)</f>
        <v>Kaasumainen - Biometaani</v>
      </c>
      <c r="N66" s="690" t="str">
        <f>IFERROR(INDEX(MSPara_SourceStreamCategory,MATCH(COLUMNS($E66:N66),INDEX($AL$19:$AO$59,,MATCH($B66,$AL$18:$AO$18,0)),0)),EUconst_NA)</f>
        <v>Nestemäinen - Metanoli ja tärpätti</v>
      </c>
      <c r="O66" s="690" t="str">
        <f>IFERROR(INDEX(MSPara_SourceStreamCategory,MATCH(COLUMNS($E66:O66),INDEX($AL$19:$AO$59,,MATCH($B66,$AL$18:$AO$18,0)),0)),EUconst_NA)</f>
        <v>Kaasumainen - Muut kaasumaiset polttoaineet</v>
      </c>
      <c r="P66" s="690" t="str">
        <f>IFERROR(INDEX(MSPara_SourceStreamCategory,MATCH(COLUMNS($E66:P66),INDEX($AL$19:$AO$59,,MATCH($B66,$AL$18:$AO$18,0)),0)),EUconst_NA)</f>
        <v>Nestemäinen - Raskas polttoöljy, rikkipitoisuus  ≤ 0,1 %</v>
      </c>
      <c r="Q66" s="690" t="str">
        <f>IFERROR(INDEX(MSPara_SourceStreamCategory,MATCH(COLUMNS($E66:Q66),INDEX($AL$19:$AO$59,,MATCH($B66,$AL$18:$AO$18,0)),0)),EUconst_NA)</f>
        <v>Nestemäinen - Raskas polttoöljy, rikkipitoisuus  ≤ 0,5 %</v>
      </c>
      <c r="R66" s="690" t="str">
        <f>IFERROR(INDEX(MSPara_SourceStreamCategory,MATCH(COLUMNS($E66:R66),INDEX($AL$19:$AO$59,,MATCH($B66,$AL$18:$AO$18,0)),0)),EUconst_NA)</f>
        <v>Nestemäinen - Raskas polttoöljy, rikkipitoisuus &lt; 1%</v>
      </c>
      <c r="S66" s="689" t="str">
        <f>IFERROR(INDEX(MSPara_SourceStreamCategory,MATCH(COLUMNS($E66:S66),INDEX($AL$19:$AO$59,,MATCH($B66,$AL$18:$AO$18,0)),0)),EUconst_NA)</f>
        <v>Nestemäinen - Raskas polttoöljy, rikkipitoisuus ≥ 1 %</v>
      </c>
      <c r="T66" s="689" t="str">
        <f>IFERROR(INDEX(MSPara_SourceStreamCategory,MATCH(COLUMNS($E66:T66),INDEX($AL$19:$AO$59,,MATCH($B66,$AL$18:$AO$18,0)),0)),EUconst_NA)</f>
        <v>Nestemäinen - Muut raskaat öljyt</v>
      </c>
      <c r="U66" s="689" t="str">
        <f>IFERROR(INDEX(MSPara_SourceStreamCategory,MATCH(COLUMNS($E66:U66),INDEX($AL$19:$AO$59,,MATCH($B66,$AL$18:$AO$18,0)),0)),EUconst_NA)</f>
        <v>ei sovellettavissa</v>
      </c>
      <c r="V66" s="689" t="str">
        <f>IFERROR(INDEX(MSPara_SourceStreamCategory,MATCH(COLUMNS($E66:V66),INDEX($AL$19:$AO$59,,MATCH($B66,$AL$18:$AO$18,0)),0)),EUconst_NA)</f>
        <v>ei sovellettavissa</v>
      </c>
      <c r="W66" s="689" t="str">
        <f>IFERROR(INDEX(MSPara_SourceStreamCategory,MATCH(COLUMNS($E66:W66),INDEX($AL$19:$AO$59,,MATCH($B66,$AL$18:$AO$18,0)),0)),EUconst_NA)</f>
        <v>ei sovellettavissa</v>
      </c>
      <c r="X66" s="689" t="str">
        <f>IFERROR(INDEX(MSPara_SourceStreamCategory,MATCH(COLUMNS($E66:X66),INDEX($AL$19:$AO$59,,MATCH($B66,$AL$18:$AO$18,0)),0)),EUconst_NA)</f>
        <v>ei sovellettavissa</v>
      </c>
      <c r="Y66" s="689" t="str">
        <f>IFERROR(INDEX(MSPara_SourceStreamCategory,MATCH(COLUMNS($E66:Y66),INDEX($AL$19:$AO$59,,MATCH($B66,$AL$18:$AO$18,0)),0)),EUconst_NA)</f>
        <v>ei sovellettavissa</v>
      </c>
      <c r="Z66" s="689" t="str">
        <f>IFERROR(INDEX(MSPara_SourceStreamCategory,MATCH(COLUMNS($E66:Z66),INDEX($AL$19:$AO$59,,MATCH($B66,$AL$18:$AO$18,0)),0)),EUconst_NA)</f>
        <v>ei sovellettavissa</v>
      </c>
      <c r="AA66" s="689" t="str">
        <f>IFERROR(INDEX(MSPara_SourceStreamCategory,MATCH(COLUMNS($E66:AA66),INDEX($AL$19:$AO$59,,MATCH($B66,$AL$18:$AO$18,0)),0)),EUconst_NA)</f>
        <v>ei sovellettavissa</v>
      </c>
      <c r="AB66" s="689" t="str">
        <f>IFERROR(INDEX(MSPara_SourceStreamCategory,MATCH(COLUMNS($E66:AB66),INDEX($AL$19:$AO$59,,MATCH($B66,$AL$18:$AO$18,0)),0)),EUconst_NA)</f>
        <v>ei sovellettavissa</v>
      </c>
      <c r="AC66" s="689" t="str">
        <f>IFERROR(INDEX(MSPara_SourceStreamCategory,MATCH(COLUMNS($E66:AC66),INDEX($AL$19:$AO$59,,MATCH($B66,$AL$18:$AO$18,0)),0)),EUconst_NA)</f>
        <v>ei sovellettavissa</v>
      </c>
      <c r="AD66" s="689" t="str">
        <f>IFERROR(INDEX(MSPara_SourceStreamCategory,MATCH(COLUMNS($E66:AD66),INDEX($AL$19:$AO$59,,MATCH($B66,$AL$18:$AO$18,0)),0)),EUconst_NA)</f>
        <v>ei sovellettavissa</v>
      </c>
      <c r="AE66" s="689" t="str">
        <f>IFERROR(INDEX(MSPara_SourceStreamCategory,MATCH(COLUMNS($E66:AE66),INDEX($AL$19:$AO$59,,MATCH($B66,$AL$18:$AO$18,0)),0)),EUconst_NA)</f>
        <v>ei sovellettavissa</v>
      </c>
      <c r="AF66" s="689" t="str">
        <f>IFERROR(INDEX(MSPara_SourceStreamCategory,MATCH(COLUMNS($E66:AF66),INDEX($AL$19:$AO$59,,MATCH($B66,$AL$18:$AO$18,0)),0)),EUconst_NA)</f>
        <v>ei sovellettavissa</v>
      </c>
      <c r="AG66" s="689" t="str">
        <f>IFERROR(INDEX(MSPara_SourceStreamCategory,MATCH(COLUMNS($E66:AG66),INDEX($AL$19:$AO$59,,MATCH($B66,$AL$18:$AO$18,0)),0)),EUconst_NA)</f>
        <v>ei sovellettavissa</v>
      </c>
      <c r="AH66" s="691" t="str">
        <f>IFERROR(INDEX(MSPara_SourceStreamCategory,MATCH(COLUMNS($E66:AH66),INDEX($AL$19:$AO$59,,MATCH($B66,$AL$18:$AO$18,0)),0)),EUconst_NA)</f>
        <v>ei sovellettavissa</v>
      </c>
    </row>
    <row r="67" spans="1:34" x14ac:dyDescent="0.25">
      <c r="A67" s="406">
        <v>3</v>
      </c>
      <c r="B67" s="407" t="str">
        <f>INDEX(EUConst_TierActivityListNames,A67)</f>
        <v>Kiinteät polttoaineet</v>
      </c>
      <c r="C67" s="410" t="str">
        <f ca="1">ADDRESS(ROW(),COLUMN(E67),,,$N$6)&amp;":"&amp;ADDRESS(ROW(),COLUMN(E67)+MAX(0,COUNTBLANK($E$69:$AH$69)-1-COUNTIF(E67:AH67,EUconst_NA)-COUNTIF(E67:AH67,"")))</f>
        <v>MSParameters!$E$67:$K$67</v>
      </c>
      <c r="E67" s="688" t="str">
        <f>IFERROR(INDEX(MSPara_SourceStreamCategory,MATCH(COLUMNS($E67:E67),INDEX($AL$19:$AO$59,,MATCH($B67,$AL$18:$AO$18,0)),0)),EUconst_NA)</f>
        <v>Kiinteä - Antrasiitti</v>
      </c>
      <c r="F67" s="689" t="str">
        <f>IFERROR(INDEX(MSPara_SourceStreamCategory,MATCH(COLUMNS($E67:F67),INDEX($AL$19:$AO$59,,MATCH($B67,$AL$18:$AO$18,0)),0)),EUconst_NA)</f>
        <v>Kiinteä - Koksattava kivihiili</v>
      </c>
      <c r="G67" s="689" t="str">
        <f>IFERROR(INDEX(MSPara_SourceStreamCategory,MATCH(COLUMNS($E67:G67),INDEX($AL$19:$AO$59,,MATCH($B67,$AL$18:$AO$18,0)),0)),EUconst_NA)</f>
        <v>Kiinteä - Kivihiili</v>
      </c>
      <c r="H67" s="689" t="str">
        <f>IFERROR(INDEX(MSPara_SourceStreamCategory,MATCH(COLUMNS($E67:H67),INDEX($AL$19:$AO$59,,MATCH($B67,$AL$18:$AO$18,0)),0)),EUconst_NA)</f>
        <v>Kiinteä - Puolibituminen hiili, ruskohiili</v>
      </c>
      <c r="I67" s="689" t="str">
        <f>IFERROR(INDEX(MSPara_SourceStreamCategory,MATCH(COLUMNS($E67:I67),INDEX($AL$19:$AO$59,,MATCH($B67,$AL$18:$AO$18,0)),0)),EUconst_NA)</f>
        <v>Kiinteä - muu hiili</v>
      </c>
      <c r="J67" s="689" t="str">
        <f>IFERROR(INDEX(MSPara_SourceStreamCategory,MATCH(COLUMNS($E67:J67),INDEX($AL$19:$AO$59,,MATCH($B67,$AL$18:$AO$18,0)),0)),EUconst_NA)</f>
        <v>Kiinteä - Koksi</v>
      </c>
      <c r="K67" s="689" t="str">
        <f>IFERROR(INDEX(MSPara_SourceStreamCategory,MATCH(COLUMNS($E67:K67),INDEX($AL$19:$AO$59,,MATCH($B67,$AL$18:$AO$18,0)),0)),EUconst_NA)</f>
        <v>Kiinteä - Muut kiinteät polttoaineet</v>
      </c>
      <c r="L67" s="689" t="str">
        <f>IFERROR(INDEX(MSPara_SourceStreamCategory,MATCH(COLUMNS($E67:L67),INDEX($AL$19:$AO$59,,MATCH($B67,$AL$18:$AO$18,0)),0)),EUconst_NA)</f>
        <v>ei sovellettavissa</v>
      </c>
      <c r="M67" s="689" t="str">
        <f>IFERROR(INDEX(MSPara_SourceStreamCategory,MATCH(COLUMNS($E67:M67),INDEX($AL$19:$AO$59,,MATCH($B67,$AL$18:$AO$18,0)),0)),EUconst_NA)</f>
        <v>ei sovellettavissa</v>
      </c>
      <c r="N67" s="690" t="str">
        <f>IFERROR(INDEX(MSPara_SourceStreamCategory,MATCH(COLUMNS($E67:N67),INDEX($AL$19:$AO$59,,MATCH($B67,$AL$18:$AO$18,0)),0)),EUconst_NA)</f>
        <v>ei sovellettavissa</v>
      </c>
      <c r="O67" s="690" t="str">
        <f>IFERROR(INDEX(MSPara_SourceStreamCategory,MATCH(COLUMNS($E67:O67),INDEX($AL$19:$AO$59,,MATCH($B67,$AL$18:$AO$18,0)),0)),EUconst_NA)</f>
        <v>ei sovellettavissa</v>
      </c>
      <c r="P67" s="690" t="str">
        <f>IFERROR(INDEX(MSPara_SourceStreamCategory,MATCH(COLUMNS($E67:P67),INDEX($AL$19:$AO$59,,MATCH($B67,$AL$18:$AO$18,0)),0)),EUconst_NA)</f>
        <v>ei sovellettavissa</v>
      </c>
      <c r="Q67" s="690" t="str">
        <f>IFERROR(INDEX(MSPara_SourceStreamCategory,MATCH(COLUMNS($E67:Q67),INDEX($AL$19:$AO$59,,MATCH($B67,$AL$18:$AO$18,0)),0)),EUconst_NA)</f>
        <v>ei sovellettavissa</v>
      </c>
      <c r="R67" s="690" t="str">
        <f>IFERROR(INDEX(MSPara_SourceStreamCategory,MATCH(COLUMNS($E67:R67),INDEX($AL$19:$AO$59,,MATCH($B67,$AL$18:$AO$18,0)),0)),EUconst_NA)</f>
        <v>ei sovellettavissa</v>
      </c>
      <c r="S67" s="690" t="str">
        <f>IFERROR(INDEX(MSPara_SourceStreamCategory,MATCH(COLUMNS($E67:S67),INDEX($AL$19:$AO$59,,MATCH($B67,$AL$18:$AO$18,0)),0)),EUconst_NA)</f>
        <v>ei sovellettavissa</v>
      </c>
      <c r="T67" s="690" t="str">
        <f>IFERROR(INDEX(MSPara_SourceStreamCategory,MATCH(COLUMNS($E67:T67),INDEX($AL$19:$AO$59,,MATCH($B67,$AL$18:$AO$18,0)),0)),EUconst_NA)</f>
        <v>ei sovellettavissa</v>
      </c>
      <c r="U67" s="690" t="str">
        <f>IFERROR(INDEX(MSPara_SourceStreamCategory,MATCH(COLUMNS($E67:U67),INDEX($AL$19:$AO$59,,MATCH($B67,$AL$18:$AO$18,0)),0)),EUconst_NA)</f>
        <v>ei sovellettavissa</v>
      </c>
      <c r="V67" s="690" t="str">
        <f>IFERROR(INDEX(MSPara_SourceStreamCategory,MATCH(COLUMNS($E67:V67),INDEX($AL$19:$AO$59,,MATCH($B67,$AL$18:$AO$18,0)),0)),EUconst_NA)</f>
        <v>ei sovellettavissa</v>
      </c>
      <c r="W67" s="690" t="str">
        <f>IFERROR(INDEX(MSPara_SourceStreamCategory,MATCH(COLUMNS($E67:W67),INDEX($AL$19:$AO$59,,MATCH($B67,$AL$18:$AO$18,0)),0)),EUconst_NA)</f>
        <v>ei sovellettavissa</v>
      </c>
      <c r="X67" s="690" t="str">
        <f>IFERROR(INDEX(MSPara_SourceStreamCategory,MATCH(COLUMNS($E67:X67),INDEX($AL$19:$AO$59,,MATCH($B67,$AL$18:$AO$18,0)),0)),EUconst_NA)</f>
        <v>ei sovellettavissa</v>
      </c>
      <c r="Y67" s="690" t="str">
        <f>IFERROR(INDEX(MSPara_SourceStreamCategory,MATCH(COLUMNS($E67:Y67),INDEX($AL$19:$AO$59,,MATCH($B67,$AL$18:$AO$18,0)),0)),EUconst_NA)</f>
        <v>ei sovellettavissa</v>
      </c>
      <c r="Z67" s="690" t="str">
        <f>IFERROR(INDEX(MSPara_SourceStreamCategory,MATCH(COLUMNS($E67:Z67),INDEX($AL$19:$AO$59,,MATCH($B67,$AL$18:$AO$18,0)),0)),EUconst_NA)</f>
        <v>ei sovellettavissa</v>
      </c>
      <c r="AA67" s="690" t="str">
        <f>IFERROR(INDEX(MSPara_SourceStreamCategory,MATCH(COLUMNS($E67:AA67),INDEX($AL$19:$AO$59,,MATCH($B67,$AL$18:$AO$18,0)),0)),EUconst_NA)</f>
        <v>ei sovellettavissa</v>
      </c>
      <c r="AB67" s="690" t="str">
        <f>IFERROR(INDEX(MSPara_SourceStreamCategory,MATCH(COLUMNS($E67:AB67),INDEX($AL$19:$AO$59,,MATCH($B67,$AL$18:$AO$18,0)),0)),EUconst_NA)</f>
        <v>ei sovellettavissa</v>
      </c>
      <c r="AC67" s="690" t="str">
        <f>IFERROR(INDEX(MSPara_SourceStreamCategory,MATCH(COLUMNS($E67:AC67),INDEX($AL$19:$AO$59,,MATCH($B67,$AL$18:$AO$18,0)),0)),EUconst_NA)</f>
        <v>ei sovellettavissa</v>
      </c>
      <c r="AD67" s="690" t="str">
        <f>IFERROR(INDEX(MSPara_SourceStreamCategory,MATCH(COLUMNS($E67:AD67),INDEX($AL$19:$AO$59,,MATCH($B67,$AL$18:$AO$18,0)),0)),EUconst_NA)</f>
        <v>ei sovellettavissa</v>
      </c>
      <c r="AE67" s="690" t="str">
        <f>IFERROR(INDEX(MSPara_SourceStreamCategory,MATCH(COLUMNS($E67:AE67),INDEX($AL$19:$AO$59,,MATCH($B67,$AL$18:$AO$18,0)),0)),EUconst_NA)</f>
        <v>ei sovellettavissa</v>
      </c>
      <c r="AF67" s="689" t="str">
        <f>IFERROR(INDEX(MSPara_SourceStreamCategory,MATCH(COLUMNS($E67:AF67),INDEX($AL$19:$AO$59,,MATCH($B67,$AL$18:$AO$18,0)),0)),EUconst_NA)</f>
        <v>ei sovellettavissa</v>
      </c>
      <c r="AG67" s="689" t="str">
        <f>IFERROR(INDEX(MSPara_SourceStreamCategory,MATCH(COLUMNS($E67:AG67),INDEX($AL$19:$AO$59,,MATCH($B67,$AL$18:$AO$18,0)),0)),EUconst_NA)</f>
        <v>ei sovellettavissa</v>
      </c>
      <c r="AH67" s="691" t="str">
        <f>IFERROR(INDEX(MSPara_SourceStreamCategory,MATCH(COLUMNS($E67:AH67),INDEX($AL$19:$AO$59,,MATCH($B67,$AL$18:$AO$18,0)),0)),EUconst_NA)</f>
        <v>ei sovellettavissa</v>
      </c>
    </row>
    <row r="68" spans="1:34" ht="13" thickBot="1" x14ac:dyDescent="0.3">
      <c r="A68" s="406">
        <v>4</v>
      </c>
      <c r="B68" s="407" t="str">
        <f>INDEX(EUConst_TierActivityListNames,A68)</f>
        <v>Kaupallisia peruspolttoaineita vastaavat polttoaineet (75 k artiklan 2 kohta)</v>
      </c>
      <c r="C68" s="661" t="str">
        <f ca="1">ADDRESS(ROW(),COLUMN(E68),,,$N$6)&amp;":"&amp;ADDRESS(ROW(),COLUMN(E68)+MAX(0,COUNTBLANK($E$69:$AH$69)-1-COUNTIF(E68:AH68,EUconst_NA)-COUNTIF(E68:AH68,"")))</f>
        <v>MSParameters!$E$68:$E$68</v>
      </c>
      <c r="E68" s="692" t="str">
        <f>IFERROR(INDEX(MSPara_SourceStreamCategory,MATCH(COLUMNS($E68:E68),INDEX($AL$19:$AO$59,,MATCH($B68,$AL$18:$AO$18,0)),0)),EUconst_NA)</f>
        <v>ei sovellettavissa</v>
      </c>
      <c r="F68" s="693" t="str">
        <f>IFERROR(INDEX(MSPara_SourceStreamCategory,MATCH(COLUMNS($E68:F68),INDEX($AL$19:$AO$59,,MATCH($B68,$AL$18:$AO$18,0)),0)),EUconst_NA)</f>
        <v>ei sovellettavissa</v>
      </c>
      <c r="G68" s="693" t="str">
        <f>IFERROR(INDEX(MSPara_SourceStreamCategory,MATCH(COLUMNS($E68:G68),INDEX($AL$19:$AO$59,,MATCH($B68,$AL$18:$AO$18,0)),0)),EUconst_NA)</f>
        <v>ei sovellettavissa</v>
      </c>
      <c r="H68" s="693" t="str">
        <f>IFERROR(INDEX(MSPara_SourceStreamCategory,MATCH(COLUMNS($E68:H68),INDEX($AL$19:$AO$59,,MATCH($B68,$AL$18:$AO$18,0)),0)),EUconst_NA)</f>
        <v>ei sovellettavissa</v>
      </c>
      <c r="I68" s="693" t="str">
        <f>IFERROR(INDEX(MSPara_SourceStreamCategory,MATCH(COLUMNS($E68:I68),INDEX($AL$19:$AO$59,,MATCH($B68,$AL$18:$AO$18,0)),0)),EUconst_NA)</f>
        <v>ei sovellettavissa</v>
      </c>
      <c r="J68" s="693" t="str">
        <f>IFERROR(INDEX(MSPara_SourceStreamCategory,MATCH(COLUMNS($E68:J68),INDEX($AL$19:$AO$59,,MATCH($B68,$AL$18:$AO$18,0)),0)),EUconst_NA)</f>
        <v>ei sovellettavissa</v>
      </c>
      <c r="K68" s="693" t="str">
        <f>IFERROR(INDEX(MSPara_SourceStreamCategory,MATCH(COLUMNS($E68:K68),INDEX($AL$19:$AO$59,,MATCH($B68,$AL$18:$AO$18,0)),0)),EUconst_NA)</f>
        <v>ei sovellettavissa</v>
      </c>
      <c r="L68" s="693" t="str">
        <f>IFERROR(INDEX(MSPara_SourceStreamCategory,MATCH(COLUMNS($E68:L68),INDEX($AL$19:$AO$59,,MATCH($B68,$AL$18:$AO$18,0)),0)),EUconst_NA)</f>
        <v>ei sovellettavissa</v>
      </c>
      <c r="M68" s="694" t="str">
        <f>IFERROR(INDEX(MSPara_SourceStreamCategory,MATCH(COLUMNS($E68:M68),INDEX($AL$19:$AO$59,,MATCH($B68,$AL$18:$AO$18,0)),0)),EUconst_NA)</f>
        <v>ei sovellettavissa</v>
      </c>
      <c r="N68" s="694" t="str">
        <f>IFERROR(INDEX(MSPara_SourceStreamCategory,MATCH(COLUMNS($E68:N68),INDEX($AL$19:$AO$59,,MATCH($B68,$AL$18:$AO$18,0)),0)),EUconst_NA)</f>
        <v>ei sovellettavissa</v>
      </c>
      <c r="O68" s="694" t="str">
        <f>IFERROR(INDEX(MSPara_SourceStreamCategory,MATCH(COLUMNS($E68:O68),INDEX($AL$19:$AO$59,,MATCH($B68,$AL$18:$AO$18,0)),0)),EUconst_NA)</f>
        <v>ei sovellettavissa</v>
      </c>
      <c r="P68" s="694" t="str">
        <f>IFERROR(INDEX(MSPara_SourceStreamCategory,MATCH(COLUMNS($E68:P68),INDEX($AL$19:$AO$59,,MATCH($B68,$AL$18:$AO$18,0)),0)),EUconst_NA)</f>
        <v>ei sovellettavissa</v>
      </c>
      <c r="Q68" s="694" t="str">
        <f>IFERROR(INDEX(MSPara_SourceStreamCategory,MATCH(COLUMNS($E68:Q68),INDEX($AL$19:$AO$59,,MATCH($B68,$AL$18:$AO$18,0)),0)),EUconst_NA)</f>
        <v>ei sovellettavissa</v>
      </c>
      <c r="R68" s="694" t="str">
        <f>IFERROR(INDEX(MSPara_SourceStreamCategory,MATCH(COLUMNS($E68:R68),INDEX($AL$19:$AO$59,,MATCH($B68,$AL$18:$AO$18,0)),0)),EUconst_NA)</f>
        <v>ei sovellettavissa</v>
      </c>
      <c r="S68" s="694" t="str">
        <f>IFERROR(INDEX(MSPara_SourceStreamCategory,MATCH(COLUMNS($E68:S68),INDEX($AL$19:$AO$59,,MATCH($B68,$AL$18:$AO$18,0)),0)),EUconst_NA)</f>
        <v>ei sovellettavissa</v>
      </c>
      <c r="T68" s="694" t="str">
        <f>IFERROR(INDEX(MSPara_SourceStreamCategory,MATCH(COLUMNS($E68:T68),INDEX($AL$19:$AO$59,,MATCH($B68,$AL$18:$AO$18,0)),0)),EUconst_NA)</f>
        <v>ei sovellettavissa</v>
      </c>
      <c r="U68" s="694" t="str">
        <f>IFERROR(INDEX(MSPara_SourceStreamCategory,MATCH(COLUMNS($E68:U68),INDEX($AL$19:$AO$59,,MATCH($B68,$AL$18:$AO$18,0)),0)),EUconst_NA)</f>
        <v>ei sovellettavissa</v>
      </c>
      <c r="V68" s="694" t="str">
        <f>IFERROR(INDEX(MSPara_SourceStreamCategory,MATCH(COLUMNS($E68:V68),INDEX($AL$19:$AO$59,,MATCH($B68,$AL$18:$AO$18,0)),0)),EUconst_NA)</f>
        <v>ei sovellettavissa</v>
      </c>
      <c r="W68" s="694" t="str">
        <f>IFERROR(INDEX(MSPara_SourceStreamCategory,MATCH(COLUMNS($E68:W68),INDEX($AL$19:$AO$59,,MATCH($B68,$AL$18:$AO$18,0)),0)),EUconst_NA)</f>
        <v>ei sovellettavissa</v>
      </c>
      <c r="X68" s="694" t="str">
        <f>IFERROR(INDEX(MSPara_SourceStreamCategory,MATCH(COLUMNS($E68:X68),INDEX($AL$19:$AO$59,,MATCH($B68,$AL$18:$AO$18,0)),0)),EUconst_NA)</f>
        <v>ei sovellettavissa</v>
      </c>
      <c r="Y68" s="694" t="str">
        <f>IFERROR(INDEX(MSPara_SourceStreamCategory,MATCH(COLUMNS($E68:Y68),INDEX($AL$19:$AO$59,,MATCH($B68,$AL$18:$AO$18,0)),0)),EUconst_NA)</f>
        <v>ei sovellettavissa</v>
      </c>
      <c r="Z68" s="694" t="str">
        <f>IFERROR(INDEX(MSPara_SourceStreamCategory,MATCH(COLUMNS($E68:Z68),INDEX($AL$19:$AO$59,,MATCH($B68,$AL$18:$AO$18,0)),0)),EUconst_NA)</f>
        <v>ei sovellettavissa</v>
      </c>
      <c r="AA68" s="694" t="str">
        <f>IFERROR(INDEX(MSPara_SourceStreamCategory,MATCH(COLUMNS($E68:AA68),INDEX($AL$19:$AO$59,,MATCH($B68,$AL$18:$AO$18,0)),0)),EUconst_NA)</f>
        <v>ei sovellettavissa</v>
      </c>
      <c r="AB68" s="694" t="str">
        <f>IFERROR(INDEX(MSPara_SourceStreamCategory,MATCH(COLUMNS($E68:AB68),INDEX($AL$19:$AO$59,,MATCH($B68,$AL$18:$AO$18,0)),0)),EUconst_NA)</f>
        <v>ei sovellettavissa</v>
      </c>
      <c r="AC68" s="694" t="str">
        <f>IFERROR(INDEX(MSPara_SourceStreamCategory,MATCH(COLUMNS($E68:AC68),INDEX($AL$19:$AO$59,,MATCH($B68,$AL$18:$AO$18,0)),0)),EUconst_NA)</f>
        <v>ei sovellettavissa</v>
      </c>
      <c r="AD68" s="694" t="str">
        <f>IFERROR(INDEX(MSPara_SourceStreamCategory,MATCH(COLUMNS($E68:AD68),INDEX($AL$19:$AO$59,,MATCH($B68,$AL$18:$AO$18,0)),0)),EUconst_NA)</f>
        <v>ei sovellettavissa</v>
      </c>
      <c r="AE68" s="694" t="str">
        <f>IFERROR(INDEX(MSPara_SourceStreamCategory,MATCH(COLUMNS($E68:AE68),INDEX($AL$19:$AO$59,,MATCH($B68,$AL$18:$AO$18,0)),0)),EUconst_NA)</f>
        <v>ei sovellettavissa</v>
      </c>
      <c r="AF68" s="694" t="str">
        <f>IFERROR(INDEX(MSPara_SourceStreamCategory,MATCH(COLUMNS($E68:AF68),INDEX($AL$19:$AO$59,,MATCH($B68,$AL$18:$AO$18,0)),0)),EUconst_NA)</f>
        <v>ei sovellettavissa</v>
      </c>
      <c r="AG68" s="694" t="str">
        <f>IFERROR(INDEX(MSPara_SourceStreamCategory,MATCH(COLUMNS($E68:AG68),INDEX($AL$19:$AO$59,,MATCH($B68,$AL$18:$AO$18,0)),0)),EUconst_NA)</f>
        <v>ei sovellettavissa</v>
      </c>
      <c r="AH68" s="695" t="str">
        <f>IFERROR(INDEX(MSPara_SourceStreamCategory,MATCH(COLUMNS($E68:AH68),INDEX($AL$19:$AO$59,,MATCH($B68,$AL$18:$AO$18,0)),0)),EUconst_NA)</f>
        <v>ei sovellettavissa</v>
      </c>
    </row>
  </sheetData>
  <sheetProtection sheet="1" formatCells="0" formatColumns="0" formatRows="0"/>
  <mergeCells count="11">
    <mergeCell ref="F14:L14"/>
    <mergeCell ref="F15:L15"/>
    <mergeCell ref="O14:T14"/>
    <mergeCell ref="O15:T15"/>
    <mergeCell ref="A16:A17"/>
    <mergeCell ref="P16:Q16"/>
    <mergeCell ref="R16:S16"/>
    <mergeCell ref="H16:I16"/>
    <mergeCell ref="J16:K16"/>
    <mergeCell ref="B16:C17"/>
    <mergeCell ref="D16:E17"/>
  </mergeCells>
  <phoneticPr fontId="49" type="noConversion"/>
  <conditionalFormatting sqref="L65:O65 E66:AH67">
    <cfRule type="containsText" dxfId="0" priority="2" stopIfTrue="1" operator="containsText" text="XXX">
      <formula>NOT(ISERROR(SEARCH("XXX",E65)))</formula>
    </cfRule>
  </conditionalFormatting>
  <dataValidations count="5">
    <dataValidation type="list" allowBlank="1" showInputMessage="1" showErrorMessage="1" sqref="M19:N59" xr:uid="{00000000-0002-0000-0C00-000000000000}">
      <formula1>EUconst_TrueFalse</formula1>
    </dataValidation>
    <dataValidation type="list" allowBlank="1" showInputMessage="1" sqref="S19:S59 I19:I59" xr:uid="{00000000-0002-0000-0C00-000001000000}">
      <formula1>EFUnits</formula1>
    </dataValidation>
    <dataValidation type="list" allowBlank="1" showInputMessage="1" sqref="O19:O59 G19:G59" xr:uid="{00000000-0002-0000-0C00-000002000000}">
      <formula1>RFAUnits</formula1>
    </dataValidation>
    <dataValidation type="list" allowBlank="1" showInputMessage="1" sqref="Q19:Q59 K19:K59" xr:uid="{00000000-0002-0000-0C00-000003000000}">
      <formula1>UCFUnits</formula1>
    </dataValidation>
    <dataValidation type="list" allowBlank="1" showInputMessage="1" showErrorMessage="1" sqref="B19:B59 D19:D59" xr:uid="{00000000-0002-0000-0C00-000004000000}">
      <formula1>"1,2,3,4"</formula1>
    </dataValidation>
  </dataValidations>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indexed="17"/>
    <pageSetUpPr fitToPage="1"/>
  </sheetPr>
  <dimension ref="A1:E91"/>
  <sheetViews>
    <sheetView workbookViewId="0">
      <selection activeCell="B3" sqref="B3"/>
    </sheetView>
  </sheetViews>
  <sheetFormatPr defaultColWidth="9.1796875" defaultRowHeight="12.5" x14ac:dyDescent="0.25"/>
  <cols>
    <col min="1" max="1" width="17.1796875" customWidth="1"/>
    <col min="2" max="2" width="34.7265625" customWidth="1"/>
    <col min="3" max="3" width="15.1796875" customWidth="1"/>
  </cols>
  <sheetData>
    <row r="1" spans="1:5" ht="13.5" thickBot="1" x14ac:dyDescent="0.35">
      <c r="A1" s="36" t="s">
        <v>1673</v>
      </c>
    </row>
    <row r="2" spans="1:5" ht="13" thickBot="1" x14ac:dyDescent="0.3">
      <c r="A2" s="77" t="s">
        <v>1674</v>
      </c>
      <c r="B2" s="78" t="s">
        <v>1675</v>
      </c>
    </row>
    <row r="3" spans="1:5" ht="13" thickBot="1" x14ac:dyDescent="0.3">
      <c r="A3" s="79" t="s">
        <v>1676</v>
      </c>
      <c r="B3" s="80">
        <v>45638</v>
      </c>
      <c r="C3" s="81" t="str">
        <f>IF(ISNUMBER(MATCH(B3,A18:A29,0)),VLOOKUP(B3,A18:B29,2,FALSE),"---")</f>
        <v>AER ETS2_COM_en_121224.xls</v>
      </c>
      <c r="D3" s="82"/>
      <c r="E3" s="83"/>
    </row>
    <row r="4" spans="1:5" x14ac:dyDescent="0.25">
      <c r="A4" s="84" t="s">
        <v>1677</v>
      </c>
      <c r="B4" s="85" t="s">
        <v>1678</v>
      </c>
    </row>
    <row r="5" spans="1:5" ht="13" thickBot="1" x14ac:dyDescent="0.3">
      <c r="A5" s="86" t="s">
        <v>1679</v>
      </c>
      <c r="B5" s="87" t="s">
        <v>1680</v>
      </c>
    </row>
    <row r="7" spans="1:5" ht="13" x14ac:dyDescent="0.3">
      <c r="A7" s="36" t="s">
        <v>1681</v>
      </c>
    </row>
    <row r="8" spans="1:5" x14ac:dyDescent="0.25">
      <c r="A8" s="280" t="s">
        <v>1682</v>
      </c>
      <c r="B8" s="131"/>
      <c r="C8" s="280" t="s">
        <v>1683</v>
      </c>
    </row>
    <row r="9" spans="1:5" x14ac:dyDescent="0.25">
      <c r="A9" s="280" t="s">
        <v>1675</v>
      </c>
      <c r="B9" s="131"/>
      <c r="C9" s="280" t="s">
        <v>1684</v>
      </c>
    </row>
    <row r="10" spans="1:5" x14ac:dyDescent="0.25">
      <c r="A10" s="131"/>
      <c r="B10" s="131"/>
      <c r="C10" s="131"/>
    </row>
    <row r="11" spans="1:5" x14ac:dyDescent="0.25">
      <c r="A11" s="280"/>
      <c r="B11" s="131"/>
      <c r="C11" s="280"/>
    </row>
    <row r="12" spans="1:5" x14ac:dyDescent="0.25">
      <c r="A12" s="131"/>
      <c r="B12" s="131"/>
      <c r="C12" s="131"/>
    </row>
    <row r="13" spans="1:5" x14ac:dyDescent="0.25">
      <c r="A13" s="131"/>
      <c r="B13" s="131"/>
      <c r="C13" s="131"/>
    </row>
    <row r="14" spans="1:5" x14ac:dyDescent="0.25">
      <c r="A14" s="131"/>
      <c r="B14" s="131"/>
      <c r="C14" s="131"/>
    </row>
    <row r="15" spans="1:5" x14ac:dyDescent="0.25">
      <c r="A15" s="131"/>
      <c r="B15" s="131"/>
      <c r="C15" s="131"/>
    </row>
    <row r="17" spans="1:4" ht="13" x14ac:dyDescent="0.3">
      <c r="A17" s="88" t="s">
        <v>1685</v>
      </c>
      <c r="B17" s="89" t="s">
        <v>1686</v>
      </c>
      <c r="C17" s="89" t="s">
        <v>1687</v>
      </c>
      <c r="D17" s="90"/>
    </row>
    <row r="18" spans="1:4" x14ac:dyDescent="0.25">
      <c r="A18" s="91">
        <v>45467</v>
      </c>
      <c r="B18" s="92" t="str">
        <f t="shared" ref="B18:B29" si="0">IF(ISBLANK($A18),"---", VLOOKUP($B$2,$A$8:$C$15,3,0) &amp; "_" &amp; VLOOKUP($B$4,$A$32:$B$64,2,0)&amp;"_"&amp;VLOOKUP($B$5,$A$67:$B$91,2,0)&amp;"_"&amp; TEXT(DAY($A18),"0#")&amp; TEXT(MONTH($A18),"0#")&amp; TEXT(YEAR($A18)-2000,"0#")&amp;".xls")</f>
        <v>AER ETS2_COM_en_240624.xls</v>
      </c>
      <c r="C18" s="302" t="s">
        <v>1688</v>
      </c>
      <c r="D18" s="93"/>
    </row>
    <row r="19" spans="1:4" x14ac:dyDescent="0.25">
      <c r="A19" s="94">
        <v>45638</v>
      </c>
      <c r="B19" s="95" t="str">
        <f t="shared" si="0"/>
        <v>AER ETS2_COM_en_121224.xls</v>
      </c>
      <c r="C19" s="222" t="s">
        <v>1689</v>
      </c>
      <c r="D19" s="96"/>
    </row>
    <row r="20" spans="1:4" x14ac:dyDescent="0.25">
      <c r="A20" s="94"/>
      <c r="B20" s="95" t="str">
        <f t="shared" si="0"/>
        <v>---</v>
      </c>
      <c r="C20" s="222"/>
      <c r="D20" s="96"/>
    </row>
    <row r="21" spans="1:4" x14ac:dyDescent="0.25">
      <c r="A21" s="94"/>
      <c r="B21" s="95" t="str">
        <f>IF(ISBLANK($A21),"---", VLOOKUP($B$2,$A$8:$C$15,3,0) &amp; "_" &amp; VLOOKUP($B$4,$A$32:$B$64,2,0)&amp;"_"&amp;VLOOKUP($B$5,$A$67:$B$91,2,0)&amp;"_"&amp; TEXT(DAY($A21),"0#")&amp; TEXT(MONTH($A21),"0#")&amp; TEXT(YEAR($A21)-2000,"0#")&amp;".xls")</f>
        <v>---</v>
      </c>
      <c r="C21" s="222"/>
      <c r="D21" s="96"/>
    </row>
    <row r="22" spans="1:4" x14ac:dyDescent="0.25">
      <c r="A22" s="94"/>
      <c r="B22" s="95" t="str">
        <f t="shared" si="0"/>
        <v>---</v>
      </c>
      <c r="C22" s="222"/>
      <c r="D22" s="96"/>
    </row>
    <row r="23" spans="1:4" x14ac:dyDescent="0.25">
      <c r="A23" s="94"/>
      <c r="B23" s="95" t="str">
        <f t="shared" si="0"/>
        <v>---</v>
      </c>
      <c r="C23" s="95"/>
      <c r="D23" s="96"/>
    </row>
    <row r="24" spans="1:4" x14ac:dyDescent="0.25">
      <c r="A24" s="94"/>
      <c r="B24" s="95" t="str">
        <f t="shared" si="0"/>
        <v>---</v>
      </c>
      <c r="C24" s="95"/>
      <c r="D24" s="96"/>
    </row>
    <row r="25" spans="1:4" x14ac:dyDescent="0.25">
      <c r="A25" s="94"/>
      <c r="B25" s="95" t="str">
        <f t="shared" si="0"/>
        <v>---</v>
      </c>
      <c r="C25" s="222"/>
      <c r="D25" s="96"/>
    </row>
    <row r="26" spans="1:4" x14ac:dyDescent="0.25">
      <c r="A26" s="94"/>
      <c r="B26" s="95" t="str">
        <f t="shared" si="0"/>
        <v>---</v>
      </c>
      <c r="C26" s="95"/>
      <c r="D26" s="96"/>
    </row>
    <row r="27" spans="1:4" x14ac:dyDescent="0.25">
      <c r="A27" s="94"/>
      <c r="B27" s="95" t="str">
        <f t="shared" si="0"/>
        <v>---</v>
      </c>
      <c r="C27" s="222"/>
      <c r="D27" s="96"/>
    </row>
    <row r="28" spans="1:4" x14ac:dyDescent="0.25">
      <c r="A28" s="94"/>
      <c r="B28" s="95" t="str">
        <f t="shared" si="0"/>
        <v>---</v>
      </c>
      <c r="C28" s="95"/>
      <c r="D28" s="96"/>
    </row>
    <row r="29" spans="1:4" x14ac:dyDescent="0.25">
      <c r="A29" s="221"/>
      <c r="B29" s="97" t="str">
        <f t="shared" si="0"/>
        <v>---</v>
      </c>
      <c r="C29" s="97"/>
      <c r="D29" s="98"/>
    </row>
    <row r="31" spans="1:4" ht="13" x14ac:dyDescent="0.3">
      <c r="A31" s="36" t="s">
        <v>1677</v>
      </c>
    </row>
    <row r="32" spans="1:4" x14ac:dyDescent="0.25">
      <c r="A32" s="75" t="s">
        <v>1678</v>
      </c>
      <c r="B32" s="75" t="s">
        <v>1690</v>
      </c>
    </row>
    <row r="33" spans="1:2" x14ac:dyDescent="0.25">
      <c r="A33" s="75" t="s">
        <v>1691</v>
      </c>
      <c r="B33" s="75" t="s">
        <v>1692</v>
      </c>
    </row>
    <row r="34" spans="1:2" x14ac:dyDescent="0.25">
      <c r="A34" s="75" t="s">
        <v>345</v>
      </c>
      <c r="B34" s="75" t="s">
        <v>1581</v>
      </c>
    </row>
    <row r="35" spans="1:2" x14ac:dyDescent="0.25">
      <c r="A35" s="75" t="s">
        <v>347</v>
      </c>
      <c r="B35" s="75" t="s">
        <v>1582</v>
      </c>
    </row>
    <row r="36" spans="1:2" x14ac:dyDescent="0.25">
      <c r="A36" s="75" t="s">
        <v>348</v>
      </c>
      <c r="B36" s="75" t="s">
        <v>1583</v>
      </c>
    </row>
    <row r="37" spans="1:2" x14ac:dyDescent="0.25">
      <c r="A37" s="75" t="s">
        <v>350</v>
      </c>
      <c r="B37" s="75" t="s">
        <v>1584</v>
      </c>
    </row>
    <row r="38" spans="1:2" x14ac:dyDescent="0.25">
      <c r="A38" s="75" t="s">
        <v>352</v>
      </c>
      <c r="B38" s="75" t="s">
        <v>1585</v>
      </c>
    </row>
    <row r="39" spans="1:2" x14ac:dyDescent="0.25">
      <c r="A39" s="75" t="s">
        <v>1693</v>
      </c>
      <c r="B39" s="75" t="s">
        <v>1586</v>
      </c>
    </row>
    <row r="40" spans="1:2" x14ac:dyDescent="0.25">
      <c r="A40" s="75" t="s">
        <v>354</v>
      </c>
      <c r="B40" s="75" t="s">
        <v>1587</v>
      </c>
    </row>
    <row r="41" spans="1:2" x14ac:dyDescent="0.25">
      <c r="A41" s="75" t="s">
        <v>356</v>
      </c>
      <c r="B41" s="75" t="s">
        <v>1588</v>
      </c>
    </row>
    <row r="42" spans="1:2" x14ac:dyDescent="0.25">
      <c r="A42" s="75" t="s">
        <v>358</v>
      </c>
      <c r="B42" s="75" t="s">
        <v>1589</v>
      </c>
    </row>
    <row r="43" spans="1:2" x14ac:dyDescent="0.25">
      <c r="A43" s="75" t="s">
        <v>360</v>
      </c>
      <c r="B43" s="75" t="s">
        <v>1590</v>
      </c>
    </row>
    <row r="44" spans="1:2" x14ac:dyDescent="0.25">
      <c r="A44" s="75" t="s">
        <v>362</v>
      </c>
      <c r="B44" s="75" t="s">
        <v>1591</v>
      </c>
    </row>
    <row r="45" spans="1:2" x14ac:dyDescent="0.25">
      <c r="A45" s="75" t="s">
        <v>364</v>
      </c>
      <c r="B45" s="75" t="s">
        <v>1592</v>
      </c>
    </row>
    <row r="46" spans="1:2" x14ac:dyDescent="0.25">
      <c r="A46" s="75" t="s">
        <v>366</v>
      </c>
      <c r="B46" s="75" t="s">
        <v>1593</v>
      </c>
    </row>
    <row r="47" spans="1:2" x14ac:dyDescent="0.25">
      <c r="A47" s="75" t="s">
        <v>368</v>
      </c>
      <c r="B47" s="75" t="s">
        <v>1694</v>
      </c>
    </row>
    <row r="48" spans="1:2" x14ac:dyDescent="0.25">
      <c r="A48" s="75" t="s">
        <v>370</v>
      </c>
      <c r="B48" s="75" t="s">
        <v>1595</v>
      </c>
    </row>
    <row r="49" spans="1:2" x14ac:dyDescent="0.25">
      <c r="A49" s="75" t="s">
        <v>372</v>
      </c>
      <c r="B49" s="75" t="s">
        <v>1596</v>
      </c>
    </row>
    <row r="50" spans="1:2" x14ac:dyDescent="0.25">
      <c r="A50" s="75" t="s">
        <v>373</v>
      </c>
      <c r="B50" s="75" t="s">
        <v>1597</v>
      </c>
    </row>
    <row r="51" spans="1:2" x14ac:dyDescent="0.25">
      <c r="A51" s="75" t="s">
        <v>374</v>
      </c>
      <c r="B51" s="75" t="s">
        <v>1598</v>
      </c>
    </row>
    <row r="52" spans="1:2" x14ac:dyDescent="0.25">
      <c r="A52" s="75" t="s">
        <v>376</v>
      </c>
      <c r="B52" s="75" t="s">
        <v>1599</v>
      </c>
    </row>
    <row r="53" spans="1:2" x14ac:dyDescent="0.25">
      <c r="A53" s="75" t="s">
        <v>378</v>
      </c>
      <c r="B53" s="75" t="s">
        <v>1600</v>
      </c>
    </row>
    <row r="54" spans="1:2" x14ac:dyDescent="0.25">
      <c r="A54" s="75" t="s">
        <v>379</v>
      </c>
      <c r="B54" s="75" t="s">
        <v>1601</v>
      </c>
    </row>
    <row r="55" spans="1:2" x14ac:dyDescent="0.25">
      <c r="A55" s="75" t="s">
        <v>381</v>
      </c>
      <c r="B55" s="75" t="s">
        <v>1602</v>
      </c>
    </row>
    <row r="56" spans="1:2" x14ac:dyDescent="0.25">
      <c r="A56" s="75" t="s">
        <v>383</v>
      </c>
      <c r="B56" s="75" t="s">
        <v>1603</v>
      </c>
    </row>
    <row r="57" spans="1:2" x14ac:dyDescent="0.25">
      <c r="A57" s="75" t="s">
        <v>385</v>
      </c>
      <c r="B57" s="75" t="s">
        <v>1604</v>
      </c>
    </row>
    <row r="58" spans="1:2" x14ac:dyDescent="0.25">
      <c r="A58" s="75" t="s">
        <v>387</v>
      </c>
      <c r="B58" s="75" t="s">
        <v>1605</v>
      </c>
    </row>
    <row r="59" spans="1:2" x14ac:dyDescent="0.25">
      <c r="A59" s="75" t="s">
        <v>388</v>
      </c>
      <c r="B59" s="75" t="s">
        <v>1606</v>
      </c>
    </row>
    <row r="60" spans="1:2" x14ac:dyDescent="0.25">
      <c r="A60" s="75" t="s">
        <v>389</v>
      </c>
      <c r="B60" s="75" t="s">
        <v>1607</v>
      </c>
    </row>
    <row r="61" spans="1:2" x14ac:dyDescent="0.25">
      <c r="A61" s="75" t="s">
        <v>390</v>
      </c>
      <c r="B61" s="75" t="s">
        <v>1608</v>
      </c>
    </row>
    <row r="62" spans="1:2" x14ac:dyDescent="0.25">
      <c r="A62" s="75" t="s">
        <v>392</v>
      </c>
      <c r="B62" s="75" t="s">
        <v>1609</v>
      </c>
    </row>
    <row r="63" spans="1:2" x14ac:dyDescent="0.25">
      <c r="A63" s="75" t="s">
        <v>394</v>
      </c>
      <c r="B63" s="75" t="s">
        <v>1610</v>
      </c>
    </row>
    <row r="64" spans="1:2" x14ac:dyDescent="0.25">
      <c r="A64" s="75" t="s">
        <v>1695</v>
      </c>
      <c r="B64" s="75" t="s">
        <v>1696</v>
      </c>
    </row>
    <row r="66" spans="1:2" ht="13" x14ac:dyDescent="0.3">
      <c r="A66" s="36" t="s">
        <v>1697</v>
      </c>
    </row>
    <row r="67" spans="1:2" x14ac:dyDescent="0.25">
      <c r="A67" s="76" t="s">
        <v>1698</v>
      </c>
      <c r="B67" s="76" t="s">
        <v>1699</v>
      </c>
    </row>
    <row r="68" spans="1:2" x14ac:dyDescent="0.25">
      <c r="A68" s="76" t="s">
        <v>1700</v>
      </c>
      <c r="B68" s="76" t="s">
        <v>1701</v>
      </c>
    </row>
    <row r="69" spans="1:2" x14ac:dyDescent="0.25">
      <c r="A69" s="76" t="s">
        <v>1702</v>
      </c>
      <c r="B69" s="76" t="s">
        <v>1703</v>
      </c>
    </row>
    <row r="70" spans="1:2" x14ac:dyDescent="0.25">
      <c r="A70" s="76" t="s">
        <v>1704</v>
      </c>
      <c r="B70" s="76" t="s">
        <v>1705</v>
      </c>
    </row>
    <row r="71" spans="1:2" x14ac:dyDescent="0.25">
      <c r="A71" s="76" t="s">
        <v>1706</v>
      </c>
      <c r="B71" s="76" t="s">
        <v>1707</v>
      </c>
    </row>
    <row r="72" spans="1:2" x14ac:dyDescent="0.25">
      <c r="A72" s="76" t="s">
        <v>1708</v>
      </c>
      <c r="B72" s="76" t="s">
        <v>1709</v>
      </c>
    </row>
    <row r="73" spans="1:2" x14ac:dyDescent="0.25">
      <c r="A73" s="76" t="s">
        <v>1710</v>
      </c>
      <c r="B73" s="76" t="s">
        <v>1711</v>
      </c>
    </row>
    <row r="74" spans="1:2" x14ac:dyDescent="0.25">
      <c r="A74" s="76" t="s">
        <v>1712</v>
      </c>
      <c r="B74" s="76" t="s">
        <v>1713</v>
      </c>
    </row>
    <row r="75" spans="1:2" x14ac:dyDescent="0.25">
      <c r="A75" s="76" t="s">
        <v>1680</v>
      </c>
      <c r="B75" s="76" t="s">
        <v>1714</v>
      </c>
    </row>
    <row r="76" spans="1:2" x14ac:dyDescent="0.25">
      <c r="A76" s="76" t="s">
        <v>1715</v>
      </c>
      <c r="B76" s="76" t="s">
        <v>1716</v>
      </c>
    </row>
    <row r="77" spans="1:2" x14ac:dyDescent="0.25">
      <c r="A77" s="76" t="s">
        <v>1717</v>
      </c>
      <c r="B77" s="76" t="s">
        <v>1718</v>
      </c>
    </row>
    <row r="78" spans="1:2" x14ac:dyDescent="0.25">
      <c r="A78" s="76" t="s">
        <v>1719</v>
      </c>
      <c r="B78" s="76" t="s">
        <v>1720</v>
      </c>
    </row>
    <row r="79" spans="1:2" x14ac:dyDescent="0.25">
      <c r="A79" s="76" t="s">
        <v>1721</v>
      </c>
      <c r="B79" s="76" t="s">
        <v>1722</v>
      </c>
    </row>
    <row r="80" spans="1:2" x14ac:dyDescent="0.25">
      <c r="A80" s="76" t="s">
        <v>1723</v>
      </c>
      <c r="B80" s="76" t="s">
        <v>1724</v>
      </c>
    </row>
    <row r="81" spans="1:2" x14ac:dyDescent="0.25">
      <c r="A81" s="76" t="s">
        <v>1725</v>
      </c>
      <c r="B81" s="76" t="s">
        <v>1726</v>
      </c>
    </row>
    <row r="82" spans="1:2" x14ac:dyDescent="0.25">
      <c r="A82" s="76" t="s">
        <v>1727</v>
      </c>
      <c r="B82" s="76" t="s">
        <v>1728</v>
      </c>
    </row>
    <row r="83" spans="1:2" x14ac:dyDescent="0.25">
      <c r="A83" s="76" t="s">
        <v>1729</v>
      </c>
      <c r="B83" s="76" t="s">
        <v>1730</v>
      </c>
    </row>
    <row r="84" spans="1:2" x14ac:dyDescent="0.25">
      <c r="A84" s="76" t="s">
        <v>1731</v>
      </c>
      <c r="B84" s="76" t="s">
        <v>1732</v>
      </c>
    </row>
    <row r="85" spans="1:2" x14ac:dyDescent="0.25">
      <c r="A85" s="76" t="s">
        <v>1733</v>
      </c>
      <c r="B85" s="76" t="s">
        <v>1734</v>
      </c>
    </row>
    <row r="86" spans="1:2" x14ac:dyDescent="0.25">
      <c r="A86" s="76" t="s">
        <v>1735</v>
      </c>
      <c r="B86" s="76" t="s">
        <v>1736</v>
      </c>
    </row>
    <row r="87" spans="1:2" x14ac:dyDescent="0.25">
      <c r="A87" s="76" t="s">
        <v>1737</v>
      </c>
      <c r="B87" s="76" t="s">
        <v>1738</v>
      </c>
    </row>
    <row r="88" spans="1:2" x14ac:dyDescent="0.25">
      <c r="A88" s="76" t="s">
        <v>1739</v>
      </c>
      <c r="B88" s="76" t="s">
        <v>1740</v>
      </c>
    </row>
    <row r="89" spans="1:2" x14ac:dyDescent="0.25">
      <c r="A89" s="76" t="s">
        <v>1741</v>
      </c>
      <c r="B89" s="76" t="s">
        <v>1742</v>
      </c>
    </row>
    <row r="90" spans="1:2" x14ac:dyDescent="0.25">
      <c r="A90" s="76" t="s">
        <v>1743</v>
      </c>
      <c r="B90" s="76" t="s">
        <v>1744</v>
      </c>
    </row>
    <row r="91" spans="1:2" x14ac:dyDescent="0.25">
      <c r="A91" s="76" t="s">
        <v>1745</v>
      </c>
      <c r="B91" s="76" t="s">
        <v>1746</v>
      </c>
    </row>
  </sheetData>
  <sheetProtection sheet="1" objects="1" scenarios="1" formatCells="0" formatColumns="0" formatRows="0"/>
  <phoneticPr fontId="45" type="noConversion"/>
  <dataValidations count="4">
    <dataValidation type="list" allowBlank="1" showInputMessage="1" showErrorMessage="1" sqref="B3" xr:uid="{00000000-0002-0000-0E00-000000000000}">
      <formula1>$A$18:$A$29</formula1>
    </dataValidation>
    <dataValidation type="list" allowBlank="1" showInputMessage="1" showErrorMessage="1" sqref="B5" xr:uid="{00000000-0002-0000-0E00-000001000000}">
      <formula1>$A$67:$A$91</formula1>
    </dataValidation>
    <dataValidation type="list" allowBlank="1" showInputMessage="1" showErrorMessage="1" sqref="B4" xr:uid="{00000000-0002-0000-0E00-000002000000}">
      <formula1>$A$32:$A$64</formula1>
    </dataValidation>
    <dataValidation type="list" allowBlank="1" showInputMessage="1" showErrorMessage="1" sqref="B2" xr:uid="{00000000-0002-0000-0E00-000003000000}">
      <formula1>$A$8:$A$15</formula1>
    </dataValidation>
  </dataValidations>
  <pageMargins left="0.78740157480314965" right="0.78740157480314965" top="0.98425196850393704" bottom="0.98425196850393704" header="0.51181102362204722" footer="0.51181102362204722"/>
  <pageSetup paperSize="9" scale="64"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9"/>
    <pageSetUpPr fitToPage="1"/>
  </sheetPr>
  <dimension ref="A1:V108"/>
  <sheetViews>
    <sheetView topLeftCell="B1" zoomScaleNormal="100" workbookViewId="0">
      <pane ySplit="4" topLeftCell="A5" activePane="bottomLeft" state="frozen"/>
      <selection pane="bottomLeft" activeCell="D6" sqref="D6:L6"/>
    </sheetView>
  </sheetViews>
  <sheetFormatPr defaultColWidth="9.1796875" defaultRowHeight="12.5" x14ac:dyDescent="0.25"/>
  <cols>
    <col min="1" max="1" width="3.7265625" style="259" hidden="1" customWidth="1"/>
    <col min="2" max="2" width="2.7265625" style="7" customWidth="1"/>
    <col min="3" max="3" width="4.7265625" style="7" customWidth="1"/>
    <col min="4" max="4" width="7.81640625" style="7" customWidth="1"/>
    <col min="5" max="14" width="12.7265625" style="7" customWidth="1"/>
    <col min="15" max="15" width="2.7265625" style="291" customWidth="1"/>
    <col min="16" max="16" width="11.453125" style="7" customWidth="1"/>
    <col min="17" max="22" width="11.453125" style="259" hidden="1" customWidth="1"/>
    <col min="23" max="16384" width="9.1796875" style="7"/>
  </cols>
  <sheetData>
    <row r="1" spans="1:22" s="259" customFormat="1" ht="13" hidden="1" thickBot="1" x14ac:dyDescent="0.3">
      <c r="A1" s="232" t="s">
        <v>0</v>
      </c>
      <c r="O1" s="289"/>
      <c r="Q1" s="232" t="s">
        <v>0</v>
      </c>
      <c r="R1" s="232" t="s">
        <v>0</v>
      </c>
      <c r="S1" s="232" t="s">
        <v>0</v>
      </c>
      <c r="T1" s="232" t="s">
        <v>0</v>
      </c>
      <c r="U1" s="232" t="s">
        <v>0</v>
      </c>
      <c r="V1" s="232" t="s">
        <v>0</v>
      </c>
    </row>
    <row r="2" spans="1:22" s="4" customFormat="1" ht="13.5" customHeight="1" thickBot="1" x14ac:dyDescent="0.35">
      <c r="A2" s="254"/>
      <c r="B2" s="941" t="str">
        <f>Translations!$B$12</f>
        <v>b.
Ohjeet ja ehdot</v>
      </c>
      <c r="C2" s="942"/>
      <c r="D2" s="943"/>
      <c r="E2" s="940" t="str">
        <f>Translations!$B$13</f>
        <v>Navigointialue:</v>
      </c>
      <c r="F2" s="874"/>
      <c r="G2" s="938" t="str">
        <f>Translations!$B$14</f>
        <v>Sisällysluettelo</v>
      </c>
      <c r="H2" s="939"/>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O2" s="290"/>
      <c r="Q2" s="245" t="s">
        <v>1</v>
      </c>
      <c r="R2" s="246" t="str">
        <f>ADDRESS(ROW($B$6),COLUMN($B$6)) &amp; ":" &amp; ADDRESS(MATCH("PRINT",$P:$P,0),COLUMN($P$6))</f>
        <v>$B$6:$P$108</v>
      </c>
      <c r="S2" s="245" t="s">
        <v>2</v>
      </c>
      <c r="T2" s="247" t="str">
        <f ca="1">IF(ISERROR(CELL("filename",U2)),"b_Guidelines and conditions",MID(CELL("filename",U2),FIND("]",CELL("filename",U2))+1,1024))</f>
        <v>Ohjeet ja ehdot</v>
      </c>
      <c r="U2" s="254"/>
      <c r="V2" s="254"/>
    </row>
    <row r="3" spans="1:22" s="4" customFormat="1" ht="12.75" customHeight="1" x14ac:dyDescent="0.25">
      <c r="A3" s="254"/>
      <c r="B3" s="944"/>
      <c r="C3" s="945"/>
      <c r="D3" s="946"/>
      <c r="E3" s="950"/>
      <c r="F3" s="858"/>
      <c r="G3" s="858"/>
      <c r="H3" s="858"/>
      <c r="I3" s="858"/>
      <c r="J3" s="858"/>
      <c r="K3" s="858"/>
      <c r="L3" s="858"/>
      <c r="M3" s="854" t="str">
        <f>IFERROR(HYPERLINK("#"&amp;ADDRESS(ROW($B$2)+MATCH(V3,$B:$B,0)-1,3),INDEX($R:$R,MATCH(V3,$B:$B,0))),"")</f>
        <v/>
      </c>
      <c r="N3" s="854"/>
      <c r="O3" s="290"/>
      <c r="Q3" s="254"/>
      <c r="R3" s="254"/>
      <c r="S3" s="254"/>
      <c r="T3" s="254"/>
      <c r="U3" s="254"/>
      <c r="V3" s="254"/>
    </row>
    <row r="4" spans="1:22" s="4" customFormat="1" ht="13.5" customHeight="1" thickBot="1" x14ac:dyDescent="0.3">
      <c r="A4" s="254"/>
      <c r="B4" s="947"/>
      <c r="C4" s="948"/>
      <c r="D4" s="949"/>
      <c r="E4" s="950"/>
      <c r="F4" s="858"/>
      <c r="G4" s="858"/>
      <c r="H4" s="858"/>
      <c r="I4" s="858"/>
      <c r="J4" s="858"/>
      <c r="K4" s="858"/>
      <c r="L4" s="858"/>
      <c r="M4" s="854" t="str">
        <f>IFERROR(HYPERLINK("#"&amp;ADDRESS(ROW($B$2)+MATCH(V4,$B:$B,0)-1,3),INDEX($R:$R,MATCH(V4,$B:$B,0))),"")</f>
        <v/>
      </c>
      <c r="N4" s="854"/>
      <c r="O4" s="290"/>
      <c r="Q4" s="254"/>
      <c r="R4" s="254"/>
      <c r="S4" s="254"/>
      <c r="T4" s="254"/>
      <c r="U4" s="254"/>
      <c r="V4" s="254"/>
    </row>
    <row r="6" spans="1:22" ht="18" x14ac:dyDescent="0.25">
      <c r="D6" s="935" t="str">
        <f>Translations!$B$17</f>
        <v xml:space="preserve">Lomakepohjaa koskevat komission ohjeet ja ehdot </v>
      </c>
      <c r="E6" s="935"/>
      <c r="F6" s="935"/>
      <c r="G6" s="935"/>
      <c r="H6" s="935"/>
      <c r="I6" s="935"/>
      <c r="J6" s="935"/>
      <c r="K6" s="935"/>
      <c r="L6" s="935"/>
    </row>
    <row r="7" spans="1:22" x14ac:dyDescent="0.25">
      <c r="D7" s="909"/>
      <c r="E7" s="909"/>
      <c r="F7" s="909"/>
      <c r="G7" s="909"/>
      <c r="H7" s="909"/>
      <c r="I7" s="909"/>
      <c r="J7" s="909"/>
      <c r="K7" s="909"/>
      <c r="L7" s="909"/>
      <c r="M7" s="909"/>
      <c r="N7" s="909"/>
    </row>
    <row r="8" spans="1:22" ht="42" customHeight="1" x14ac:dyDescent="0.25">
      <c r="C8" s="124">
        <v>1</v>
      </c>
      <c r="D8" s="895" t="str">
        <f>Translations!$B$271</f>
        <v>Direktiivillä 2003/87/EY ("päästökauppadirektiivi"), otetaan käyttöön erillinen päästökauppajärjestelmä rakennuksia, tieliikennettä ja muita aloja varten ("ETS2-järjestelmä") ja edellytetään, että säännellyillä yhteisöillä on asianomaisen toimivaltaisen viranomaisen myöntämä voimassa oleva kasvihuonekaasujen päästölupa ja että ne seuraavat päästöjään ja raportoivat niistä sekä antavat riippumattoman ja akkreditoidun todentajan todentaa raportit.</v>
      </c>
      <c r="E8" s="895"/>
      <c r="F8" s="895"/>
      <c r="G8" s="895"/>
      <c r="H8" s="895"/>
      <c r="I8" s="895"/>
      <c r="J8" s="895"/>
      <c r="K8" s="895"/>
      <c r="L8" s="895"/>
      <c r="M8" s="895"/>
      <c r="N8" s="895"/>
    </row>
    <row r="9" spans="1:22" ht="12.75" customHeight="1" x14ac:dyDescent="0.25">
      <c r="C9" s="124"/>
      <c r="D9" s="895" t="str">
        <f>Translations!$B$18</f>
        <v>Päästökauppadirektiivi on ladattavissa osoitteesta:</v>
      </c>
      <c r="E9" s="895"/>
      <c r="F9" s="895"/>
      <c r="G9" s="895"/>
      <c r="H9" s="895"/>
      <c r="I9" s="895"/>
      <c r="J9" s="895"/>
      <c r="K9" s="895"/>
      <c r="L9" s="895"/>
      <c r="M9" s="895"/>
      <c r="N9" s="895"/>
    </row>
    <row r="10" spans="1:22" ht="13" x14ac:dyDescent="0.25">
      <c r="C10" s="125"/>
      <c r="D10" s="930" t="s">
        <v>3</v>
      </c>
      <c r="E10" s="931"/>
      <c r="F10" s="931"/>
      <c r="G10" s="931"/>
      <c r="H10" s="931"/>
      <c r="I10" s="931"/>
      <c r="J10" s="931"/>
      <c r="K10" s="931"/>
      <c r="L10" s="931"/>
      <c r="M10" s="931"/>
      <c r="N10" s="937"/>
    </row>
    <row r="11" spans="1:22" ht="5.15" customHeight="1" x14ac:dyDescent="0.25">
      <c r="C11" s="125"/>
      <c r="D11" s="180"/>
      <c r="E11" s="180"/>
      <c r="F11" s="180"/>
      <c r="G11" s="180"/>
      <c r="H11" s="180"/>
      <c r="I11" s="180"/>
      <c r="J11" s="180"/>
      <c r="K11" s="180"/>
      <c r="L11" s="180"/>
      <c r="M11" s="180"/>
      <c r="N11" s="220"/>
    </row>
    <row r="12" spans="1:22" ht="26.25" customHeight="1" x14ac:dyDescent="0.25">
      <c r="C12" s="124">
        <v>2</v>
      </c>
      <c r="D12" s="895" t="str">
        <f>Translations!$B$144</f>
        <v>Tarkkailu- ja raportointiasetuksessa [komission asetus (EU) N:o 2018/2066, sellaisena kuin se on muutettuna, jäljempänä 'tarkkailuasetus'] määritellään tarkkailua ja raportointia koskevat lisävaatimukset. Tarkkailuasetus voidaan ladata osoitteesta:</v>
      </c>
      <c r="E12" s="895"/>
      <c r="F12" s="895"/>
      <c r="G12" s="895"/>
      <c r="H12" s="895"/>
      <c r="I12" s="895"/>
      <c r="J12" s="895"/>
      <c r="K12" s="895"/>
      <c r="L12" s="895"/>
      <c r="M12" s="895"/>
      <c r="N12" s="895"/>
    </row>
    <row r="13" spans="1:22" ht="12.75" customHeight="1" x14ac:dyDescent="0.25">
      <c r="C13" s="124"/>
      <c r="D13" s="936" t="s">
        <v>4</v>
      </c>
      <c r="E13" s="936"/>
      <c r="F13" s="936"/>
      <c r="G13" s="936"/>
      <c r="H13" s="936"/>
      <c r="I13" s="936"/>
      <c r="J13" s="936"/>
      <c r="K13" s="936"/>
      <c r="L13" s="936"/>
      <c r="M13" s="936"/>
      <c r="N13" s="936"/>
    </row>
    <row r="14" spans="1:22" ht="12.75" customHeight="1" x14ac:dyDescent="0.25">
      <c r="C14" s="124"/>
      <c r="D14" s="895" t="str">
        <f>Translations!$B$272</f>
        <v>Tarkkailuasetuksen 75 p artiklassa esitetään vuotuisen päästöselvityksen sisältöä ja toimittamista koskevat erityisvaatimukset.</v>
      </c>
      <c r="E14" s="895"/>
      <c r="F14" s="895"/>
      <c r="G14" s="895"/>
      <c r="H14" s="895"/>
      <c r="I14" s="895"/>
      <c r="J14" s="895"/>
      <c r="K14" s="895"/>
      <c r="L14" s="895"/>
      <c r="M14" s="895"/>
      <c r="N14" s="895"/>
    </row>
    <row r="15" spans="1:22" ht="25.5" customHeight="1" x14ac:dyDescent="0.25">
      <c r="C15" s="124"/>
      <c r="D15" s="929" t="str">
        <f>Translations!$B$273</f>
        <v>Tarkkailuasetuksen 75 p artiklan 2 kohdan mukaan: ”Edellä 1 kohdassa tarkoitettujen vuotuisten päästöselvitysten on sisällettävä vähintään liitteessä X luetellut tiedot.”</v>
      </c>
      <c r="E15" s="929"/>
      <c r="F15" s="929"/>
      <c r="G15" s="929"/>
      <c r="H15" s="929"/>
      <c r="I15" s="929"/>
      <c r="J15" s="929"/>
      <c r="K15" s="929"/>
      <c r="L15" s="929"/>
      <c r="M15" s="929"/>
      <c r="N15" s="929"/>
    </row>
    <row r="16" spans="1:22" ht="13" x14ac:dyDescent="0.25">
      <c r="C16" s="124"/>
      <c r="D16" s="895" t="str">
        <f>Translations!$B$274</f>
        <v>Tarkkailuasetuksen 74 artiklan 1 kohdassa ja 75 artiklan u alakohdassa todetaan seuraavaa:</v>
      </c>
      <c r="E16" s="895"/>
      <c r="F16" s="895"/>
      <c r="G16" s="895"/>
      <c r="H16" s="895"/>
      <c r="I16" s="895"/>
      <c r="J16" s="895"/>
      <c r="K16" s="895"/>
      <c r="L16" s="895"/>
      <c r="M16" s="895"/>
      <c r="N16" s="895"/>
    </row>
    <row r="17" spans="2:14" ht="55.5" customHeight="1" x14ac:dyDescent="0.25">
      <c r="C17" s="124"/>
      <c r="D17" s="929" t="str">
        <f>Translations!$B$172</f>
        <v>Jäsenvaltiot voivat vaatia [säänneltyä yhteisöä] toimittamaan tarkkailusuunnitelmat ja niihin tehdyt muutokset sekä vuotuiset päästöselvitykset, [– –] todentamisraportit ja parannusraportit käyttäen sähköisiä asiakirjamalleja tai erityisiä tiedostomuotoja. 
Jäsenvaltioiden laatimien asiakirjamallien ja tiedostomuotojen on sisällettävä vähintään ne tiedot, jotka sisältyvät komission julkaisemiin sähköisiin asiakirjamalleihin ja tiedostomuotoeritelmiin.</v>
      </c>
      <c r="E17" s="929"/>
      <c r="F17" s="929"/>
      <c r="G17" s="929"/>
      <c r="H17" s="929"/>
      <c r="I17" s="929"/>
      <c r="J17" s="929"/>
      <c r="K17" s="929"/>
      <c r="L17" s="929"/>
      <c r="M17" s="929"/>
      <c r="N17" s="929"/>
    </row>
    <row r="18" spans="2:14" ht="42" customHeight="1" x14ac:dyDescent="0.25">
      <c r="C18" s="124">
        <v>3</v>
      </c>
      <c r="D18" s="895" t="str">
        <f>Translations!$B$275</f>
        <v xml:space="preserve">Tämä lomakepohja on komission laatima ja se sisältää tarkkailuasetuksen liitteessä X määritellyt vaatimukset sekä lisävaatimukset, joiden avulla säännelty yhteisö voi osoittaa, että tarkkailuasetusta noudatetaan. Jäsenvaltion toimivaltainen viranomainen on voinut muuttaa sitä tietyin jäljempänä kuvatuin edellytyksin. </v>
      </c>
      <c r="E18" s="895"/>
      <c r="F18" s="895"/>
      <c r="G18" s="895"/>
      <c r="H18" s="895"/>
      <c r="I18" s="895"/>
      <c r="J18" s="895"/>
      <c r="K18" s="895"/>
      <c r="L18" s="895"/>
      <c r="M18" s="895"/>
      <c r="N18" s="895"/>
    </row>
    <row r="19" spans="2:14" ht="16" customHeight="1" x14ac:dyDescent="0.25">
      <c r="C19" s="124"/>
      <c r="D19" s="895" t="str">
        <f>Translations!$B$276</f>
        <v xml:space="preserve">Tämä lomakepohja edustaa komission näkemystä lomakkeen julkaisuhetkellä. </v>
      </c>
      <c r="E19" s="895"/>
      <c r="F19" s="895"/>
      <c r="G19" s="895"/>
      <c r="H19" s="895"/>
      <c r="I19" s="895"/>
      <c r="J19" s="895"/>
      <c r="K19" s="895"/>
      <c r="L19" s="895"/>
      <c r="M19" s="895"/>
      <c r="N19" s="895"/>
    </row>
    <row r="20" spans="2:14" ht="65" customHeight="1" x14ac:dyDescent="0.25">
      <c r="B20" s="615"/>
      <c r="C20" s="124"/>
      <c r="D20" s="933" t="str">
        <f>Translations!$B$277</f>
        <v xml:space="preserve">Tämä on Energiaviraston laatima käännös komission julkaisemasta päästöselvityslomakkeesta. Versio valmistunut 24.3.2025.
Energiavirasto on piilottanut lomakkeesta välilehtiä sekä joillain välilehdillä rivejä ja/tai sarakkeita. Näillä pyydettyjä tietoja ei edellytetä vuotta 2024 koskevalla raportoinnilla. </v>
      </c>
      <c r="E20" s="933"/>
      <c r="F20" s="933"/>
      <c r="G20" s="933"/>
      <c r="H20" s="933"/>
      <c r="I20" s="933"/>
      <c r="J20" s="933"/>
      <c r="K20" s="933"/>
      <c r="L20" s="933"/>
      <c r="M20" s="933"/>
      <c r="N20" s="934"/>
    </row>
    <row r="21" spans="2:14" ht="4" customHeight="1" x14ac:dyDescent="0.25">
      <c r="C21" s="124"/>
      <c r="D21" s="895"/>
      <c r="E21" s="895"/>
      <c r="F21" s="895"/>
      <c r="G21" s="895"/>
      <c r="H21" s="895"/>
      <c r="I21" s="895"/>
      <c r="J21" s="895"/>
      <c r="K21" s="895"/>
      <c r="L21" s="895"/>
      <c r="M21" s="895"/>
      <c r="N21" s="895"/>
    </row>
    <row r="22" spans="2:14" ht="1.5" customHeight="1" x14ac:dyDescent="0.25">
      <c r="C22" s="124"/>
      <c r="D22" s="928"/>
      <c r="E22" s="928"/>
      <c r="F22" s="928"/>
      <c r="G22" s="928"/>
      <c r="H22" s="928"/>
      <c r="I22" s="928"/>
      <c r="J22" s="928"/>
      <c r="K22" s="928"/>
      <c r="L22" s="928"/>
      <c r="M22" s="928"/>
      <c r="N22" s="928"/>
    </row>
    <row r="23" spans="2:14" ht="0.65" customHeight="1" x14ac:dyDescent="0.25">
      <c r="C23" s="124"/>
      <c r="D23" s="614"/>
      <c r="E23" s="928"/>
      <c r="F23" s="928"/>
      <c r="G23" s="928"/>
      <c r="H23" s="928"/>
      <c r="I23" s="928"/>
      <c r="J23" s="928"/>
      <c r="K23" s="928"/>
      <c r="L23" s="928"/>
      <c r="M23" s="928"/>
      <c r="N23" s="928"/>
    </row>
    <row r="24" spans="2:14" ht="4.5" customHeight="1" x14ac:dyDescent="0.25">
      <c r="C24" s="124"/>
      <c r="D24" s="614"/>
      <c r="E24" s="928"/>
      <c r="F24" s="928"/>
      <c r="G24" s="928"/>
      <c r="H24" s="928"/>
      <c r="I24" s="928"/>
      <c r="J24" s="928"/>
      <c r="K24" s="928"/>
      <c r="L24" s="928"/>
      <c r="M24" s="928"/>
      <c r="N24" s="928"/>
    </row>
    <row r="25" spans="2:14" ht="4.9000000000000004" customHeight="1" x14ac:dyDescent="0.25">
      <c r="C25" s="124"/>
      <c r="D25" s="126"/>
      <c r="E25" s="126"/>
      <c r="F25" s="126"/>
      <c r="G25" s="126"/>
      <c r="H25" s="126"/>
      <c r="I25" s="126"/>
      <c r="J25" s="126"/>
      <c r="K25" s="126"/>
      <c r="L25" s="126"/>
      <c r="M25" s="126"/>
      <c r="N25" s="126"/>
    </row>
    <row r="26" spans="2:14" ht="12.75" customHeight="1" x14ac:dyDescent="0.25">
      <c r="C26" s="124">
        <v>4</v>
      </c>
      <c r="D26" s="895" t="str">
        <f>Translations!$B$19</f>
        <v>Kaikki tarkkailu- ja raportointiasetusta koskevat komission ohjeasiakirjat ovat saatavilla osoitteessa</v>
      </c>
      <c r="E26" s="895"/>
      <c r="F26" s="895"/>
      <c r="G26" s="895"/>
      <c r="H26" s="895"/>
      <c r="I26" s="895"/>
      <c r="J26" s="895"/>
      <c r="K26" s="895"/>
      <c r="L26" s="895"/>
      <c r="M26" s="895"/>
      <c r="N26" s="895"/>
    </row>
    <row r="27" spans="2:14" ht="12.75" customHeight="1" x14ac:dyDescent="0.25">
      <c r="B27" s="398"/>
      <c r="C27" s="124"/>
      <c r="D27" s="930" t="str">
        <f>Translations!$B$173</f>
        <v>https://climate.ec.europa.eu/eu-action/eu-emissions-trading-system-eu-ets/ets2-buildings-road-transport-and-additional-sectors_en</v>
      </c>
      <c r="E27" s="931"/>
      <c r="F27" s="931"/>
      <c r="G27" s="931"/>
      <c r="H27" s="931"/>
      <c r="I27" s="931"/>
      <c r="J27" s="931"/>
      <c r="K27" s="931"/>
      <c r="L27" s="931"/>
      <c r="M27" s="931"/>
      <c r="N27" s="932"/>
    </row>
    <row r="28" spans="2:14" ht="26.5" customHeight="1" x14ac:dyDescent="0.25">
      <c r="C28" s="124"/>
      <c r="D28" s="895" t="str">
        <f>Translations!$B$281</f>
        <v>On suositeltavaa lukea "Yleiset tarkkailuasetusta koskevat ohjeet säännellyille yhteisöille".
https://climate.ec.europa.eu/document/download/b5ccad58-6909-4a32-8a72-c73ab8d2a165_en?filename=policy_ets_ets2_gd_regulated_entities_en.pdf</v>
      </c>
      <c r="E28" s="895"/>
      <c r="F28" s="895"/>
      <c r="G28" s="895"/>
      <c r="H28" s="895"/>
      <c r="I28" s="895"/>
      <c r="J28" s="895"/>
      <c r="K28" s="895"/>
      <c r="L28" s="895"/>
      <c r="M28" s="895"/>
      <c r="N28" s="895"/>
    </row>
    <row r="29" spans="2:14" ht="13" x14ac:dyDescent="0.25">
      <c r="C29" s="124"/>
      <c r="D29" s="127"/>
      <c r="E29" s="127"/>
      <c r="F29" s="127"/>
      <c r="G29" s="127"/>
      <c r="H29" s="127"/>
      <c r="I29" s="127"/>
      <c r="J29" s="127"/>
      <c r="K29" s="127"/>
      <c r="L29" s="127"/>
      <c r="M29" s="127"/>
      <c r="N29" s="127"/>
    </row>
    <row r="30" spans="2:14" ht="13" x14ac:dyDescent="0.25">
      <c r="C30" s="124">
        <v>5</v>
      </c>
      <c r="D30" s="914" t="str">
        <f>Translations!$B$20</f>
        <v>Ennen kuin käytät tätä tiedostoa, toimi seuraavasti:</v>
      </c>
      <c r="E30" s="914"/>
      <c r="F30" s="914"/>
      <c r="G30" s="914"/>
      <c r="H30" s="914"/>
      <c r="I30" s="914"/>
      <c r="J30" s="914"/>
      <c r="K30" s="914"/>
      <c r="L30" s="914"/>
      <c r="M30" s="914"/>
      <c r="N30" s="914"/>
    </row>
    <row r="31" spans="2:14" ht="13" x14ac:dyDescent="0.25">
      <c r="C31" s="124"/>
      <c r="D31" s="128" t="s">
        <v>5</v>
      </c>
      <c r="E31" s="911" t="str">
        <f>Translations!$B$21</f>
        <v>Lue huolellisesti alla olevat ohjeet tämän lomakkeen täyttämisestä.</v>
      </c>
      <c r="F31" s="911"/>
      <c r="G31" s="911"/>
      <c r="H31" s="911"/>
      <c r="I31" s="911"/>
      <c r="J31" s="911"/>
      <c r="K31" s="911"/>
      <c r="L31" s="911"/>
      <c r="M31" s="911"/>
      <c r="N31" s="911"/>
    </row>
    <row r="32" spans="2:14" ht="29.25" customHeight="1" x14ac:dyDescent="0.25">
      <c r="C32" s="124"/>
      <c r="D32" s="128" t="s">
        <v>6</v>
      </c>
      <c r="E32" s="895" t="str">
        <f>Translations!$B$174</f>
        <v>Määritä kyseisen jäsenvaltion toimivaltainen viranomainen. Huomaa, että "jäsenvaltiolla" tarkoitetaan tässä kaikkia EU:n päästökauppajärjestelmään osallistuvia valtioita, ei ainoastaan EU:n jäsenvaltioita.</v>
      </c>
      <c r="F32" s="895"/>
      <c r="G32" s="895"/>
      <c r="H32" s="895"/>
      <c r="I32" s="895"/>
      <c r="J32" s="895"/>
      <c r="K32" s="895"/>
      <c r="L32" s="895"/>
      <c r="M32" s="895"/>
      <c r="N32" s="895"/>
    </row>
    <row r="33" spans="3:14" ht="30.75" customHeight="1" x14ac:dyDescent="0.25">
      <c r="C33" s="124"/>
      <c r="D33" s="128" t="s">
        <v>7</v>
      </c>
      <c r="E33" s="895" t="str">
        <f>Translations!$B$22</f>
        <v>Tarkista toimivaltaisen viranomaisen verkkosivulta lomakkeen oikea versio tai ota suoraan yhteyttä viranomaiseen selvittääksesi, onko versio oikea. Versio (erityisesti viitetiedoston nimi) on merkitty selvästi tämän tiedoston kansilehteen.</v>
      </c>
      <c r="F33" s="895"/>
      <c r="G33" s="895"/>
      <c r="H33" s="895"/>
      <c r="I33" s="895"/>
      <c r="J33" s="895"/>
      <c r="K33" s="895"/>
      <c r="L33" s="895"/>
      <c r="M33" s="895"/>
      <c r="N33" s="895"/>
    </row>
    <row r="34" spans="3:14" ht="29.25" customHeight="1" x14ac:dyDescent="0.25">
      <c r="C34" s="124"/>
      <c r="D34" s="128" t="s">
        <v>8</v>
      </c>
      <c r="E34" s="895" t="str">
        <f>Translations!$B$23</f>
        <v>Jotkin jäsenvaltiot saattavat edellyttää, että käyttäjä käyttää laskentataulukon sijasta vaihtoehtoista järjestelmää. Tarkista oman jäsenvaltiosi vaatimukset. Jos niitä on, saat lisätietoja toimivaltaiselta viranomaiselta.</v>
      </c>
      <c r="F34" s="895"/>
      <c r="G34" s="895"/>
      <c r="H34" s="895"/>
      <c r="I34" s="895"/>
      <c r="J34" s="895"/>
      <c r="K34" s="895"/>
      <c r="L34" s="895"/>
      <c r="M34" s="895"/>
      <c r="N34" s="895"/>
    </row>
    <row r="35" spans="3:14" ht="13" x14ac:dyDescent="0.25">
      <c r="C35" s="124"/>
      <c r="D35" s="895"/>
      <c r="E35" s="895"/>
      <c r="F35" s="895"/>
      <c r="G35" s="895"/>
      <c r="H35" s="895"/>
      <c r="I35" s="895"/>
      <c r="J35" s="895"/>
      <c r="K35" s="895"/>
      <c r="L35" s="895"/>
      <c r="M35" s="895"/>
      <c r="N35" s="895"/>
    </row>
    <row r="36" spans="3:14" ht="15" customHeight="1" x14ac:dyDescent="0.25">
      <c r="C36" s="124">
        <v>6</v>
      </c>
      <c r="D36" s="914" t="str">
        <f>Translations!$B$282</f>
        <v xml:space="preserve">Tämä päästöselvitys on toimitettava toimivaltaiselle viranomaiselle, Energiavirastolle, ETS2-asiointijärjestelmän kautta. </v>
      </c>
      <c r="E36" s="914"/>
      <c r="F36" s="914"/>
      <c r="G36" s="914"/>
      <c r="H36" s="914"/>
      <c r="I36" s="914"/>
      <c r="J36" s="914"/>
      <c r="K36" s="914"/>
      <c r="L36" s="914"/>
      <c r="M36" s="914"/>
      <c r="N36" s="914"/>
    </row>
    <row r="37" spans="3:14" ht="13" x14ac:dyDescent="0.25">
      <c r="C37" s="124"/>
      <c r="D37" s="129"/>
      <c r="E37" s="129"/>
      <c r="F37" s="129"/>
      <c r="G37" s="129"/>
      <c r="H37" s="129"/>
      <c r="I37" s="129"/>
      <c r="J37" s="129"/>
      <c r="K37" s="129"/>
      <c r="L37" s="129"/>
      <c r="M37" s="129"/>
      <c r="N37" s="129"/>
    </row>
    <row r="38" spans="3:14" x14ac:dyDescent="0.25">
      <c r="G38" s="925" t="str">
        <f>Translations!$B$24</f>
        <v xml:space="preserve">https://ets2.energiavirasto.fi/ </v>
      </c>
      <c r="H38" s="925"/>
      <c r="I38" s="925"/>
      <c r="J38" s="925"/>
    </row>
    <row r="39" spans="3:14" x14ac:dyDescent="0.25">
      <c r="G39" s="926"/>
      <c r="H39" s="926"/>
      <c r="I39" s="926"/>
      <c r="J39" s="926"/>
    </row>
    <row r="40" spans="3:14" x14ac:dyDescent="0.25">
      <c r="G40" s="926"/>
      <c r="H40" s="926"/>
      <c r="I40" s="926"/>
      <c r="J40" s="926"/>
    </row>
    <row r="41" spans="3:14" x14ac:dyDescent="0.25">
      <c r="G41" s="926"/>
      <c r="H41" s="926"/>
      <c r="I41" s="926"/>
      <c r="J41" s="926"/>
    </row>
    <row r="42" spans="3:14" x14ac:dyDescent="0.25">
      <c r="G42" s="926"/>
      <c r="H42" s="926"/>
      <c r="I42" s="926"/>
      <c r="J42" s="926"/>
    </row>
    <row r="43" spans="3:14" x14ac:dyDescent="0.25">
      <c r="G43" s="926"/>
      <c r="H43" s="926"/>
      <c r="I43" s="926"/>
      <c r="J43" s="926"/>
    </row>
    <row r="44" spans="3:14" x14ac:dyDescent="0.25">
      <c r="G44" s="926"/>
      <c r="H44" s="926"/>
      <c r="I44" s="926"/>
      <c r="J44" s="926"/>
    </row>
    <row r="45" spans="3:14" x14ac:dyDescent="0.25">
      <c r="G45" s="926"/>
      <c r="H45" s="926"/>
      <c r="I45" s="926"/>
      <c r="J45" s="926"/>
    </row>
    <row r="47" spans="3:14" ht="25.5" customHeight="1" x14ac:dyDescent="0.25">
      <c r="C47" s="124">
        <v>7</v>
      </c>
      <c r="D47" s="895" t="str">
        <f>Translations!$B$283</f>
        <v>Ota yhteyttä toimivaltaiseen viranomaiseen, jos tarvitset apua päästöselvityksen laatimisessa. Energiaviraston yhteystiedot: ETS2@energiavirasto.fi</v>
      </c>
      <c r="E47" s="895"/>
      <c r="F47" s="895"/>
      <c r="G47" s="895"/>
      <c r="H47" s="895"/>
      <c r="I47" s="895"/>
      <c r="J47" s="895"/>
      <c r="K47" s="895"/>
      <c r="L47" s="895"/>
      <c r="M47" s="895"/>
      <c r="N47" s="895"/>
    </row>
    <row r="48" spans="3:14" ht="55.5" customHeight="1" x14ac:dyDescent="0.25">
      <c r="C48" s="124">
        <v>8</v>
      </c>
      <c r="D48" s="914" t="str">
        <f>Translations!$B$284</f>
        <v>Luottamuksellisuusvakuutus – Tällä päästöselvityksellä toimitettuihin tietoihin voidaan soveltaa asiakirjajulkisuutta koskevia vaatimuksia, mukaan lukien ympäristötiedon julkisesta saatavuudesta annettu direktiivi 2003/4/EY. Jos katsot, että hakemuksesi yhteydessä antamiasi tietoja tulisi käsitellä salassa pidettävinä, ilmoita asiasta toimivaltaiselle viranomaiselle. Direktiivin 2003/4/EY säännösten mukaan mukaan toimivaltainen viranomainen voi olla velvollinen luovuttamaan tietoja, vaikka hakija pyytäisi niiden pitämistä luottamuksellisina.</v>
      </c>
      <c r="E48" s="895"/>
      <c r="F48" s="895"/>
      <c r="G48" s="895"/>
      <c r="H48" s="895"/>
      <c r="I48" s="895"/>
      <c r="J48" s="895"/>
      <c r="K48" s="895"/>
      <c r="L48" s="895"/>
      <c r="M48" s="895"/>
      <c r="N48" s="895"/>
    </row>
    <row r="49" spans="2:14" ht="13" x14ac:dyDescent="0.25">
      <c r="C49" s="124"/>
      <c r="D49" s="127"/>
      <c r="E49" s="127"/>
      <c r="F49" s="127"/>
      <c r="G49" s="127"/>
      <c r="H49" s="127"/>
      <c r="I49" s="127"/>
      <c r="J49" s="127"/>
      <c r="K49" s="127"/>
      <c r="L49" s="127"/>
      <c r="M49" s="127"/>
      <c r="N49" s="127"/>
    </row>
    <row r="50" spans="2:14" ht="14" x14ac:dyDescent="0.25">
      <c r="C50" s="124">
        <v>9</v>
      </c>
      <c r="D50" s="921" t="str">
        <f>Translations!$B$25</f>
        <v>Tietolähteet:</v>
      </c>
      <c r="E50" s="921"/>
      <c r="F50" s="921"/>
      <c r="G50" s="921"/>
      <c r="H50" s="921"/>
      <c r="I50" s="921"/>
      <c r="J50" s="921"/>
      <c r="K50" s="921"/>
      <c r="L50" s="921"/>
      <c r="M50" s="921"/>
      <c r="N50" s="921"/>
    </row>
    <row r="51" spans="2:14" ht="13" x14ac:dyDescent="0.3">
      <c r="C51" s="124"/>
      <c r="D51" s="130" t="str">
        <f>Translations!$B$26</f>
        <v>EU:n verkkosivustot:</v>
      </c>
      <c r="E51" s="127"/>
      <c r="F51" s="127"/>
      <c r="G51" s="127"/>
      <c r="H51" s="127"/>
      <c r="I51" s="127"/>
      <c r="J51" s="127"/>
      <c r="K51" s="127"/>
      <c r="L51" s="127"/>
      <c r="M51" s="127"/>
      <c r="N51" s="127"/>
    </row>
    <row r="52" spans="2:14" ht="13" x14ac:dyDescent="0.25">
      <c r="C52" s="124"/>
      <c r="D52" s="127" t="str">
        <f>Translations!$B$27</f>
        <v>EU-lainsäädäntö:</v>
      </c>
      <c r="E52" s="127"/>
      <c r="F52" s="922" t="str">
        <f>Translations!$B$28</f>
        <v xml:space="preserve">http://eur-lex.europa.eu/fi/index.htm </v>
      </c>
      <c r="G52" s="923"/>
      <c r="H52" s="923"/>
      <c r="I52" s="923"/>
      <c r="J52" s="923"/>
      <c r="K52" s="923"/>
      <c r="L52" s="924"/>
      <c r="M52" s="924"/>
      <c r="N52" s="924"/>
    </row>
    <row r="53" spans="2:14" ht="25.5" customHeight="1" x14ac:dyDescent="0.25">
      <c r="C53" s="124"/>
      <c r="D53" s="927" t="str">
        <f>Translations!$B$29</f>
        <v>EU:n päästökauppajärjestelmän yleiset vaatimukset:</v>
      </c>
      <c r="E53" s="927"/>
      <c r="F53" s="922" t="str">
        <f>Translations!$B$175</f>
        <v>https://climate.ec.europa.eu/eu-action/eu-emissions-trading-system-eu-ets_en</v>
      </c>
      <c r="G53" s="924"/>
      <c r="H53" s="924"/>
      <c r="I53" s="924"/>
      <c r="J53" s="924"/>
      <c r="K53" s="924"/>
      <c r="L53" s="924"/>
      <c r="M53" s="924"/>
      <c r="N53" s="924"/>
    </row>
    <row r="54" spans="2:14" ht="13" x14ac:dyDescent="0.25">
      <c r="C54" s="124"/>
      <c r="D54" s="127" t="str">
        <f>Translations!$B$30</f>
        <v xml:space="preserve">Tarkkailu ja raportointi EU:n päästökauppajärjestelmässä: </v>
      </c>
      <c r="E54" s="127"/>
      <c r="F54" s="127"/>
      <c r="G54" s="127"/>
      <c r="H54" s="127"/>
      <c r="I54" s="127"/>
      <c r="J54" s="127"/>
      <c r="K54" s="127"/>
      <c r="L54" s="127"/>
      <c r="M54" s="127"/>
      <c r="N54" s="127"/>
    </row>
    <row r="55" spans="2:14" ht="13" x14ac:dyDescent="0.25">
      <c r="B55" s="398"/>
      <c r="C55" s="124"/>
      <c r="D55" s="127"/>
      <c r="E55" s="127"/>
      <c r="F55" s="922" t="str">
        <f>Translations!$B$173</f>
        <v>https://climate.ec.europa.eu/eu-action/eu-emissions-trading-system-eu-ets/ets2-buildings-road-transport-and-additional-sectors_en</v>
      </c>
      <c r="G55" s="922"/>
      <c r="H55" s="922"/>
      <c r="I55" s="922"/>
      <c r="J55" s="922"/>
      <c r="K55" s="922"/>
      <c r="L55" s="922"/>
      <c r="M55" s="922"/>
      <c r="N55" s="922"/>
    </row>
    <row r="56" spans="2:14" ht="13" x14ac:dyDescent="0.3">
      <c r="D56" s="130" t="str">
        <f>Translations!$B$31</f>
        <v>Muut sivustot:</v>
      </c>
    </row>
    <row r="57" spans="2:14" ht="15" customHeight="1" x14ac:dyDescent="0.25">
      <c r="D57" s="919" t="str">
        <f>Translations!$B$32</f>
        <v>https://energiavirasto.fi/polttoaineen-paastokauppa</v>
      </c>
      <c r="E57" s="920"/>
      <c r="F57" s="920"/>
      <c r="G57" s="920"/>
      <c r="H57" s="920"/>
      <c r="I57" s="920"/>
      <c r="J57" s="920"/>
      <c r="K57" s="920"/>
      <c r="L57" s="920"/>
      <c r="M57" s="920"/>
      <c r="N57" s="920"/>
    </row>
    <row r="58" spans="2:14" ht="2.5" customHeight="1" x14ac:dyDescent="0.25">
      <c r="D58" s="908"/>
      <c r="E58" s="909"/>
      <c r="F58" s="909"/>
      <c r="G58" s="909"/>
      <c r="H58" s="909"/>
      <c r="I58" s="909"/>
      <c r="J58" s="909"/>
      <c r="K58" s="909"/>
      <c r="L58" s="909"/>
      <c r="M58" s="909"/>
      <c r="N58" s="909"/>
    </row>
    <row r="59" spans="2:14" ht="13" x14ac:dyDescent="0.3">
      <c r="D59" s="130" t="str">
        <f>Translations!$B$33</f>
        <v>Yhteydenotto Energiavirastoon:</v>
      </c>
      <c r="E59" s="3"/>
      <c r="F59" s="3"/>
      <c r="G59" s="3"/>
      <c r="H59" s="3"/>
      <c r="I59" s="3"/>
      <c r="J59" s="3"/>
      <c r="K59" s="3"/>
      <c r="L59" s="3"/>
      <c r="M59" s="3"/>
      <c r="N59" s="3"/>
    </row>
    <row r="60" spans="2:14" ht="15" customHeight="1" x14ac:dyDescent="0.25">
      <c r="D60" s="908" t="str">
        <f>Translations!$B$34</f>
        <v>ETS2@energiavirasto.fi</v>
      </c>
      <c r="E60" s="909"/>
      <c r="F60" s="909"/>
      <c r="G60" s="909"/>
      <c r="H60" s="909"/>
      <c r="I60" s="909"/>
      <c r="J60" s="909"/>
      <c r="K60" s="909"/>
      <c r="L60" s="909"/>
      <c r="M60" s="909"/>
      <c r="N60" s="909"/>
    </row>
    <row r="61" spans="2:14" ht="3.65" customHeight="1" x14ac:dyDescent="0.25">
      <c r="D61" s="908"/>
      <c r="E61" s="909"/>
      <c r="F61" s="909"/>
      <c r="G61" s="909"/>
      <c r="H61" s="909"/>
      <c r="I61" s="909"/>
      <c r="J61" s="909"/>
      <c r="K61" s="909"/>
      <c r="L61" s="909"/>
      <c r="M61" s="909"/>
      <c r="N61" s="909"/>
    </row>
    <row r="62" spans="2:14" ht="11.15" customHeight="1" x14ac:dyDescent="0.25"/>
    <row r="63" spans="2:14" ht="15.75" customHeight="1" x14ac:dyDescent="0.25">
      <c r="C63" s="124">
        <v>10</v>
      </c>
      <c r="D63" s="907" t="str">
        <f>Translations!$B$35</f>
        <v>Tiedoston käyttö:</v>
      </c>
      <c r="E63" s="907"/>
      <c r="F63" s="907"/>
      <c r="G63" s="907"/>
      <c r="H63" s="907"/>
      <c r="I63" s="907"/>
      <c r="J63" s="907"/>
      <c r="K63" s="907"/>
      <c r="L63" s="907"/>
      <c r="M63" s="907"/>
      <c r="N63" s="907"/>
    </row>
    <row r="64" spans="2:14" ht="26.25" customHeight="1" x14ac:dyDescent="0.25">
      <c r="C64" s="124"/>
      <c r="D64" s="895" t="str">
        <f>Translations!$B$285</f>
        <v>Tämä lomakepohja on kehitetty tarkkailuasetuksen edellyttämän vuotuisen päästöselvityksen vähimmäissisällön huomioon ottamiseksi. Säänneltyjen yhteisöjen tulee  tutustua tarkkailuasetukseen ja kansallisen viranomaisen (mahdollisiin) lisävaatimuksiin lomakepohjaa täyttäessään.</v>
      </c>
      <c r="E64" s="895"/>
      <c r="F64" s="895"/>
      <c r="G64" s="895"/>
      <c r="H64" s="895"/>
      <c r="I64" s="895"/>
      <c r="J64" s="895"/>
      <c r="K64" s="895"/>
      <c r="L64" s="895"/>
      <c r="M64" s="895"/>
      <c r="N64" s="895"/>
    </row>
    <row r="65" spans="3:14" ht="26.25" customHeight="1" x14ac:dyDescent="0.25">
      <c r="C65" s="124"/>
      <c r="D65" s="895" t="str">
        <f>Translations!$B$286</f>
        <v>Suosittelemme, että käytte tiedoston läpi alusta loppuun. Tietyt lomakkeen täyttämistä ohjaavat toiminnot ovat riippuvaisia aiemmista vastauksista, esimerkiksi solujen väri muuttuu, jos niitä ei tarvitse täyttää (ks. jäljempänä värikoodit).</v>
      </c>
      <c r="E65" s="895"/>
      <c r="F65" s="895"/>
      <c r="G65" s="895"/>
      <c r="H65" s="895"/>
      <c r="I65" s="895"/>
      <c r="J65" s="895"/>
      <c r="K65" s="895"/>
      <c r="L65" s="895"/>
      <c r="M65" s="895"/>
      <c r="N65" s="895"/>
    </row>
    <row r="66" spans="3:14" ht="43.5" customHeight="1" x14ac:dyDescent="0.25">
      <c r="C66" s="124"/>
      <c r="D66" s="895" t="str">
        <f>Translations!$B$36</f>
        <v>Useissa kentissä on valittavana valmiiksi määriteltyjä tietoja. Pudotusvalikosta valitaan napsauttamalla hiiren osoittimella kentän oikeassa reunassa olevaa pientä nuolta tai valitsemalla kenttä ja painamalla ”Alt-nuoli alas”. Joihinkin kenttiin on mahdollista kirjoittaa itse, vaikka käytössä olisi myös pudotusvalikko. Tällöin pudotusvalikossa on tyhjä kenttiä.</v>
      </c>
      <c r="E66" s="895"/>
      <c r="F66" s="895"/>
      <c r="G66" s="895"/>
      <c r="H66" s="895"/>
      <c r="I66" s="895"/>
      <c r="J66" s="895"/>
      <c r="K66" s="895"/>
      <c r="L66" s="895"/>
      <c r="M66" s="895"/>
      <c r="N66" s="895"/>
    </row>
    <row r="67" spans="3:14" ht="13" x14ac:dyDescent="0.25">
      <c r="C67" s="124"/>
      <c r="D67" s="911" t="str">
        <f>Translations!$B$37</f>
        <v>Värikoodit:</v>
      </c>
      <c r="E67" s="911"/>
      <c r="F67" s="911"/>
      <c r="G67" s="911"/>
      <c r="H67" s="911"/>
      <c r="I67" s="911"/>
      <c r="J67" s="911"/>
      <c r="K67" s="911"/>
      <c r="L67" s="911"/>
      <c r="M67" s="911"/>
      <c r="N67" s="911"/>
    </row>
    <row r="68" spans="3:14" ht="5.5" customHeight="1" x14ac:dyDescent="0.25">
      <c r="E68" s="881"/>
      <c r="F68" s="881"/>
      <c r="G68" s="895"/>
      <c r="H68" s="895"/>
      <c r="I68" s="895"/>
      <c r="J68" s="895"/>
      <c r="K68" s="895"/>
      <c r="L68" s="895"/>
      <c r="M68" s="895"/>
      <c r="N68" s="895"/>
    </row>
    <row r="69" spans="3:14" ht="3.5" customHeight="1" x14ac:dyDescent="0.25">
      <c r="E69" s="910"/>
      <c r="F69" s="910"/>
      <c r="G69" s="895"/>
      <c r="H69" s="895"/>
      <c r="I69" s="895"/>
      <c r="J69" s="895"/>
      <c r="K69" s="895"/>
      <c r="L69" s="895"/>
      <c r="M69" s="895"/>
      <c r="N69" s="895"/>
    </row>
    <row r="70" spans="3:14" ht="26.25" customHeight="1" x14ac:dyDescent="0.25">
      <c r="E70" s="912"/>
      <c r="F70" s="913"/>
      <c r="G70" s="914" t="str">
        <f>Translations!$B$176</f>
        <v>Keltaisten kenttien tiedot ovat pakollisia. Jos tieto ei kuitenkaan ole merkityksellinen säännellyn yhteisön kannalta, tietoja ei vaadita.</v>
      </c>
      <c r="H70" s="914"/>
      <c r="I70" s="914"/>
      <c r="J70" s="914"/>
      <c r="K70" s="914"/>
      <c r="L70" s="914"/>
      <c r="M70" s="914"/>
      <c r="N70" s="914"/>
    </row>
    <row r="71" spans="3:14" x14ac:dyDescent="0.25">
      <c r="E71" s="916"/>
      <c r="F71" s="913"/>
      <c r="G71" s="895" t="str">
        <f>Translations!$B$42</f>
        <v>Vaaleankeltaiset kentät ovat vapaaehtoisia.</v>
      </c>
      <c r="H71" s="896"/>
      <c r="I71" s="896"/>
      <c r="J71" s="896"/>
      <c r="K71" s="896"/>
      <c r="L71" s="896"/>
      <c r="M71" s="896"/>
      <c r="N71" s="896"/>
    </row>
    <row r="72" spans="3:14" x14ac:dyDescent="0.25">
      <c r="E72" s="904"/>
      <c r="F72" s="905"/>
      <c r="G72" s="895" t="str">
        <f>Translations!$B$43</f>
        <v>Vihreät kentät osoittavat automaattisesti lasketut tulokset. Virheilmoitukset näkyvät punaisella (puuttuvat tiedot jne.).</v>
      </c>
      <c r="H72" s="896"/>
      <c r="I72" s="896"/>
      <c r="J72" s="896"/>
      <c r="K72" s="896"/>
      <c r="L72" s="896"/>
      <c r="M72" s="896"/>
      <c r="N72" s="896"/>
    </row>
    <row r="73" spans="3:14" x14ac:dyDescent="0.25">
      <c r="E73" s="915"/>
      <c r="F73" s="905"/>
      <c r="G73" s="895" t="str">
        <f>Translations!$B$44</f>
        <v>Varjostettuja kenttiä ei tarvitse täyttää toiseen kenttään syötettyjen tietojen vuoksi.</v>
      </c>
      <c r="H73" s="895"/>
      <c r="I73" s="895"/>
      <c r="J73" s="895"/>
      <c r="K73" s="895"/>
      <c r="L73" s="895"/>
      <c r="M73" s="895"/>
      <c r="N73" s="895"/>
    </row>
    <row r="74" spans="3:14" x14ac:dyDescent="0.25">
      <c r="E74" s="903"/>
      <c r="F74" s="903"/>
      <c r="G74" s="895" t="str">
        <f>Translations!$B$287</f>
        <v>Jäsenvaltioiden on täytettävä harmaalla varjostetut kentät ennen lomakkeen mukautetun version julkaisemista.</v>
      </c>
      <c r="H74" s="896"/>
      <c r="I74" s="896"/>
      <c r="J74" s="896"/>
      <c r="K74" s="896"/>
      <c r="L74" s="896"/>
      <c r="M74" s="896"/>
      <c r="N74" s="896"/>
    </row>
    <row r="75" spans="3:14" x14ac:dyDescent="0.25">
      <c r="E75" s="894"/>
      <c r="F75" s="894"/>
      <c r="G75" s="895" t="str">
        <f>Translations!$B$45</f>
        <v>Vaaleanharmaat alueet ovat navigointia varten ja ne sisältävät linkkejä.</v>
      </c>
      <c r="H75" s="896"/>
      <c r="I75" s="896"/>
      <c r="J75" s="896"/>
      <c r="K75" s="896"/>
      <c r="L75" s="896"/>
      <c r="M75" s="896"/>
      <c r="N75" s="896"/>
    </row>
    <row r="77" spans="3:14" ht="38.25" customHeight="1" x14ac:dyDescent="0.25">
      <c r="C77" s="124">
        <v>11</v>
      </c>
      <c r="D77" s="906" t="str">
        <f>Translations!$B$288</f>
        <v>Välilehtien yläosassa olevat navigointipaneelit sisältävät linkkejä lomakkeen muille välilehdille. Ensimmäinen rivi ("Sisällysluettelo", "Edellinen välilehti", "Seuraava välilehti", "Laskentataulukko"). Yksittäisille välilehdille on lisätty myös lisävalikkoja.</v>
      </c>
      <c r="E77" s="906"/>
      <c r="F77" s="906"/>
      <c r="G77" s="906"/>
      <c r="H77" s="906"/>
      <c r="I77" s="906"/>
      <c r="J77" s="906"/>
      <c r="K77" s="906"/>
      <c r="L77" s="906"/>
      <c r="M77" s="906"/>
      <c r="N77" s="906"/>
    </row>
    <row r="78" spans="3:14" ht="51" customHeight="1" x14ac:dyDescent="0.25">
      <c r="C78" s="124">
        <v>12</v>
      </c>
      <c r="D78" s="895" t="str">
        <f>Translations!$B$46</f>
        <v>Lomake on suojattu keltaisia kenttiä lukuun ottamatta. Avoimuuden varmistamiseksi lomaketta ei kuitenkaan ole suojattu salasanalla. Näin kaikki kaavat ovat nähtävissä. Suojaus on suositeltavaa pitää päällä tietoja täydennettäessä. Välilehtien suojauksen voi poistaa ainoastaan kaavojen oikeellisuuden tarkistamista varten. Tämä kannattaa tehdä erillisessä tiedostossa.</v>
      </c>
      <c r="E78" s="895"/>
      <c r="F78" s="895"/>
      <c r="G78" s="895"/>
      <c r="H78" s="895"/>
      <c r="I78" s="895"/>
      <c r="J78" s="895"/>
      <c r="K78" s="895"/>
      <c r="L78" s="895"/>
      <c r="M78" s="895"/>
      <c r="N78" s="895"/>
    </row>
    <row r="79" spans="3:14" ht="51" customHeight="1" x14ac:dyDescent="0.25">
      <c r="C79" s="124">
        <v>13</v>
      </c>
      <c r="D79" s="917" t="str">
        <f>Translations!$B$47</f>
        <v>HUOM! LEIKKAA &amp; LIITÄ -toimintoa EI TULE KÄYTTÄÄ lomakkessa, jottei lomakkeen kaavoihin tule muutoksia ja edelleen päästöselvitykseen virheitä.
Jos haluat siirtää tietoja toisesta solusta, KOPIOI ja LIITÄ ne ensin ja poista sen jälkeen ei-toivotut tiedot vanhasta (väärästä) paikasta.</v>
      </c>
      <c r="E79" s="917"/>
      <c r="F79" s="917"/>
      <c r="G79" s="917"/>
      <c r="H79" s="917"/>
      <c r="I79" s="917"/>
      <c r="J79" s="917"/>
      <c r="K79" s="917"/>
      <c r="L79" s="917"/>
      <c r="M79" s="917"/>
      <c r="N79" s="918"/>
    </row>
    <row r="80" spans="3:14" ht="51" customHeight="1" x14ac:dyDescent="0.25">
      <c r="C80" s="124">
        <v>14</v>
      </c>
      <c r="D80" s="895" t="str">
        <f>Translations!$B$289</f>
        <v>Tietokenttiä ei ole optimoitu tiettyjä numeerisia ja muita muotoja varten. Välilehtien suojaus sallii kuitenkin omien muotojen käytön. Voit päättää näytettävien desimaalien määrän. Desimaalien määrä ei periaatteessa ole yhteydessä laskentatarkkuuteen. MS Excelin vaihtoehto ”Tarkkuus kuten näytössä” (”Precision as displayed”) on otettava pois käytöstä. Lisätietoja tästä aiheesta saa MS Excelin ”Ohje”-toiminnosta (”Help”).</v>
      </c>
      <c r="E80" s="895"/>
      <c r="F80" s="895"/>
      <c r="G80" s="895"/>
      <c r="H80" s="895"/>
      <c r="I80" s="895"/>
      <c r="J80" s="895"/>
      <c r="K80" s="895"/>
      <c r="L80" s="895"/>
      <c r="M80" s="895"/>
      <c r="N80" s="895"/>
    </row>
    <row r="81" spans="3:14" ht="4.9000000000000004" customHeight="1" thickBot="1" x14ac:dyDescent="0.3">
      <c r="D81" s="901"/>
      <c r="E81" s="902"/>
      <c r="F81" s="902"/>
      <c r="G81" s="902"/>
      <c r="H81" s="902"/>
      <c r="I81" s="902"/>
      <c r="J81" s="902"/>
      <c r="K81" s="902"/>
      <c r="L81" s="902"/>
      <c r="M81" s="902"/>
    </row>
    <row r="82" spans="3:14" ht="89.25" customHeight="1" thickBot="1" x14ac:dyDescent="0.3">
      <c r="C82" s="124">
        <v>15</v>
      </c>
      <c r="D82" s="898" t="str">
        <f>Translations!$B$177</f>
        <v>VASTUUVAPAUSLAUSEKE: 
Kaikki lomakepohjan kaavat on laadittu huolellisesti ja perusteellisesti. Virheitä ei kuitenkaan voida sulkea kokonaan pois.
Kuten edellä on todettu, on käyttäjän mahdollista tarkastella laskelmien taustalla olevia kaavoja täysin avoimesti. Energiavirasto tai Euroopan komissio eivät ole vastuussa mahdollisista vahingoista, jotka johtuvat toimitettujen laskelmien vääristä tai harhaanjohtavista tuloksista. 
On tämän tiedoston käyttäjän (eli säännellyn yhteisön) yksinomaisella vastuulla varmistaa, että toimivaltaiselle viranomaiselle raportoidaan oikeat tiedot.</v>
      </c>
      <c r="E82" s="899"/>
      <c r="F82" s="899"/>
      <c r="G82" s="899"/>
      <c r="H82" s="899"/>
      <c r="I82" s="899"/>
      <c r="J82" s="899"/>
      <c r="K82" s="899"/>
      <c r="L82" s="899"/>
      <c r="M82" s="899"/>
      <c r="N82" s="900"/>
    </row>
    <row r="84" spans="3:14" ht="15.5" x14ac:dyDescent="0.25">
      <c r="C84" s="124">
        <v>16</v>
      </c>
      <c r="D84" s="907" t="str">
        <f>Translations!$B$48</f>
        <v>Jäsenvaltiokohtaiset ohjeet:</v>
      </c>
      <c r="E84" s="907"/>
      <c r="F84" s="907"/>
      <c r="G84" s="907"/>
      <c r="H84" s="907"/>
      <c r="I84" s="907"/>
      <c r="J84" s="907"/>
      <c r="K84" s="907"/>
      <c r="L84" s="907"/>
      <c r="M84" s="907"/>
      <c r="N84" s="907"/>
    </row>
    <row r="85" spans="3:14" ht="38.5" customHeight="1" x14ac:dyDescent="0.25">
      <c r="D85" s="893" t="s">
        <v>1778</v>
      </c>
      <c r="E85" s="893"/>
      <c r="F85" s="893"/>
      <c r="G85" s="893"/>
      <c r="H85" s="893"/>
      <c r="I85" s="893"/>
      <c r="J85" s="893"/>
      <c r="K85" s="893"/>
      <c r="L85" s="893"/>
      <c r="M85" s="893"/>
      <c r="N85" s="893"/>
    </row>
    <row r="86" spans="3:14" x14ac:dyDescent="0.25">
      <c r="D86" s="897" t="s">
        <v>9</v>
      </c>
      <c r="E86" s="897"/>
      <c r="F86" s="897"/>
      <c r="G86" s="897"/>
      <c r="H86" s="897"/>
      <c r="I86" s="897"/>
      <c r="J86" s="897"/>
      <c r="K86" s="897"/>
      <c r="L86" s="897"/>
      <c r="M86" s="897"/>
      <c r="N86" s="897"/>
    </row>
    <row r="87" spans="3:14" x14ac:dyDescent="0.25">
      <c r="D87" s="893" t="s">
        <v>10</v>
      </c>
      <c r="E87" s="893"/>
      <c r="F87" s="893"/>
      <c r="G87" s="893"/>
      <c r="H87" s="893"/>
      <c r="I87" s="893"/>
      <c r="J87" s="893"/>
      <c r="K87" s="893"/>
      <c r="L87" s="893"/>
      <c r="M87" s="893"/>
      <c r="N87" s="893"/>
    </row>
    <row r="88" spans="3:14" x14ac:dyDescent="0.25">
      <c r="D88" s="897" t="s">
        <v>11</v>
      </c>
      <c r="E88" s="897"/>
      <c r="F88" s="897"/>
      <c r="G88" s="897"/>
      <c r="H88" s="897"/>
      <c r="I88" s="897"/>
      <c r="J88" s="897"/>
      <c r="K88" s="897"/>
      <c r="L88" s="897"/>
      <c r="M88" s="897"/>
      <c r="N88" s="897"/>
    </row>
    <row r="89" spans="3:14" x14ac:dyDescent="0.25">
      <c r="D89" s="892"/>
      <c r="E89" s="892"/>
      <c r="F89" s="892"/>
      <c r="G89" s="892"/>
      <c r="H89" s="892"/>
      <c r="I89" s="892"/>
      <c r="J89" s="892"/>
      <c r="K89" s="892"/>
      <c r="L89" s="892"/>
      <c r="M89" s="892"/>
      <c r="N89" s="892"/>
    </row>
    <row r="90" spans="3:14" x14ac:dyDescent="0.25">
      <c r="D90" s="892"/>
      <c r="E90" s="892"/>
      <c r="F90" s="892"/>
      <c r="G90" s="892"/>
      <c r="H90" s="892"/>
      <c r="I90" s="892"/>
      <c r="J90" s="892"/>
      <c r="K90" s="892"/>
      <c r="L90" s="892"/>
      <c r="M90" s="892"/>
      <c r="N90" s="892"/>
    </row>
    <row r="91" spans="3:14" x14ac:dyDescent="0.25">
      <c r="D91" s="892"/>
      <c r="E91" s="892"/>
      <c r="F91" s="892"/>
      <c r="G91" s="892"/>
      <c r="H91" s="892"/>
      <c r="I91" s="892"/>
      <c r="J91" s="892"/>
      <c r="K91" s="892"/>
      <c r="L91" s="892"/>
      <c r="M91" s="892"/>
      <c r="N91" s="892"/>
    </row>
    <row r="92" spans="3:14" x14ac:dyDescent="0.25">
      <c r="D92" s="892"/>
      <c r="E92" s="892"/>
      <c r="F92" s="892"/>
      <c r="G92" s="892"/>
      <c r="H92" s="892"/>
      <c r="I92" s="892"/>
      <c r="J92" s="892"/>
      <c r="K92" s="892"/>
      <c r="L92" s="892"/>
      <c r="M92" s="892"/>
      <c r="N92" s="892"/>
    </row>
    <row r="93" spans="3:14" x14ac:dyDescent="0.25">
      <c r="D93" s="892"/>
      <c r="E93" s="892"/>
      <c r="F93" s="892"/>
      <c r="G93" s="892"/>
      <c r="H93" s="892"/>
      <c r="I93" s="892"/>
      <c r="J93" s="892"/>
      <c r="K93" s="892"/>
      <c r="L93" s="892"/>
      <c r="M93" s="892"/>
      <c r="N93" s="892"/>
    </row>
    <row r="94" spans="3:14" x14ac:dyDescent="0.25">
      <c r="D94" s="892"/>
      <c r="E94" s="892"/>
      <c r="F94" s="892"/>
      <c r="G94" s="892"/>
      <c r="H94" s="892"/>
      <c r="I94" s="892"/>
      <c r="J94" s="892"/>
      <c r="K94" s="892"/>
      <c r="L94" s="892"/>
      <c r="M94" s="892"/>
      <c r="N94" s="892"/>
    </row>
    <row r="95" spans="3:14" x14ac:dyDescent="0.25">
      <c r="D95" s="892"/>
      <c r="E95" s="892"/>
      <c r="F95" s="892"/>
      <c r="G95" s="892"/>
      <c r="H95" s="892"/>
      <c r="I95" s="892"/>
      <c r="J95" s="892"/>
      <c r="K95" s="892"/>
      <c r="L95" s="892"/>
      <c r="M95" s="892"/>
      <c r="N95" s="892"/>
    </row>
    <row r="96" spans="3:14" x14ac:dyDescent="0.25">
      <c r="D96" s="892"/>
      <c r="E96" s="892"/>
      <c r="F96" s="892"/>
      <c r="G96" s="892"/>
      <c r="H96" s="892"/>
      <c r="I96" s="892"/>
      <c r="J96" s="892"/>
      <c r="K96" s="892"/>
      <c r="L96" s="892"/>
      <c r="M96" s="892"/>
      <c r="N96" s="892"/>
    </row>
    <row r="97" spans="1:16" x14ac:dyDescent="0.25">
      <c r="D97" s="892"/>
      <c r="E97" s="892"/>
      <c r="F97" s="892"/>
      <c r="G97" s="892"/>
      <c r="H97" s="892"/>
      <c r="I97" s="892"/>
      <c r="J97" s="892"/>
      <c r="K97" s="892"/>
      <c r="L97" s="892"/>
      <c r="M97" s="892"/>
      <c r="N97" s="892"/>
    </row>
    <row r="98" spans="1:16" x14ac:dyDescent="0.25">
      <c r="D98" s="892"/>
      <c r="E98" s="892"/>
      <c r="F98" s="892"/>
      <c r="G98" s="892"/>
      <c r="H98" s="892"/>
      <c r="I98" s="892"/>
      <c r="J98" s="892"/>
      <c r="K98" s="892"/>
      <c r="L98" s="892"/>
      <c r="M98" s="892"/>
      <c r="N98" s="892"/>
    </row>
    <row r="99" spans="1:16" x14ac:dyDescent="0.25">
      <c r="D99" s="892"/>
      <c r="E99" s="892"/>
      <c r="F99" s="892"/>
      <c r="G99" s="892"/>
      <c r="H99" s="892"/>
      <c r="I99" s="892"/>
      <c r="J99" s="892"/>
      <c r="K99" s="892"/>
      <c r="L99" s="892"/>
      <c r="M99" s="892"/>
      <c r="N99" s="892"/>
    </row>
    <row r="100" spans="1:16" x14ac:dyDescent="0.25">
      <c r="D100" s="892"/>
      <c r="E100" s="892"/>
      <c r="F100" s="892"/>
      <c r="G100" s="892"/>
      <c r="H100" s="892"/>
      <c r="I100" s="892"/>
      <c r="J100" s="892"/>
      <c r="K100" s="892"/>
      <c r="L100" s="892"/>
      <c r="M100" s="892"/>
      <c r="N100" s="892"/>
    </row>
    <row r="101" spans="1:16" x14ac:dyDescent="0.25">
      <c r="D101" s="892"/>
      <c r="E101" s="892"/>
      <c r="F101" s="892"/>
      <c r="G101" s="892"/>
      <c r="H101" s="892"/>
      <c r="I101" s="892"/>
      <c r="J101" s="892"/>
      <c r="K101" s="892"/>
      <c r="L101" s="892"/>
      <c r="M101" s="892"/>
      <c r="N101" s="892"/>
    </row>
    <row r="102" spans="1:16" x14ac:dyDescent="0.25">
      <c r="D102" s="892"/>
      <c r="E102" s="892"/>
      <c r="F102" s="892"/>
      <c r="G102" s="892"/>
      <c r="H102" s="892"/>
      <c r="I102" s="892"/>
      <c r="J102" s="892"/>
      <c r="K102" s="892"/>
      <c r="L102" s="892"/>
      <c r="M102" s="892"/>
      <c r="N102" s="892"/>
    </row>
    <row r="103" spans="1:16" x14ac:dyDescent="0.25">
      <c r="D103" s="892"/>
      <c r="E103" s="892"/>
      <c r="F103" s="892"/>
      <c r="G103" s="892"/>
      <c r="H103" s="892"/>
      <c r="I103" s="892"/>
      <c r="J103" s="892"/>
      <c r="K103" s="892"/>
      <c r="L103" s="892"/>
      <c r="M103" s="892"/>
      <c r="N103" s="892"/>
    </row>
    <row r="104" spans="1:16" x14ac:dyDescent="0.25">
      <c r="D104" s="892"/>
      <c r="E104" s="892"/>
      <c r="F104" s="892"/>
      <c r="G104" s="892"/>
      <c r="H104" s="892"/>
      <c r="I104" s="892"/>
      <c r="J104" s="892"/>
      <c r="K104" s="892"/>
      <c r="L104" s="892"/>
      <c r="M104" s="892"/>
      <c r="N104" s="892"/>
    </row>
    <row r="105" spans="1:16" x14ac:dyDescent="0.25">
      <c r="D105" s="892"/>
      <c r="E105" s="892"/>
      <c r="F105" s="892"/>
      <c r="G105" s="892"/>
      <c r="H105" s="892"/>
      <c r="I105" s="892"/>
      <c r="J105" s="892"/>
      <c r="K105" s="892"/>
      <c r="L105" s="892"/>
      <c r="M105" s="892"/>
      <c r="N105" s="892"/>
    </row>
    <row r="106" spans="1:16" x14ac:dyDescent="0.25">
      <c r="D106" s="892"/>
      <c r="E106" s="892"/>
      <c r="F106" s="892"/>
      <c r="G106" s="892"/>
      <c r="H106" s="892"/>
      <c r="I106" s="892"/>
      <c r="J106" s="892"/>
      <c r="K106" s="892"/>
      <c r="L106" s="892"/>
      <c r="M106" s="892"/>
      <c r="N106" s="892"/>
    </row>
    <row r="108" spans="1:16" s="259" customFormat="1" hidden="1" x14ac:dyDescent="0.25">
      <c r="A108" s="259" t="s">
        <v>0</v>
      </c>
      <c r="O108" s="289"/>
      <c r="P108" s="259" t="s">
        <v>12</v>
      </c>
    </row>
  </sheetData>
  <sheetProtection sheet="1" formatCells="0" formatColumns="0" formatRows="0"/>
  <mergeCells count="106">
    <mergeCell ref="G2:H2"/>
    <mergeCell ref="I2:J2"/>
    <mergeCell ref="M3:N3"/>
    <mergeCell ref="E2:F2"/>
    <mergeCell ref="B2:D4"/>
    <mergeCell ref="K4:L4"/>
    <mergeCell ref="M4:N4"/>
    <mergeCell ref="G4:H4"/>
    <mergeCell ref="I4:J4"/>
    <mergeCell ref="E4:F4"/>
    <mergeCell ref="K2:L2"/>
    <mergeCell ref="M2:N2"/>
    <mergeCell ref="E3:F3"/>
    <mergeCell ref="G3:H3"/>
    <mergeCell ref="D6:L6"/>
    <mergeCell ref="D7:N7"/>
    <mergeCell ref="D9:N9"/>
    <mergeCell ref="D14:N14"/>
    <mergeCell ref="D8:N8"/>
    <mergeCell ref="D13:N13"/>
    <mergeCell ref="D10:N10"/>
    <mergeCell ref="I3:J3"/>
    <mergeCell ref="K3:L3"/>
    <mergeCell ref="E23:N23"/>
    <mergeCell ref="E24:N24"/>
    <mergeCell ref="D47:N47"/>
    <mergeCell ref="D36:N36"/>
    <mergeCell ref="D28:N28"/>
    <mergeCell ref="D12:N12"/>
    <mergeCell ref="D15:N15"/>
    <mergeCell ref="E31:N31"/>
    <mergeCell ref="E32:N32"/>
    <mergeCell ref="D35:N35"/>
    <mergeCell ref="D27:N27"/>
    <mergeCell ref="D30:N30"/>
    <mergeCell ref="D26:N26"/>
    <mergeCell ref="D16:N16"/>
    <mergeCell ref="D20:N20"/>
    <mergeCell ref="D21:N21"/>
    <mergeCell ref="D17:N17"/>
    <mergeCell ref="D18:N18"/>
    <mergeCell ref="D22:N22"/>
    <mergeCell ref="D19:N19"/>
    <mergeCell ref="D57:N57"/>
    <mergeCell ref="D64:N64"/>
    <mergeCell ref="D48:N48"/>
    <mergeCell ref="D50:N50"/>
    <mergeCell ref="F55:N55"/>
    <mergeCell ref="F52:N52"/>
    <mergeCell ref="F53:N53"/>
    <mergeCell ref="G38:J45"/>
    <mergeCell ref="E33:N33"/>
    <mergeCell ref="E34:N34"/>
    <mergeCell ref="D53:E53"/>
    <mergeCell ref="E74:F74"/>
    <mergeCell ref="G71:N71"/>
    <mergeCell ref="E72:F72"/>
    <mergeCell ref="E68:F68"/>
    <mergeCell ref="G73:N73"/>
    <mergeCell ref="D77:N77"/>
    <mergeCell ref="D84:N84"/>
    <mergeCell ref="D58:N58"/>
    <mergeCell ref="D60:N60"/>
    <mergeCell ref="D61:N61"/>
    <mergeCell ref="D63:N63"/>
    <mergeCell ref="D65:N65"/>
    <mergeCell ref="G68:N68"/>
    <mergeCell ref="E69:F69"/>
    <mergeCell ref="D66:N66"/>
    <mergeCell ref="G72:N72"/>
    <mergeCell ref="D67:N67"/>
    <mergeCell ref="E70:F70"/>
    <mergeCell ref="G70:N70"/>
    <mergeCell ref="E73:F73"/>
    <mergeCell ref="G69:N69"/>
    <mergeCell ref="E71:F71"/>
    <mergeCell ref="D79:N79"/>
    <mergeCell ref="G74:N74"/>
    <mergeCell ref="D85:N85"/>
    <mergeCell ref="D97:N97"/>
    <mergeCell ref="E75:F75"/>
    <mergeCell ref="G75:N75"/>
    <mergeCell ref="D86:N86"/>
    <mergeCell ref="D82:N82"/>
    <mergeCell ref="D80:N80"/>
    <mergeCell ref="D81:M81"/>
    <mergeCell ref="D89:N89"/>
    <mergeCell ref="D96:N96"/>
    <mergeCell ref="D78:N78"/>
    <mergeCell ref="D88:N88"/>
    <mergeCell ref="D87:N87"/>
    <mergeCell ref="D92:N92"/>
    <mergeCell ref="D93:N93"/>
    <mergeCell ref="D90:N90"/>
    <mergeCell ref="D91:N91"/>
    <mergeCell ref="D94:N94"/>
    <mergeCell ref="D95:N95"/>
    <mergeCell ref="D106:N106"/>
    <mergeCell ref="D98:N98"/>
    <mergeCell ref="D99:N99"/>
    <mergeCell ref="D100:N100"/>
    <mergeCell ref="D101:N101"/>
    <mergeCell ref="D102:N102"/>
    <mergeCell ref="D103:N103"/>
    <mergeCell ref="D104:N104"/>
    <mergeCell ref="D105:N105"/>
  </mergeCells>
  <phoneticPr fontId="9" type="noConversion"/>
  <hyperlinks>
    <hyperlink ref="F52" r:id="rId1" display="http://eur-lex.europa.eu/en/index.htm " xr:uid="{00000000-0004-0000-0100-000000000000}"/>
    <hyperlink ref="F55" r:id="rId2" display="https://climate.ec.europa.eu/eu-action/eu-emissions-trading-system-eu-ets/monitoring-reporting-and-verification-eu-ets-emissions_en" xr:uid="{00000000-0004-0000-0100-000001000000}"/>
    <hyperlink ref="D10:M10" r:id="rId3" display="http://ec.europa.eu/clima/documentation/ets/docs/decision_benchmarking_15_dec_en.pdf. " xr:uid="{00000000-0004-0000-0100-000002000000}"/>
    <hyperlink ref="D10" r:id="rId4" xr:uid="{00000000-0004-0000-0100-000003000000}"/>
    <hyperlink ref="G2:H2" location="JUMP_a_Content" display="Table of contents" xr:uid="{00000000-0004-0000-0100-000004000000}"/>
    <hyperlink ref="D27" r:id="rId5" display="https://climate.ec.europa.eu/eu-action/eu-emissions-trading-system-eu-ets/monitoring-reporting-and-verification-eu-ets-emissions_en" xr:uid="{00000000-0004-0000-0100-000005000000}"/>
    <hyperlink ref="D13:N13" r:id="rId6" display="https://eur-lex.europa.eu/eli/reg_impl/2018/2066/oj" xr:uid="{00000000-0004-0000-0100-000006000000}"/>
    <hyperlink ref="D13" r:id="rId7" xr:uid="{00000000-0004-0000-0100-000007000000}"/>
    <hyperlink ref="F53" r:id="rId8" display="https://climate.ec.europa.eu/eu-action/eu-emissions-trading-system-eu-ets_en" xr:uid="{00000000-0004-0000-0100-000008000000}"/>
    <hyperlink ref="G38:J45" r:id="rId9" display="https://ets2.energiavirasto.fi/" xr:uid="{67D41FC6-8933-4FF7-8307-6E4A3BAFF94D}"/>
    <hyperlink ref="D57:N57" r:id="rId10" display="https://energiavirasto.fi/polttoaineen-paastokauppa" xr:uid="{3C98A00D-4628-4A9E-82D9-75FBB186284C}"/>
    <hyperlink ref="D86:N86" r:id="rId11" location="ohjeet_ja_lomakkeet" display="https://energiavirasto.fi/polttoaineen-paastokauppa#ohjeet_ja_lomakkeet" xr:uid="{162DC500-4778-4733-B093-BAAC64355C5E}"/>
    <hyperlink ref="D88:N88" r:id="rId12" location="saadokset" display="https://energiavirasto.fi/polttoaineen-paastokauppa#saadokset" xr:uid="{C66237A1-C649-4D4B-8D41-6B8B041C7CDA}"/>
  </hyperlinks>
  <pageMargins left="0.78740157480314965" right="0.78740157480314965" top="0.78740157480314965" bottom="0.78740157480314965" header="0.39370078740157483" footer="0.39370078740157483"/>
  <pageSetup paperSize="9" scale="61" fitToHeight="2" orientation="portrait" r:id="rId13"/>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indexed="43"/>
    <pageSetUpPr fitToPage="1"/>
  </sheetPr>
  <dimension ref="A1:W116"/>
  <sheetViews>
    <sheetView tabSelected="1" topLeftCell="B1" zoomScaleNormal="100" workbookViewId="0">
      <pane ySplit="4" topLeftCell="A5" activePane="bottomLeft" state="frozen"/>
      <selection activeCell="B2" sqref="B2"/>
      <selection pane="bottomLeft" activeCell="C6" sqref="C6:N6"/>
    </sheetView>
  </sheetViews>
  <sheetFormatPr defaultColWidth="9.1796875" defaultRowHeight="12.5" x14ac:dyDescent="0.25"/>
  <cols>
    <col min="1" max="1" width="2.7265625" style="135" hidden="1" customWidth="1"/>
    <col min="2" max="2" width="2.7265625" style="134" customWidth="1"/>
    <col min="3" max="4" width="4.7265625" style="134" customWidth="1"/>
    <col min="5" max="6" width="12.7265625" style="134" customWidth="1"/>
    <col min="7" max="7" width="14" style="134" customWidth="1"/>
    <col min="8" max="14" width="12.7265625" style="134" customWidth="1"/>
    <col min="15" max="15" width="2.7265625" style="298" customWidth="1"/>
    <col min="16" max="16" width="11.453125" style="134" customWidth="1"/>
    <col min="17" max="23" width="11.453125" style="258" hidden="1" customWidth="1"/>
    <col min="24" max="16384" width="9.1796875" style="134"/>
  </cols>
  <sheetData>
    <row r="1" spans="1:23" ht="13" hidden="1" thickBot="1" x14ac:dyDescent="0.3">
      <c r="A1" s="32" t="s">
        <v>0</v>
      </c>
      <c r="B1" s="37"/>
      <c r="C1" s="38"/>
      <c r="D1" s="101"/>
      <c r="E1" s="37"/>
      <c r="F1" s="37"/>
      <c r="G1" s="40"/>
      <c r="H1" s="40"/>
      <c r="I1" s="37"/>
      <c r="J1" s="37"/>
      <c r="K1" s="37"/>
      <c r="L1" s="37"/>
      <c r="M1" s="37"/>
      <c r="N1" s="37"/>
      <c r="O1" s="292"/>
      <c r="P1" s="4"/>
      <c r="Q1" s="254" t="s">
        <v>0</v>
      </c>
      <c r="R1" s="254" t="s">
        <v>0</v>
      </c>
      <c r="S1" s="254" t="s">
        <v>0</v>
      </c>
      <c r="T1" s="254" t="s">
        <v>0</v>
      </c>
      <c r="U1" s="254" t="s">
        <v>0</v>
      </c>
      <c r="V1" s="254" t="s">
        <v>0</v>
      </c>
      <c r="W1" s="254" t="s">
        <v>0</v>
      </c>
    </row>
    <row r="2" spans="1:23" ht="13.5" customHeight="1" thickBot="1" x14ac:dyDescent="0.35">
      <c r="A2" s="32"/>
      <c r="B2" s="859" t="str">
        <f>Translations!$B$290</f>
        <v>A. Säännellyn yhteisön tiedot</v>
      </c>
      <c r="C2" s="860"/>
      <c r="D2" s="861"/>
      <c r="E2" s="873" t="str">
        <f>Translations!$B$13</f>
        <v>Navigointialue:</v>
      </c>
      <c r="F2" s="874"/>
      <c r="G2" s="938" t="str">
        <f>Translations!$B$14</f>
        <v>Sisällysluettelo</v>
      </c>
      <c r="H2" s="939"/>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O2" s="292"/>
      <c r="P2" s="4"/>
      <c r="Q2" s="245" t="s">
        <v>1</v>
      </c>
      <c r="R2" s="246" t="str">
        <f>ADDRESS(ROW($B$6),COLUMN($B$6)) &amp; ":" &amp; ADDRESS(MATCH("PRINT",$P:$P,0),COLUMN($P$6))</f>
        <v>$B$6:$P$115</v>
      </c>
      <c r="S2" s="245" t="s">
        <v>2</v>
      </c>
      <c r="T2" s="247" t="str">
        <f ca="1">IF(ISERROR(CELL("filename",U2)),"B_EntityID",MID(CELL("filename",U2),FIND("]",CELL("filename",U2))+1,1024))</f>
        <v>A_Säännellyn yhteisön tiedot</v>
      </c>
      <c r="U2" s="254"/>
      <c r="V2" s="259"/>
      <c r="W2" s="259"/>
    </row>
    <row r="3" spans="1:23" ht="29.15" customHeight="1" x14ac:dyDescent="0.25">
      <c r="A3" s="32"/>
      <c r="B3" s="862"/>
      <c r="C3" s="863"/>
      <c r="D3" s="864"/>
      <c r="E3" s="956"/>
      <c r="F3" s="957"/>
      <c r="G3" s="958" t="str">
        <f>IFERROR(HYPERLINK("#"&amp;ADDRESS(ROW($A$1)+MATCH(Q3,$A:$A,0)-1,3),INDEX($Q:$Q,MATCH(Q3,$A:$A,0))),"")</f>
        <v/>
      </c>
      <c r="H3" s="957"/>
      <c r="I3" s="958" t="str">
        <f>IFERROR(HYPERLINK("#"&amp;ADDRESS(ROW($A$1)+MATCH(S3,$A:$A,0)-1,3),INDEX($Q:$Q,MATCH(S3,$A:$A,0))),"")</f>
        <v>Säännellyn yhteisön tiedot</v>
      </c>
      <c r="J3" s="957"/>
      <c r="K3" s="958" t="str">
        <f>IFERROR(HYPERLINK("#"&amp;ADDRESS(ROW($A$1)+MATCH(U3,$A:$A,0)-1,3),INDEX($Q:$Q,MATCH(U3,$A:$A,0))),"")</f>
        <v xml:space="preserve">Yhteystiedot </v>
      </c>
      <c r="L3" s="959"/>
      <c r="M3" s="977" t="str">
        <f>IFERROR(HYPERLINK("#"&amp;ADDRESS(ROW($A$1)+MATCH(W3,$A:$A,0)-1,3),INDEX($Q:$Q,MATCH(W3,$A:$A,0))),"")</f>
        <v>Tarkkailu- ja raportointitiedot</v>
      </c>
      <c r="N3" s="977"/>
      <c r="O3" s="292"/>
      <c r="P3" s="4"/>
      <c r="Q3" s="260">
        <v>1</v>
      </c>
      <c r="R3" s="261"/>
      <c r="S3" s="261">
        <v>2</v>
      </c>
      <c r="T3" s="261"/>
      <c r="U3" s="261">
        <v>3</v>
      </c>
      <c r="V3" s="261"/>
      <c r="W3" s="262">
        <v>4</v>
      </c>
    </row>
    <row r="4" spans="1:23" ht="17.149999999999999" customHeight="1" x14ac:dyDescent="0.25">
      <c r="A4" s="32"/>
      <c r="B4" s="862"/>
      <c r="C4" s="863"/>
      <c r="D4" s="864"/>
      <c r="E4" s="995"/>
      <c r="F4" s="976"/>
      <c r="G4" s="973" t="str">
        <f>IFERROR(HYPERLINK("#"&amp;ADDRESS(ROW($A$1)+MATCH(Q4,$A:$A,0)-1,3),INDEX($Q:$Q,MATCH(Q4,$A:$A,0))),"")</f>
        <v>Todentajan yhteystiedot</v>
      </c>
      <c r="H4" s="974"/>
      <c r="I4" s="975" t="str">
        <f>IFERROR(HYPERLINK("#"&amp;ADDRESS(ROW($A$1)+MATCH(S4,$A:$A,0)-1,3),INDEX($Q:$Q,MATCH(S4,$A:$A,0))),"")</f>
        <v/>
      </c>
      <c r="J4" s="976"/>
      <c r="K4" s="975" t="str">
        <f>IFERROR(HYPERLINK("#"&amp;ADDRESS(ROW($A$1)+MATCH(U4,$A:$A,0)-1,3),INDEX($Q:$Q,MATCH(U4,$A:$A,0))),"")</f>
        <v/>
      </c>
      <c r="L4" s="978"/>
      <c r="M4" s="854" t="str">
        <f>IFERROR(HYPERLINK("#"&amp;ADDRESS(ROW($A$1)+MATCH(W4,$A:$A,0)-1,3),INDEX($Q:$Q,MATCH(W4,$A:$A,0))),"")</f>
        <v/>
      </c>
      <c r="N4" s="854"/>
      <c r="O4" s="292"/>
      <c r="P4" s="4"/>
      <c r="Q4" s="263">
        <v>5</v>
      </c>
      <c r="R4" s="264"/>
      <c r="S4" s="264">
        <v>6</v>
      </c>
      <c r="T4" s="264"/>
      <c r="U4" s="264">
        <v>7</v>
      </c>
      <c r="V4" s="264"/>
      <c r="W4" s="265">
        <v>8</v>
      </c>
    </row>
    <row r="5" spans="1:23" x14ac:dyDescent="0.25">
      <c r="A5" s="31"/>
      <c r="B5" s="7"/>
      <c r="C5" s="7"/>
      <c r="D5" s="7"/>
      <c r="E5" s="7"/>
      <c r="F5" s="7"/>
      <c r="G5" s="7"/>
      <c r="H5" s="7"/>
      <c r="I5" s="7"/>
      <c r="J5" s="7"/>
      <c r="K5" s="7"/>
      <c r="L5" s="7"/>
      <c r="M5" s="7"/>
      <c r="N5" s="7"/>
      <c r="O5" s="292"/>
      <c r="P5" s="4"/>
      <c r="Q5" s="254"/>
      <c r="R5" s="254"/>
      <c r="S5" s="254"/>
      <c r="T5" s="254"/>
      <c r="U5" s="254"/>
      <c r="V5" s="259"/>
      <c r="W5" s="259"/>
    </row>
    <row r="6" spans="1:23" ht="25.5" customHeight="1" x14ac:dyDescent="0.25">
      <c r="A6" s="114"/>
      <c r="B6" s="7"/>
      <c r="C6" s="935" t="str">
        <f>Translations!$B$291</f>
        <v>A. Säännellyn yhteisön tiedot</v>
      </c>
      <c r="D6" s="935"/>
      <c r="E6" s="935"/>
      <c r="F6" s="935"/>
      <c r="G6" s="935"/>
      <c r="H6" s="935"/>
      <c r="I6" s="935"/>
      <c r="J6" s="935"/>
      <c r="K6" s="935"/>
      <c r="L6" s="935"/>
      <c r="M6" s="935"/>
      <c r="N6" s="935"/>
      <c r="O6" s="288"/>
      <c r="P6" s="21"/>
      <c r="Q6" s="254"/>
      <c r="R6" s="277"/>
      <c r="S6" s="277"/>
      <c r="T6" s="277"/>
      <c r="U6" s="277"/>
      <c r="V6" s="277"/>
      <c r="W6" s="277"/>
    </row>
    <row r="7" spans="1:23" s="21" customFormat="1" ht="12.75" customHeight="1" x14ac:dyDescent="0.25">
      <c r="A7" s="114"/>
      <c r="B7" s="7"/>
      <c r="C7" s="533"/>
      <c r="D7" s="534"/>
      <c r="E7" s="534"/>
      <c r="F7" s="534"/>
      <c r="G7" s="534"/>
      <c r="H7" s="534"/>
      <c r="I7" s="534"/>
      <c r="J7" s="534"/>
      <c r="K7" s="534"/>
      <c r="L7" s="534"/>
      <c r="M7" s="534"/>
      <c r="N7" s="534"/>
      <c r="O7" s="288"/>
      <c r="Q7" s="277"/>
      <c r="R7" s="277"/>
      <c r="S7" s="277"/>
      <c r="T7" s="277"/>
      <c r="U7" s="277"/>
      <c r="V7" s="277"/>
      <c r="W7" s="277"/>
    </row>
    <row r="8" spans="1:23" s="4" customFormat="1" ht="5.15" customHeight="1" x14ac:dyDescent="0.25">
      <c r="A8" s="114"/>
      <c r="B8" s="7"/>
      <c r="C8" s="542"/>
      <c r="D8" s="817"/>
      <c r="E8" s="817"/>
      <c r="F8" s="817"/>
      <c r="G8" s="817"/>
      <c r="H8" s="817"/>
      <c r="I8" s="537"/>
      <c r="J8" s="537"/>
      <c r="K8" s="537"/>
      <c r="L8" s="537"/>
      <c r="M8" s="537"/>
      <c r="N8" s="537"/>
      <c r="O8" s="292"/>
      <c r="Q8" s="254"/>
      <c r="R8" s="277"/>
      <c r="S8" s="277"/>
      <c r="T8" s="277"/>
      <c r="U8" s="277"/>
      <c r="V8" s="277"/>
      <c r="W8" s="277"/>
    </row>
    <row r="9" spans="1:23" s="21" customFormat="1" ht="25.5" customHeight="1" x14ac:dyDescent="0.25">
      <c r="A9" s="114"/>
      <c r="B9" s="7"/>
      <c r="C9" s="542">
        <v>1</v>
      </c>
      <c r="D9" s="983" t="str">
        <f>Translations!$B$292</f>
        <v>Raportointivuosi</v>
      </c>
      <c r="E9" s="983"/>
      <c r="F9" s="983"/>
      <c r="G9" s="983"/>
      <c r="H9" s="983"/>
      <c r="I9" s="538"/>
      <c r="J9" s="987">
        <v>2024</v>
      </c>
      <c r="K9" s="987"/>
      <c r="L9" s="538"/>
      <c r="M9" s="538"/>
      <c r="N9" s="538"/>
      <c r="O9" s="323"/>
      <c r="Q9" s="701" t="s">
        <v>13</v>
      </c>
      <c r="R9" s="277"/>
      <c r="S9" s="277"/>
      <c r="T9" s="277"/>
      <c r="U9" s="277"/>
      <c r="V9" s="277"/>
      <c r="W9" s="277"/>
    </row>
    <row r="10" spans="1:23" s="4" customFormat="1" ht="5.15" customHeight="1" x14ac:dyDescent="0.25">
      <c r="A10" s="114"/>
      <c r="B10" s="7"/>
      <c r="C10" s="536"/>
      <c r="D10" s="537"/>
      <c r="E10" s="537"/>
      <c r="F10" s="537"/>
      <c r="G10" s="537"/>
      <c r="H10" s="537"/>
      <c r="I10" s="537"/>
      <c r="J10" s="537"/>
      <c r="K10" s="537"/>
      <c r="L10" s="537"/>
      <c r="M10" s="537"/>
      <c r="N10" s="537"/>
      <c r="O10" s="292"/>
      <c r="Q10" s="254"/>
      <c r="R10" s="277"/>
      <c r="S10" s="277"/>
      <c r="T10" s="277"/>
      <c r="U10" s="277"/>
      <c r="V10" s="277"/>
      <c r="W10" s="277"/>
    </row>
    <row r="11" spans="1:23" s="7" customFormat="1" ht="12.75" customHeight="1" x14ac:dyDescent="0.25">
      <c r="A11" s="114"/>
      <c r="C11" s="364"/>
      <c r="D11" s="22"/>
      <c r="O11" s="291"/>
      <c r="Q11" s="259"/>
      <c r="R11" s="277"/>
      <c r="S11" s="277"/>
      <c r="T11" s="277"/>
      <c r="U11" s="277"/>
      <c r="V11" s="277"/>
      <c r="W11" s="277"/>
    </row>
    <row r="12" spans="1:23" s="7" customFormat="1" ht="25.5" customHeight="1" x14ac:dyDescent="0.25">
      <c r="A12" s="114"/>
      <c r="C12" s="540"/>
      <c r="D12" s="988" t="str">
        <f>Translations!$B$293</f>
        <v>Säännellyn yhteisön nimen, y-tunnuksen tai muun päästöluvan kannalta merkityksellisen tiedon muutoksesta tulee ilmoittaa Energiavirastolle sähköpostitse osoitteeseen ETS2@energiavirasto.fi.</v>
      </c>
      <c r="E12" s="988"/>
      <c r="F12" s="988"/>
      <c r="G12" s="988"/>
      <c r="H12" s="988"/>
      <c r="I12" s="988"/>
      <c r="J12" s="988"/>
      <c r="K12" s="988"/>
      <c r="L12" s="988"/>
      <c r="M12" s="988"/>
      <c r="N12" s="989"/>
      <c r="O12" s="541"/>
      <c r="Q12" s="259"/>
      <c r="R12" s="277"/>
      <c r="S12" s="277"/>
      <c r="T12" s="277"/>
      <c r="U12" s="277"/>
      <c r="V12" s="277"/>
      <c r="W12" s="277"/>
    </row>
    <row r="13" spans="1:23" s="7" customFormat="1" ht="31" customHeight="1" x14ac:dyDescent="0.25">
      <c r="A13" s="114"/>
      <c r="C13" s="540"/>
      <c r="D13" s="990" t="str">
        <f>Translations!$B$294</f>
        <v>Säännellyn yhteisön tietojen ja yhteystietojen tulee olla ajantasalla ETS2-asiointijärjestelmässä. Energiavirasto ottaa yhteyttä ETS2-asiointijärjestelmässä ilmoitettuun henkilöön säännellyn yhteisön hakemuksiin ja raportteihin liittyvissä asioissa.</v>
      </c>
      <c r="E13" s="990"/>
      <c r="F13" s="990"/>
      <c r="G13" s="990"/>
      <c r="H13" s="990"/>
      <c r="I13" s="990"/>
      <c r="J13" s="990"/>
      <c r="K13" s="990"/>
      <c r="L13" s="990"/>
      <c r="M13" s="990"/>
      <c r="N13" s="991"/>
      <c r="O13" s="291"/>
      <c r="Q13" s="259"/>
      <c r="R13" s="277"/>
      <c r="S13" s="277"/>
      <c r="T13" s="277"/>
      <c r="U13" s="277"/>
      <c r="V13" s="277"/>
      <c r="W13" s="277"/>
    </row>
    <row r="14" spans="1:23" s="7" customFormat="1" ht="1" customHeight="1" x14ac:dyDescent="0.25">
      <c r="A14" s="114"/>
      <c r="C14" s="540"/>
      <c r="D14" s="992">
        <f>Translations!$B$295</f>
        <v>0</v>
      </c>
      <c r="E14" s="993"/>
      <c r="F14" s="993"/>
      <c r="G14" s="993"/>
      <c r="H14" s="993"/>
      <c r="I14" s="993"/>
      <c r="J14" s="993"/>
      <c r="K14" s="993"/>
      <c r="L14" s="993"/>
      <c r="M14" s="993"/>
      <c r="N14" s="994"/>
      <c r="O14" s="291"/>
      <c r="Q14" s="259"/>
      <c r="R14" s="277"/>
      <c r="S14" s="277"/>
      <c r="T14" s="277"/>
      <c r="U14" s="277"/>
      <c r="V14" s="277"/>
      <c r="W14" s="277"/>
    </row>
    <row r="15" spans="1:23" hidden="1" x14ac:dyDescent="0.25">
      <c r="A15" s="31"/>
      <c r="B15" s="7"/>
      <c r="C15" s="7"/>
      <c r="D15" s="7"/>
      <c r="E15" s="7"/>
      <c r="F15" s="7"/>
      <c r="G15" s="7"/>
      <c r="H15" s="7"/>
      <c r="I15" s="7"/>
      <c r="J15" s="7"/>
      <c r="K15" s="7"/>
      <c r="L15" s="7"/>
      <c r="M15" s="7"/>
      <c r="N15" s="7"/>
      <c r="O15" s="292"/>
      <c r="P15" s="4"/>
      <c r="Q15" s="254"/>
      <c r="R15" s="254"/>
      <c r="S15" s="254"/>
      <c r="T15" s="254"/>
      <c r="U15" s="254"/>
      <c r="V15" s="259"/>
      <c r="W15" s="259"/>
    </row>
    <row r="16" spans="1:23" ht="15.5" hidden="1" x14ac:dyDescent="0.35">
      <c r="A16" s="161"/>
      <c r="B16" s="7"/>
      <c r="C16" s="42"/>
      <c r="D16" s="996"/>
      <c r="E16" s="996"/>
      <c r="F16" s="996"/>
      <c r="G16" s="996"/>
      <c r="H16" s="996"/>
      <c r="I16" s="996"/>
      <c r="J16" s="996"/>
      <c r="K16" s="996"/>
      <c r="L16" s="996"/>
      <c r="M16" s="996"/>
      <c r="N16" s="996"/>
      <c r="O16" s="288"/>
      <c r="P16" s="21"/>
      <c r="Q16" s="266"/>
      <c r="R16" s="254"/>
      <c r="S16" s="254"/>
      <c r="T16" s="254"/>
      <c r="U16" s="254"/>
      <c r="V16" s="259"/>
      <c r="W16" s="259"/>
    </row>
    <row r="17" spans="1:21" ht="5.15" hidden="1" customHeight="1" x14ac:dyDescent="0.25">
      <c r="A17" s="31"/>
      <c r="B17" s="7"/>
      <c r="C17" s="43"/>
      <c r="D17" s="43"/>
      <c r="E17" s="4"/>
      <c r="F17" s="4"/>
      <c r="G17" s="4"/>
      <c r="H17" s="4"/>
      <c r="I17" s="4"/>
      <c r="J17" s="4"/>
      <c r="K17" s="4"/>
      <c r="L17" s="4"/>
      <c r="M17" s="4"/>
      <c r="N17" s="4"/>
      <c r="O17" s="292"/>
      <c r="P17" s="4"/>
      <c r="Q17" s="254"/>
      <c r="R17" s="254"/>
      <c r="S17" s="254"/>
      <c r="T17" s="254"/>
      <c r="U17" s="254"/>
    </row>
    <row r="18" spans="1:21" ht="13" hidden="1" x14ac:dyDescent="0.25">
      <c r="A18" s="31"/>
      <c r="B18" s="7"/>
      <c r="C18" s="43"/>
      <c r="D18" s="35"/>
      <c r="E18" s="981"/>
      <c r="F18" s="982"/>
      <c r="G18" s="982"/>
      <c r="H18" s="548"/>
      <c r="I18" s="962"/>
      <c r="J18" s="963"/>
      <c r="K18" s="963"/>
      <c r="L18" s="963"/>
      <c r="M18" s="963"/>
      <c r="N18" s="964"/>
      <c r="O18" s="292"/>
      <c r="P18" s="4"/>
      <c r="Q18" s="254"/>
      <c r="R18" s="254"/>
      <c r="S18" s="254"/>
      <c r="T18" s="254"/>
      <c r="U18" s="254"/>
    </row>
    <row r="19" spans="1:21" ht="4.9000000000000004" hidden="1" customHeight="1" x14ac:dyDescent="0.25">
      <c r="A19" s="31"/>
      <c r="B19" s="7"/>
      <c r="C19" s="43"/>
      <c r="D19" s="35"/>
      <c r="E19" s="35"/>
      <c r="F19" s="35"/>
      <c r="G19" s="35"/>
      <c r="H19" s="4"/>
      <c r="I19" s="4"/>
      <c r="J19" s="4"/>
      <c r="K19" s="4"/>
      <c r="L19" s="4"/>
      <c r="M19" s="137"/>
      <c r="N19" s="136"/>
      <c r="O19" s="292"/>
      <c r="P19" s="4"/>
      <c r="Q19" s="254"/>
      <c r="R19" s="254"/>
      <c r="S19" s="254"/>
      <c r="T19" s="254"/>
      <c r="U19" s="254"/>
    </row>
    <row r="20" spans="1:21" ht="13" hidden="1" x14ac:dyDescent="0.25">
      <c r="A20" s="31"/>
      <c r="B20" s="7"/>
      <c r="C20" s="43"/>
      <c r="D20" s="35"/>
      <c r="E20" s="981"/>
      <c r="F20" s="982"/>
      <c r="G20" s="982"/>
      <c r="H20" s="548"/>
      <c r="I20" s="962"/>
      <c r="J20" s="965"/>
      <c r="K20" s="965"/>
      <c r="L20" s="965"/>
      <c r="M20" s="966"/>
      <c r="N20" s="967"/>
      <c r="O20" s="292"/>
      <c r="P20" s="4"/>
      <c r="Q20" s="254"/>
      <c r="R20" s="254"/>
      <c r="S20" s="254"/>
      <c r="T20" s="254"/>
      <c r="U20" s="254"/>
    </row>
    <row r="21" spans="1:21" ht="4.9000000000000004" hidden="1" customHeight="1" x14ac:dyDescent="0.25">
      <c r="A21" s="31"/>
      <c r="B21" s="7"/>
      <c r="C21" s="43"/>
      <c r="D21" s="35"/>
      <c r="E21" s="35"/>
      <c r="F21" s="35"/>
      <c r="G21" s="35"/>
      <c r="H21" s="4"/>
      <c r="I21" s="4"/>
      <c r="J21" s="4"/>
      <c r="K21" s="4"/>
      <c r="L21" s="4"/>
      <c r="M21" s="137"/>
      <c r="N21" s="136"/>
      <c r="O21" s="292"/>
      <c r="P21" s="4"/>
      <c r="Q21" s="254"/>
      <c r="R21" s="254"/>
      <c r="S21" s="254"/>
      <c r="T21" s="254"/>
      <c r="U21" s="254"/>
    </row>
    <row r="22" spans="1:21" ht="91" hidden="1" customHeight="1" x14ac:dyDescent="0.25">
      <c r="A22" s="31"/>
      <c r="B22" s="7"/>
      <c r="C22" s="43"/>
      <c r="D22" s="35"/>
      <c r="E22" s="981"/>
      <c r="F22" s="982"/>
      <c r="G22" s="982"/>
      <c r="H22" s="548"/>
      <c r="I22" s="960"/>
      <c r="J22" s="961"/>
      <c r="K22" s="984"/>
      <c r="L22" s="913"/>
      <c r="M22" s="4"/>
      <c r="N22" s="4"/>
      <c r="O22" s="294"/>
      <c r="P22" s="56"/>
      <c r="Q22" s="254"/>
      <c r="R22" s="254"/>
      <c r="S22" s="254"/>
      <c r="T22" s="254"/>
      <c r="U22" s="254"/>
    </row>
    <row r="23" spans="1:21" ht="1" customHeight="1" x14ac:dyDescent="0.25">
      <c r="A23" s="31"/>
      <c r="B23" s="7"/>
      <c r="C23" s="43"/>
      <c r="D23" s="43"/>
      <c r="E23" s="4"/>
      <c r="F23" s="4"/>
      <c r="G23" s="4"/>
      <c r="H23" s="4"/>
      <c r="I23" s="4"/>
      <c r="J23" s="4"/>
      <c r="K23" s="4"/>
      <c r="L23" s="4"/>
      <c r="M23" s="4"/>
      <c r="N23" s="4"/>
      <c r="O23" s="292"/>
      <c r="P23" s="4"/>
      <c r="Q23" s="254"/>
      <c r="R23" s="254"/>
      <c r="S23" s="254"/>
      <c r="T23" s="254"/>
      <c r="U23" s="254"/>
    </row>
    <row r="24" spans="1:21" ht="25.5" customHeight="1" x14ac:dyDescent="0.25">
      <c r="A24" s="161">
        <v>2</v>
      </c>
      <c r="B24" s="7"/>
      <c r="C24" s="819">
        <v>2</v>
      </c>
      <c r="D24" s="983" t="str">
        <f>Translations!$B$179</f>
        <v>Säännellyn yhteisön tiedot</v>
      </c>
      <c r="E24" s="983"/>
      <c r="F24" s="983"/>
      <c r="G24" s="983"/>
      <c r="H24" s="983"/>
      <c r="I24" s="983"/>
      <c r="J24" s="983"/>
      <c r="K24" s="983"/>
      <c r="L24" s="983"/>
      <c r="M24" s="983"/>
      <c r="N24" s="983"/>
      <c r="O24" s="292"/>
      <c r="P24" s="4"/>
      <c r="Q24" s="266" t="str">
        <f>D24</f>
        <v>Säännellyn yhteisön tiedot</v>
      </c>
      <c r="R24" s="254"/>
      <c r="S24" s="254"/>
      <c r="T24" s="254"/>
      <c r="U24" s="254"/>
    </row>
    <row r="25" spans="1:21" ht="5.15" customHeight="1" x14ac:dyDescent="0.25">
      <c r="A25" s="31"/>
      <c r="B25" s="7"/>
      <c r="C25" s="43"/>
      <c r="D25" s="34"/>
      <c r="E25" s="133"/>
      <c r="F25" s="133"/>
      <c r="G25" s="133"/>
      <c r="H25" s="133"/>
      <c r="I25" s="133"/>
      <c r="J25" s="133"/>
      <c r="K25" s="133"/>
      <c r="L25" s="133"/>
      <c r="M25" s="4"/>
      <c r="N25" s="4"/>
      <c r="O25" s="292"/>
      <c r="P25" s="4"/>
      <c r="Q25" s="254"/>
      <c r="R25" s="254"/>
      <c r="S25" s="254"/>
      <c r="T25" s="254"/>
      <c r="U25" s="254"/>
    </row>
    <row r="26" spans="1:21" ht="12.75" customHeight="1" x14ac:dyDescent="0.25">
      <c r="A26" s="115"/>
      <c r="B26" s="7"/>
      <c r="C26" s="138"/>
      <c r="D26" s="139" t="s">
        <v>5</v>
      </c>
      <c r="E26" s="139" t="str">
        <f>Translations!$B$180</f>
        <v>Säännellyn yhteisön nimi, y-tunnus ja osoite</v>
      </c>
      <c r="F26" s="140"/>
      <c r="G26" s="140"/>
      <c r="H26" s="140"/>
      <c r="I26" s="21"/>
      <c r="J26" s="141"/>
      <c r="K26" s="21"/>
      <c r="L26" s="21"/>
      <c r="M26" s="21"/>
      <c r="N26" s="21"/>
      <c r="O26" s="292"/>
      <c r="P26" s="4"/>
      <c r="Q26" s="254"/>
      <c r="R26" s="254"/>
      <c r="S26" s="254"/>
      <c r="T26" s="254"/>
      <c r="U26" s="254"/>
    </row>
    <row r="27" spans="1:21" ht="4.9000000000000004" customHeight="1" x14ac:dyDescent="0.25">
      <c r="A27" s="31"/>
      <c r="B27" s="7"/>
      <c r="C27" s="43"/>
      <c r="D27" s="43"/>
      <c r="E27" s="142"/>
      <c r="F27" s="142"/>
      <c r="G27" s="142"/>
      <c r="H27" s="142"/>
      <c r="I27" s="4"/>
      <c r="J27" s="4"/>
      <c r="K27" s="4"/>
      <c r="L27" s="4"/>
      <c r="M27" s="143"/>
      <c r="N27" s="4"/>
      <c r="O27" s="292"/>
      <c r="P27" s="4"/>
      <c r="Q27" s="254"/>
      <c r="R27" s="254"/>
      <c r="S27" s="254"/>
      <c r="T27" s="254"/>
      <c r="U27" s="254"/>
    </row>
    <row r="28" spans="1:21" x14ac:dyDescent="0.25">
      <c r="A28" s="31"/>
      <c r="B28" s="7"/>
      <c r="C28" s="43"/>
      <c r="D28" s="144" t="s">
        <v>15</v>
      </c>
      <c r="E28" s="951" t="str">
        <f>Translations!$B$181</f>
        <v>Säännellyn yhteisön nimi:</v>
      </c>
      <c r="F28" s="952"/>
      <c r="G28" s="952"/>
      <c r="H28" s="548"/>
      <c r="I28" s="968"/>
      <c r="J28" s="969"/>
      <c r="K28" s="969"/>
      <c r="L28" s="969"/>
      <c r="M28" s="969"/>
      <c r="N28" s="970"/>
      <c r="O28" s="292"/>
      <c r="P28" s="4"/>
      <c r="Q28" s="254"/>
      <c r="R28" s="254"/>
      <c r="S28" s="254"/>
      <c r="T28" s="254"/>
      <c r="U28" s="254"/>
    </row>
    <row r="29" spans="1:21" ht="12.75" customHeight="1" x14ac:dyDescent="0.25">
      <c r="A29" s="31"/>
      <c r="B29" s="7"/>
      <c r="C29" s="43"/>
      <c r="D29" s="144" t="s">
        <v>16</v>
      </c>
      <c r="E29" s="951" t="str">
        <f>Translations!$B$182</f>
        <v>Säännellyn yhteisön y-tunnus:</v>
      </c>
      <c r="F29" s="952"/>
      <c r="G29" s="952"/>
      <c r="H29" s="548"/>
      <c r="I29" s="968"/>
      <c r="J29" s="969"/>
      <c r="K29" s="969"/>
      <c r="L29" s="969"/>
      <c r="M29" s="969"/>
      <c r="N29" s="970"/>
      <c r="O29" s="292"/>
      <c r="P29" s="4"/>
      <c r="Q29" s="254"/>
      <c r="R29" s="254"/>
      <c r="S29" s="254"/>
      <c r="T29" s="254"/>
      <c r="U29" s="254"/>
    </row>
    <row r="30" spans="1:21" ht="25" customHeight="1" x14ac:dyDescent="0.25">
      <c r="A30" s="31"/>
      <c r="B30" s="7"/>
      <c r="C30" s="43"/>
      <c r="D30" s="144"/>
      <c r="E30" s="971" t="str">
        <f>Translations!$B$183</f>
        <v>Säännellyn yhteisön yhteystiedot ja yhteyshenkilön tiedot tulee ilmoittaa myös suoraan ETS2-asiointijärjestelmässä. Energiavirasto on ensisijaisesti yhteydessä asiointijärjestelmään ilmoitettuihin yhteyshenkilöihin.</v>
      </c>
      <c r="F30" s="971"/>
      <c r="G30" s="971"/>
      <c r="H30" s="971"/>
      <c r="I30" s="971"/>
      <c r="J30" s="971"/>
      <c r="K30" s="971"/>
      <c r="L30" s="971"/>
      <c r="M30" s="971"/>
      <c r="N30" s="971"/>
      <c r="O30" s="292"/>
      <c r="P30" s="4"/>
      <c r="Q30" s="254"/>
      <c r="R30" s="254"/>
      <c r="S30" s="254"/>
      <c r="T30" s="254"/>
      <c r="U30" s="254"/>
    </row>
    <row r="31" spans="1:21" ht="10" hidden="1" customHeight="1" x14ac:dyDescent="0.25">
      <c r="A31" s="31"/>
      <c r="B31" s="7"/>
      <c r="C31" s="43"/>
      <c r="D31" s="43"/>
      <c r="E31" s="985">
        <f>Translations!$B$184</f>
        <v>0</v>
      </c>
      <c r="F31" s="986"/>
      <c r="G31" s="986"/>
      <c r="H31" s="986"/>
      <c r="I31" s="986"/>
      <c r="J31" s="986"/>
      <c r="K31" s="986"/>
      <c r="L31" s="986"/>
      <c r="M31" s="986"/>
      <c r="N31" s="986"/>
      <c r="O31" s="292"/>
      <c r="P31" s="4"/>
      <c r="Q31" s="254"/>
      <c r="R31" s="254"/>
      <c r="S31" s="254"/>
      <c r="T31" s="254"/>
      <c r="U31" s="254"/>
    </row>
    <row r="32" spans="1:21" ht="5.15" customHeight="1" x14ac:dyDescent="0.25">
      <c r="A32" s="31"/>
      <c r="B32" s="7"/>
      <c r="C32" s="43"/>
      <c r="D32" s="43"/>
      <c r="E32" s="142"/>
      <c r="F32" s="142"/>
      <c r="G32" s="142"/>
      <c r="H32" s="142"/>
      <c r="I32" s="7"/>
      <c r="J32" s="7"/>
      <c r="K32" s="7"/>
      <c r="L32" s="7"/>
      <c r="M32" s="7"/>
      <c r="N32" s="7"/>
      <c r="O32" s="292"/>
      <c r="P32" s="4"/>
      <c r="Q32" s="254"/>
      <c r="R32" s="254"/>
      <c r="S32" s="254"/>
      <c r="T32" s="254"/>
      <c r="U32" s="254"/>
    </row>
    <row r="33" spans="1:21" ht="12.75" customHeight="1" x14ac:dyDescent="0.25">
      <c r="A33" s="31"/>
      <c r="B33" s="7"/>
      <c r="C33" s="43"/>
      <c r="D33" s="144" t="s">
        <v>17</v>
      </c>
      <c r="E33" s="951" t="str">
        <f>Translations!$B$185</f>
        <v>Valmisteverovelvollisuuden peruste:</v>
      </c>
      <c r="F33" s="952"/>
      <c r="G33" s="952"/>
      <c r="H33" s="548"/>
      <c r="I33" s="953"/>
      <c r="J33" s="954"/>
      <c r="K33" s="954"/>
      <c r="L33" s="954"/>
      <c r="M33" s="954"/>
      <c r="N33" s="955"/>
      <c r="O33" s="292"/>
      <c r="P33" s="4"/>
      <c r="Q33" s="254"/>
      <c r="R33" s="254"/>
      <c r="S33" s="254"/>
      <c r="T33" s="254"/>
      <c r="U33" s="254"/>
    </row>
    <row r="34" spans="1:21" ht="25.5" customHeight="1" x14ac:dyDescent="0.25">
      <c r="A34" s="31"/>
      <c r="B34" s="7"/>
      <c r="C34" s="43"/>
      <c r="D34" s="43"/>
      <c r="E34" s="972" t="str">
        <f>Translations!$B$186</f>
        <v xml:space="preserve">Ilmoita valmisteverotusta koskevan lain 182/2010 mukainen peruste tai perusteet verovelvollisuudelle. Esim. valtuutettu varastonpitäjä tai kaasun rekisteröity käyttäjä. </v>
      </c>
      <c r="F34" s="972"/>
      <c r="G34" s="972"/>
      <c r="H34" s="972"/>
      <c r="I34" s="972"/>
      <c r="J34" s="972"/>
      <c r="K34" s="972"/>
      <c r="L34" s="972"/>
      <c r="M34" s="972"/>
      <c r="N34" s="972"/>
      <c r="O34" s="292"/>
      <c r="P34" s="4"/>
      <c r="Q34" s="254"/>
      <c r="R34" s="254"/>
      <c r="S34" s="254"/>
      <c r="T34" s="254"/>
      <c r="U34" s="254"/>
    </row>
    <row r="35" spans="1:21" ht="5.15" customHeight="1" x14ac:dyDescent="0.25">
      <c r="A35" s="31"/>
      <c r="B35" s="7"/>
      <c r="C35" s="43"/>
      <c r="D35" s="43"/>
      <c r="E35" s="4"/>
      <c r="F35" s="4"/>
      <c r="G35" s="4"/>
      <c r="H35" s="4"/>
      <c r="I35" s="4"/>
      <c r="J35" s="4"/>
      <c r="K35" s="4"/>
      <c r="L35" s="4"/>
      <c r="M35" s="4"/>
      <c r="N35" s="4"/>
      <c r="O35" s="292"/>
      <c r="P35" s="4"/>
      <c r="Q35" s="254"/>
      <c r="R35" s="254"/>
      <c r="S35" s="254"/>
      <c r="T35" s="254"/>
      <c r="U35" s="254"/>
    </row>
    <row r="36" spans="1:21" ht="13" x14ac:dyDescent="0.3">
      <c r="A36" s="31"/>
      <c r="B36" s="7"/>
      <c r="C36" s="43"/>
      <c r="D36" s="145" t="s">
        <v>6</v>
      </c>
      <c r="E36" s="979" t="str">
        <f>Translations!$B$187</f>
        <v>Säännellyn yhteisön osoite:</v>
      </c>
      <c r="F36" s="980"/>
      <c r="G36" s="980"/>
      <c r="H36" s="980"/>
      <c r="I36" s="980"/>
      <c r="J36" s="980"/>
      <c r="K36" s="4"/>
      <c r="L36" s="4"/>
      <c r="M36" s="4"/>
      <c r="N36" s="4"/>
      <c r="O36" s="292"/>
      <c r="P36" s="4"/>
      <c r="Q36" s="254"/>
      <c r="R36" s="254"/>
      <c r="S36" s="254"/>
      <c r="T36" s="254"/>
      <c r="U36" s="254"/>
    </row>
    <row r="37" spans="1:21" ht="5.15" customHeight="1" x14ac:dyDescent="0.25">
      <c r="A37" s="31"/>
      <c r="B37" s="7"/>
      <c r="C37" s="43"/>
      <c r="D37" s="43"/>
      <c r="E37" s="4"/>
      <c r="F37" s="4"/>
      <c r="G37" s="4"/>
      <c r="H37" s="4"/>
      <c r="I37" s="4"/>
      <c r="J37" s="4"/>
      <c r="K37" s="4"/>
      <c r="L37" s="4"/>
      <c r="M37" s="4"/>
      <c r="N37" s="4"/>
      <c r="O37" s="292"/>
      <c r="P37" s="4"/>
      <c r="Q37" s="254"/>
      <c r="R37" s="254"/>
      <c r="S37" s="254"/>
      <c r="T37" s="254"/>
      <c r="U37" s="254"/>
    </row>
    <row r="38" spans="1:21" x14ac:dyDescent="0.25">
      <c r="A38" s="31"/>
      <c r="B38" s="7"/>
      <c r="C38" s="43"/>
      <c r="D38" s="144" t="s">
        <v>15</v>
      </c>
      <c r="E38" s="951" t="str">
        <f>Translations!$B$56</f>
        <v>Osoiterivi 1:</v>
      </c>
      <c r="F38" s="952"/>
      <c r="G38" s="952"/>
      <c r="H38" s="548"/>
      <c r="I38" s="953"/>
      <c r="J38" s="954"/>
      <c r="K38" s="954"/>
      <c r="L38" s="954"/>
      <c r="M38" s="954"/>
      <c r="N38" s="955"/>
      <c r="O38" s="292"/>
      <c r="P38" s="4"/>
      <c r="Q38" s="254"/>
      <c r="R38" s="254"/>
      <c r="S38" s="254"/>
      <c r="T38" s="254"/>
      <c r="U38" s="254"/>
    </row>
    <row r="39" spans="1:21" x14ac:dyDescent="0.25">
      <c r="A39" s="31"/>
      <c r="B39" s="7"/>
      <c r="C39" s="43"/>
      <c r="D39" s="144" t="s">
        <v>16</v>
      </c>
      <c r="E39" s="951" t="str">
        <f>Translations!$B$57</f>
        <v>Osoiterivi 2:</v>
      </c>
      <c r="F39" s="952"/>
      <c r="G39" s="952"/>
      <c r="H39" s="548"/>
      <c r="I39" s="953"/>
      <c r="J39" s="954"/>
      <c r="K39" s="954"/>
      <c r="L39" s="954"/>
      <c r="M39" s="954"/>
      <c r="N39" s="955"/>
      <c r="O39" s="292"/>
      <c r="P39" s="4"/>
      <c r="Q39" s="254"/>
      <c r="R39" s="254"/>
      <c r="S39" s="254"/>
      <c r="T39" s="254"/>
      <c r="U39" s="254"/>
    </row>
    <row r="40" spans="1:21" x14ac:dyDescent="0.25">
      <c r="A40" s="31"/>
      <c r="B40" s="7"/>
      <c r="C40" s="43"/>
      <c r="D40" s="144" t="s">
        <v>17</v>
      </c>
      <c r="E40" s="951" t="str">
        <f>Translations!$B$58</f>
        <v>Kaupunki:</v>
      </c>
      <c r="F40" s="952"/>
      <c r="G40" s="952"/>
      <c r="H40" s="548"/>
      <c r="I40" s="953"/>
      <c r="J40" s="954"/>
      <c r="K40" s="954"/>
      <c r="L40" s="954"/>
      <c r="M40" s="954"/>
      <c r="N40" s="955"/>
      <c r="O40" s="292"/>
      <c r="P40" s="4"/>
      <c r="Q40" s="254"/>
      <c r="R40" s="254"/>
      <c r="S40" s="254"/>
      <c r="T40" s="254"/>
      <c r="U40" s="254"/>
    </row>
    <row r="41" spans="1:21" x14ac:dyDescent="0.25">
      <c r="A41" s="31"/>
      <c r="B41" s="7"/>
      <c r="C41" s="43"/>
      <c r="D41" s="144" t="s">
        <v>18</v>
      </c>
      <c r="E41" s="951" t="str">
        <f>Translations!$B$59</f>
        <v>Maakunta/alue:</v>
      </c>
      <c r="F41" s="952"/>
      <c r="G41" s="952"/>
      <c r="H41" s="548"/>
      <c r="I41" s="953"/>
      <c r="J41" s="954"/>
      <c r="K41" s="954"/>
      <c r="L41" s="954"/>
      <c r="M41" s="954"/>
      <c r="N41" s="955"/>
      <c r="O41" s="292"/>
      <c r="P41" s="4"/>
      <c r="Q41" s="254"/>
      <c r="R41" s="254"/>
      <c r="S41" s="254"/>
      <c r="T41" s="254"/>
      <c r="U41" s="254"/>
    </row>
    <row r="42" spans="1:21" x14ac:dyDescent="0.25">
      <c r="A42" s="31"/>
      <c r="B42" s="7"/>
      <c r="C42" s="43"/>
      <c r="D42" s="144" t="s">
        <v>19</v>
      </c>
      <c r="E42" s="951" t="str">
        <f>Translations!$B$60</f>
        <v>Postinumero:</v>
      </c>
      <c r="F42" s="952"/>
      <c r="G42" s="952"/>
      <c r="H42" s="548"/>
      <c r="I42" s="953"/>
      <c r="J42" s="954"/>
      <c r="K42" s="954"/>
      <c r="L42" s="954"/>
      <c r="M42" s="954"/>
      <c r="N42" s="955"/>
      <c r="O42" s="292"/>
      <c r="P42" s="4"/>
      <c r="Q42" s="254"/>
      <c r="R42" s="254"/>
      <c r="S42" s="254"/>
      <c r="T42" s="254"/>
      <c r="U42" s="254"/>
    </row>
    <row r="43" spans="1:21" x14ac:dyDescent="0.25">
      <c r="A43" s="31"/>
      <c r="B43" s="7"/>
      <c r="C43" s="43"/>
      <c r="D43" s="144" t="s">
        <v>20</v>
      </c>
      <c r="E43" s="951" t="str">
        <f>Translations!$B$61</f>
        <v>Maa:</v>
      </c>
      <c r="F43" s="952"/>
      <c r="G43" s="952"/>
      <c r="H43" s="548"/>
      <c r="I43" s="953"/>
      <c r="J43" s="954"/>
      <c r="K43" s="954"/>
      <c r="L43" s="954"/>
      <c r="M43" s="954"/>
      <c r="N43" s="955"/>
      <c r="O43" s="292"/>
      <c r="P43" s="4"/>
      <c r="Q43" s="254"/>
      <c r="R43" s="254"/>
      <c r="S43" s="254"/>
      <c r="T43" s="254"/>
      <c r="U43" s="254"/>
    </row>
    <row r="44" spans="1:21" x14ac:dyDescent="0.25">
      <c r="A44" s="31"/>
      <c r="B44" s="7"/>
      <c r="C44" s="43"/>
      <c r="D44" s="43"/>
      <c r="E44" s="4"/>
      <c r="F44" s="4"/>
      <c r="G44" s="4"/>
      <c r="H44" s="4"/>
      <c r="I44" s="4"/>
      <c r="J44" s="4"/>
      <c r="K44" s="4"/>
      <c r="L44" s="4"/>
      <c r="M44" s="4"/>
      <c r="N44" s="4"/>
      <c r="O44" s="292"/>
      <c r="P44" s="4"/>
      <c r="Q44" s="254"/>
      <c r="R44" s="254"/>
      <c r="S44" s="254"/>
      <c r="T44" s="254"/>
      <c r="U44" s="254"/>
    </row>
    <row r="45" spans="1:21" ht="15.5" x14ac:dyDescent="0.35">
      <c r="A45" s="161">
        <v>3</v>
      </c>
      <c r="B45" s="7"/>
      <c r="C45" s="42">
        <v>3</v>
      </c>
      <c r="D45" s="996" t="str">
        <f>Translations!$B$2</f>
        <v xml:space="preserve">Yhteystiedot </v>
      </c>
      <c r="E45" s="996"/>
      <c r="F45" s="996"/>
      <c r="G45" s="996"/>
      <c r="H45" s="996"/>
      <c r="I45" s="996"/>
      <c r="J45" s="996"/>
      <c r="K45" s="996"/>
      <c r="L45" s="996"/>
      <c r="M45" s="996"/>
      <c r="N45" s="996"/>
      <c r="O45" s="292"/>
      <c r="P45" s="4"/>
      <c r="Q45" s="266" t="str">
        <f>D45</f>
        <v xml:space="preserve">Yhteystiedot </v>
      </c>
      <c r="R45" s="254"/>
      <c r="S45" s="254"/>
      <c r="T45" s="254"/>
      <c r="U45" s="254"/>
    </row>
    <row r="46" spans="1:21" ht="5.15" customHeight="1" x14ac:dyDescent="0.25">
      <c r="A46" s="31"/>
      <c r="B46" s="7"/>
      <c r="C46" s="43"/>
      <c r="D46" s="43"/>
      <c r="E46" s="4"/>
      <c r="F46" s="4"/>
      <c r="G46" s="4"/>
      <c r="H46" s="4"/>
      <c r="I46" s="4"/>
      <c r="J46" s="4"/>
      <c r="K46" s="4"/>
      <c r="L46" s="4"/>
      <c r="M46" s="4"/>
      <c r="N46" s="4"/>
      <c r="O46" s="292"/>
      <c r="P46" s="4"/>
      <c r="Q46" s="254"/>
      <c r="R46" s="254"/>
      <c r="S46" s="254"/>
      <c r="T46" s="254"/>
      <c r="U46" s="254"/>
    </row>
    <row r="47" spans="1:21" ht="13" x14ac:dyDescent="0.25">
      <c r="A47" s="31"/>
      <c r="B47" s="7"/>
      <c r="C47" s="43"/>
      <c r="D47" s="43"/>
      <c r="E47" s="1033" t="str">
        <f>Translations!$B$62</f>
        <v>Yhteyshenkilö:</v>
      </c>
      <c r="F47" s="1033"/>
      <c r="G47" s="1033"/>
      <c r="H47" s="1033"/>
      <c r="I47" s="1033"/>
      <c r="J47" s="1033"/>
      <c r="K47" s="1033"/>
      <c r="L47" s="1033"/>
      <c r="M47" s="4"/>
      <c r="N47" s="4"/>
      <c r="O47" s="292"/>
      <c r="P47" s="4"/>
      <c r="Q47" s="254"/>
      <c r="R47" s="254"/>
      <c r="S47" s="254"/>
      <c r="T47" s="254"/>
      <c r="U47" s="254"/>
    </row>
    <row r="48" spans="1:21" ht="24.75" customHeight="1" x14ac:dyDescent="0.25">
      <c r="A48" s="31"/>
      <c r="B48" s="7"/>
      <c r="C48" s="43"/>
      <c r="D48" s="61"/>
      <c r="E48" s="971" t="str">
        <f>Translations!$B$188</f>
        <v>Säännellyn yhteisön yhteystiedot ja yhteyshenkilön tiedot tulee ilmoittaa suoraan ETS2-asiointijärjestelmässä. Energiavirasto on ensisijaisesti yhteydessä asiointijärjestelmään ilmoitettuihin yhteyshenkilöihin.</v>
      </c>
      <c r="F48" s="971"/>
      <c r="G48" s="971"/>
      <c r="H48" s="971"/>
      <c r="I48" s="971"/>
      <c r="J48" s="971"/>
      <c r="K48" s="971"/>
      <c r="L48" s="971"/>
      <c r="M48" s="971"/>
      <c r="N48" s="971"/>
      <c r="O48" s="295"/>
      <c r="P48" s="4"/>
      <c r="Q48" s="254"/>
      <c r="R48" s="254"/>
      <c r="S48" s="254"/>
      <c r="T48" s="254"/>
      <c r="U48" s="254"/>
    </row>
    <row r="49" spans="1:21" ht="4.9000000000000004" customHeight="1" x14ac:dyDescent="0.25">
      <c r="A49" s="31"/>
      <c r="B49" s="7"/>
      <c r="C49" s="43"/>
      <c r="D49" s="35"/>
      <c r="E49" s="44"/>
      <c r="F49" s="35"/>
      <c r="G49" s="35"/>
      <c r="H49" s="4"/>
      <c r="I49" s="19"/>
      <c r="J49" s="4"/>
      <c r="K49" s="4"/>
      <c r="L49" s="4"/>
      <c r="M49" s="4"/>
      <c r="N49" s="4"/>
      <c r="O49" s="292"/>
      <c r="P49" s="4"/>
      <c r="Q49" s="254"/>
      <c r="R49" s="254"/>
      <c r="S49" s="254"/>
      <c r="T49" s="254"/>
      <c r="U49" s="254"/>
    </row>
    <row r="50" spans="1:21" ht="13" x14ac:dyDescent="0.25">
      <c r="A50" s="31"/>
      <c r="B50" s="7"/>
      <c r="C50" s="43"/>
      <c r="D50" s="35" t="s">
        <v>5</v>
      </c>
      <c r="E50" s="549" t="str">
        <f>Translations!$B$63</f>
        <v>Ensisijainen yhteyshenkilö:</v>
      </c>
      <c r="F50" s="549"/>
      <c r="G50" s="550"/>
      <c r="H50" s="548"/>
      <c r="I50" s="1037"/>
      <c r="J50" s="1037"/>
      <c r="K50" s="1037"/>
      <c r="L50" s="1037"/>
      <c r="M50" s="1037"/>
      <c r="N50" s="1037"/>
      <c r="O50" s="292"/>
      <c r="P50" s="4"/>
      <c r="Q50" s="254"/>
      <c r="R50" s="254"/>
      <c r="S50" s="254"/>
      <c r="T50" s="254"/>
      <c r="U50" s="254"/>
    </row>
    <row r="51" spans="1:21" ht="13" x14ac:dyDescent="0.25">
      <c r="A51" s="31"/>
      <c r="B51" s="7"/>
      <c r="C51" s="43"/>
      <c r="D51" s="43"/>
      <c r="E51" s="4"/>
      <c r="F51" s="4"/>
      <c r="G51" s="550" t="str">
        <f>Translations!$B$65</f>
        <v>Etunimi:</v>
      </c>
      <c r="H51" s="548"/>
      <c r="I51" s="1038"/>
      <c r="J51" s="1039"/>
      <c r="K51" s="1039"/>
      <c r="L51" s="1039"/>
      <c r="M51" s="1039"/>
      <c r="N51" s="1040"/>
      <c r="O51" s="292"/>
      <c r="P51" s="4"/>
      <c r="Q51" s="254"/>
      <c r="R51" s="254"/>
      <c r="S51" s="254"/>
      <c r="T51" s="254"/>
      <c r="U51" s="254"/>
    </row>
    <row r="52" spans="1:21" ht="13" x14ac:dyDescent="0.25">
      <c r="A52" s="31"/>
      <c r="B52" s="7"/>
      <c r="C52" s="43"/>
      <c r="D52" s="43"/>
      <c r="E52" s="4"/>
      <c r="F52" s="4"/>
      <c r="G52" s="550" t="str">
        <f>Translations!$B$66</f>
        <v>Sukunimi:</v>
      </c>
      <c r="H52" s="548"/>
      <c r="I52" s="953"/>
      <c r="J52" s="954"/>
      <c r="K52" s="954"/>
      <c r="L52" s="954"/>
      <c r="M52" s="954"/>
      <c r="N52" s="955"/>
      <c r="O52" s="288"/>
      <c r="P52" s="21"/>
      <c r="Q52" s="254"/>
      <c r="R52" s="254"/>
      <c r="S52" s="254"/>
      <c r="T52" s="254"/>
      <c r="U52" s="254"/>
    </row>
    <row r="53" spans="1:21" ht="13" x14ac:dyDescent="0.25">
      <c r="A53" s="31"/>
      <c r="B53" s="7"/>
      <c r="C53" s="43"/>
      <c r="D53" s="43"/>
      <c r="E53" s="4"/>
      <c r="F53" s="4"/>
      <c r="G53" s="550" t="str">
        <f>Translations!$B$67</f>
        <v>Tehtävänimike:</v>
      </c>
      <c r="H53" s="548"/>
      <c r="I53" s="953"/>
      <c r="J53" s="954"/>
      <c r="K53" s="954"/>
      <c r="L53" s="954"/>
      <c r="M53" s="954"/>
      <c r="N53" s="955"/>
      <c r="O53" s="292"/>
      <c r="P53" s="4"/>
      <c r="Q53" s="254"/>
      <c r="R53" s="254"/>
      <c r="S53" s="254"/>
      <c r="T53" s="254"/>
      <c r="U53" s="254"/>
    </row>
    <row r="54" spans="1:21" ht="13" x14ac:dyDescent="0.25">
      <c r="A54" s="31"/>
      <c r="B54" s="7"/>
      <c r="C54" s="43"/>
      <c r="D54" s="43"/>
      <c r="E54" s="4"/>
      <c r="F54" s="4"/>
      <c r="G54" s="19" t="str">
        <f>Translations!$B$189</f>
        <v>Organisaation nimi (jos eri kuin säännelty yhteisö):</v>
      </c>
      <c r="H54" s="7"/>
      <c r="I54" s="4"/>
      <c r="J54" s="4"/>
      <c r="K54" s="4"/>
      <c r="L54" s="4"/>
      <c r="M54" s="4"/>
      <c r="N54" s="4"/>
      <c r="O54" s="292"/>
      <c r="P54" s="4"/>
      <c r="Q54" s="254"/>
      <c r="R54" s="254"/>
      <c r="S54" s="254"/>
      <c r="T54" s="254"/>
      <c r="U54" s="254"/>
    </row>
    <row r="55" spans="1:21" ht="13" x14ac:dyDescent="0.25">
      <c r="A55" s="31"/>
      <c r="B55" s="7"/>
      <c r="C55" s="43"/>
      <c r="D55" s="43"/>
      <c r="E55" s="4"/>
      <c r="F55" s="4"/>
      <c r="G55" s="19"/>
      <c r="H55" s="4"/>
      <c r="I55" s="953"/>
      <c r="J55" s="954"/>
      <c r="K55" s="954"/>
      <c r="L55" s="954"/>
      <c r="M55" s="954"/>
      <c r="N55" s="955"/>
      <c r="O55" s="295"/>
      <c r="P55" s="4"/>
      <c r="Q55" s="254"/>
      <c r="R55" s="254"/>
      <c r="S55" s="254"/>
      <c r="T55" s="254"/>
      <c r="U55" s="254"/>
    </row>
    <row r="56" spans="1:21" ht="13" x14ac:dyDescent="0.25">
      <c r="A56" s="31"/>
      <c r="B56" s="7"/>
      <c r="C56" s="43"/>
      <c r="D56" s="43"/>
      <c r="E56" s="4"/>
      <c r="F56" s="4"/>
      <c r="G56" s="550" t="str">
        <f>Translations!$B$68</f>
        <v>Puhelinnumero:</v>
      </c>
      <c r="H56" s="548"/>
      <c r="I56" s="953"/>
      <c r="J56" s="954"/>
      <c r="K56" s="954"/>
      <c r="L56" s="954"/>
      <c r="M56" s="954"/>
      <c r="N56" s="955"/>
      <c r="O56" s="288"/>
      <c r="P56" s="21"/>
      <c r="Q56" s="254"/>
      <c r="R56" s="254"/>
      <c r="S56" s="254"/>
      <c r="T56" s="254"/>
      <c r="U56" s="254"/>
    </row>
    <row r="57" spans="1:21" ht="13" x14ac:dyDescent="0.25">
      <c r="A57" s="31"/>
      <c r="B57" s="7"/>
      <c r="C57" s="43"/>
      <c r="D57" s="43"/>
      <c r="E57" s="4"/>
      <c r="F57" s="4"/>
      <c r="G57" s="550" t="str">
        <f>Translations!$B$69</f>
        <v>Sähköpostiosoite:</v>
      </c>
      <c r="H57" s="548"/>
      <c r="I57" s="953"/>
      <c r="J57" s="954"/>
      <c r="K57" s="954"/>
      <c r="L57" s="954"/>
      <c r="M57" s="954"/>
      <c r="N57" s="955"/>
      <c r="O57" s="292"/>
      <c r="P57" s="4"/>
      <c r="Q57" s="254"/>
      <c r="R57" s="254"/>
      <c r="S57" s="254"/>
      <c r="T57" s="254"/>
      <c r="U57" s="254"/>
    </row>
    <row r="58" spans="1:21" x14ac:dyDescent="0.25">
      <c r="A58" s="31"/>
      <c r="B58" s="7"/>
      <c r="C58" s="43"/>
      <c r="D58" s="43"/>
      <c r="E58" s="800"/>
      <c r="F58" s="4"/>
      <c r="G58" s="4"/>
      <c r="H58" s="4"/>
      <c r="I58" s="4"/>
      <c r="J58" s="4"/>
      <c r="K58" s="4"/>
      <c r="L58" s="4"/>
      <c r="M58" s="4"/>
      <c r="N58" s="4"/>
      <c r="O58" s="292"/>
      <c r="P58" s="4"/>
      <c r="Q58" s="254"/>
      <c r="R58" s="254"/>
      <c r="S58" s="254"/>
      <c r="T58" s="254"/>
      <c r="U58" s="254"/>
    </row>
    <row r="59" spans="1:21" ht="13" x14ac:dyDescent="0.25">
      <c r="A59" s="31"/>
      <c r="B59" s="7"/>
      <c r="C59" s="43"/>
      <c r="D59" s="35" t="s">
        <v>6</v>
      </c>
      <c r="E59" s="549" t="str">
        <f>Translations!$B$70</f>
        <v>Vaihtoehtoinen yhteyshenkilö:</v>
      </c>
      <c r="F59" s="548"/>
      <c r="G59" s="550"/>
      <c r="H59" s="548"/>
      <c r="I59" s="1012"/>
      <c r="J59" s="1012"/>
      <c r="K59" s="1012"/>
      <c r="L59" s="1013"/>
      <c r="M59" s="1014"/>
      <c r="N59" s="1014"/>
      <c r="O59" s="292"/>
      <c r="P59" s="4"/>
      <c r="Q59" s="254"/>
      <c r="R59" s="254"/>
      <c r="S59" s="254"/>
      <c r="T59" s="254"/>
      <c r="U59" s="254"/>
    </row>
    <row r="60" spans="1:21" ht="13" x14ac:dyDescent="0.25">
      <c r="A60" s="31"/>
      <c r="B60" s="7"/>
      <c r="C60" s="43"/>
      <c r="D60" s="43"/>
      <c r="E60" s="800"/>
      <c r="F60" s="4"/>
      <c r="G60" s="550" t="str">
        <f>Translations!$B$65</f>
        <v>Etunimi:</v>
      </c>
      <c r="H60" s="548"/>
      <c r="I60" s="1015"/>
      <c r="J60" s="1016"/>
      <c r="K60" s="1016"/>
      <c r="L60" s="1017"/>
      <c r="M60" s="1018"/>
      <c r="N60" s="1019"/>
      <c r="O60" s="292"/>
      <c r="P60" s="4"/>
      <c r="Q60" s="254"/>
      <c r="R60" s="254"/>
      <c r="S60" s="254"/>
      <c r="T60" s="254"/>
      <c r="U60" s="254"/>
    </row>
    <row r="61" spans="1:21" ht="13" x14ac:dyDescent="0.25">
      <c r="A61" s="31"/>
      <c r="B61" s="7"/>
      <c r="C61" s="43"/>
      <c r="D61" s="43"/>
      <c r="E61" s="800"/>
      <c r="F61" s="4"/>
      <c r="G61" s="550" t="str">
        <f>Translations!$B$66</f>
        <v>Sukunimi:</v>
      </c>
      <c r="H61" s="548"/>
      <c r="I61" s="1002"/>
      <c r="J61" s="1003"/>
      <c r="K61" s="1003"/>
      <c r="L61" s="1004"/>
      <c r="M61" s="1005"/>
      <c r="N61" s="1006"/>
      <c r="O61" s="292"/>
      <c r="P61" s="4"/>
      <c r="Q61" s="254"/>
      <c r="R61" s="254"/>
      <c r="S61" s="254"/>
      <c r="T61" s="254"/>
      <c r="U61" s="254"/>
    </row>
    <row r="62" spans="1:21" ht="13" x14ac:dyDescent="0.25">
      <c r="A62" s="31"/>
      <c r="B62" s="7"/>
      <c r="C62" s="43"/>
      <c r="D62" s="43"/>
      <c r="E62" s="800"/>
      <c r="F62" s="4"/>
      <c r="G62" s="550" t="str">
        <f>Translations!$B$67</f>
        <v>Tehtävänimike:</v>
      </c>
      <c r="H62" s="548"/>
      <c r="I62" s="1007"/>
      <c r="J62" s="1008"/>
      <c r="K62" s="1008"/>
      <c r="L62" s="1009"/>
      <c r="M62" s="1010"/>
      <c r="N62" s="1011"/>
      <c r="O62" s="292"/>
      <c r="P62" s="4"/>
      <c r="Q62" s="254"/>
      <c r="R62" s="254"/>
      <c r="S62" s="254"/>
      <c r="T62" s="254"/>
      <c r="U62" s="254"/>
    </row>
    <row r="63" spans="1:21" ht="13" x14ac:dyDescent="0.25">
      <c r="A63" s="31"/>
      <c r="B63" s="7"/>
      <c r="C63" s="43"/>
      <c r="D63" s="43"/>
      <c r="E63" s="800"/>
      <c r="F63" s="4"/>
      <c r="G63" s="19" t="str">
        <f>Translations!$B$189</f>
        <v>Organisaation nimi (jos eri kuin säännelty yhteisö):</v>
      </c>
      <c r="H63" s="7"/>
      <c r="I63" s="4"/>
      <c r="J63" s="4"/>
      <c r="K63" s="4"/>
      <c r="L63" s="4"/>
      <c r="M63" s="4"/>
      <c r="N63" s="4"/>
      <c r="O63" s="292"/>
      <c r="P63" s="4"/>
      <c r="Q63" s="254"/>
      <c r="R63" s="254"/>
      <c r="S63" s="254"/>
      <c r="T63" s="254"/>
      <c r="U63" s="254"/>
    </row>
    <row r="64" spans="1:21" ht="13" x14ac:dyDescent="0.25">
      <c r="A64" s="31"/>
      <c r="B64" s="7"/>
      <c r="C64" s="43"/>
      <c r="D64" s="43"/>
      <c r="E64" s="800"/>
      <c r="F64" s="4"/>
      <c r="G64" s="19"/>
      <c r="H64" s="4"/>
      <c r="I64" s="1020"/>
      <c r="J64" s="1021"/>
      <c r="K64" s="1021"/>
      <c r="L64" s="1022"/>
      <c r="M64" s="1023"/>
      <c r="N64" s="1024"/>
      <c r="O64" s="295"/>
      <c r="P64" s="4"/>
      <c r="Q64" s="254"/>
      <c r="R64" s="254"/>
      <c r="S64" s="254"/>
      <c r="T64" s="254"/>
      <c r="U64" s="254"/>
    </row>
    <row r="65" spans="1:21" ht="13" x14ac:dyDescent="0.25">
      <c r="A65" s="31"/>
      <c r="B65" s="7"/>
      <c r="C65" s="43"/>
      <c r="D65" s="43"/>
      <c r="E65" s="800"/>
      <c r="F65" s="4"/>
      <c r="G65" s="550" t="str">
        <f>Translations!$B$68</f>
        <v>Puhelinnumero:</v>
      </c>
      <c r="H65" s="548"/>
      <c r="I65" s="1002"/>
      <c r="J65" s="1003"/>
      <c r="K65" s="1003"/>
      <c r="L65" s="1004"/>
      <c r="M65" s="1005"/>
      <c r="N65" s="1006"/>
      <c r="O65" s="292"/>
      <c r="P65" s="4"/>
      <c r="Q65" s="254"/>
      <c r="R65" s="254"/>
      <c r="S65" s="254"/>
      <c r="T65" s="254"/>
      <c r="U65" s="254"/>
    </row>
    <row r="66" spans="1:21" ht="13" x14ac:dyDescent="0.25">
      <c r="A66" s="31"/>
      <c r="B66" s="7"/>
      <c r="C66" s="43"/>
      <c r="D66" s="43"/>
      <c r="E66" s="800"/>
      <c r="F66" s="4"/>
      <c r="G66" s="550" t="str">
        <f>Translations!$B$69</f>
        <v>Sähköpostiosoite:</v>
      </c>
      <c r="H66" s="548"/>
      <c r="I66" s="1007"/>
      <c r="J66" s="1008"/>
      <c r="K66" s="1008"/>
      <c r="L66" s="1009"/>
      <c r="M66" s="1010"/>
      <c r="N66" s="1011"/>
      <c r="O66" s="292"/>
      <c r="P66" s="4"/>
      <c r="Q66" s="254"/>
      <c r="R66" s="254"/>
      <c r="S66" s="254"/>
      <c r="T66" s="254"/>
      <c r="U66" s="254"/>
    </row>
    <row r="67" spans="1:21" x14ac:dyDescent="0.25">
      <c r="A67" s="2"/>
      <c r="B67" s="7"/>
      <c r="C67" s="7"/>
      <c r="D67" s="7"/>
      <c r="E67" s="7"/>
      <c r="F67" s="7"/>
      <c r="G67" s="7"/>
      <c r="H67" s="7"/>
      <c r="I67" s="7"/>
      <c r="J67" s="7"/>
      <c r="K67" s="7"/>
      <c r="L67" s="7"/>
      <c r="M67" s="7"/>
      <c r="N67" s="7"/>
      <c r="O67" s="288"/>
      <c r="P67" s="21"/>
      <c r="Q67" s="259"/>
      <c r="R67" s="259"/>
      <c r="S67" s="259"/>
      <c r="T67" s="259"/>
      <c r="U67" s="259"/>
    </row>
    <row r="68" spans="1:21" ht="15.5" hidden="1" x14ac:dyDescent="0.25">
      <c r="A68" s="161">
        <v>4</v>
      </c>
      <c r="B68" s="7"/>
      <c r="C68" s="542">
        <v>4</v>
      </c>
      <c r="D68" s="542" t="str">
        <f>Translations!$B$296</f>
        <v>Tarkkailu- ja raportointitiedot</v>
      </c>
      <c r="E68" s="542"/>
      <c r="F68" s="542"/>
      <c r="G68" s="542"/>
      <c r="H68" s="542"/>
      <c r="I68" s="542"/>
      <c r="J68" s="542"/>
      <c r="K68" s="542"/>
      <c r="L68" s="542"/>
      <c r="M68" s="542"/>
      <c r="N68" s="542"/>
      <c r="O68" s="288"/>
      <c r="P68" s="21"/>
      <c r="Q68" s="266" t="str">
        <f>D68</f>
        <v>Tarkkailu- ja raportointitiedot</v>
      </c>
      <c r="R68" s="259"/>
      <c r="S68" s="259"/>
      <c r="T68" s="259"/>
      <c r="U68" s="259"/>
    </row>
    <row r="69" spans="1:21" hidden="1" x14ac:dyDescent="0.25">
      <c r="A69" s="2"/>
      <c r="B69" s="7"/>
      <c r="C69" s="7"/>
      <c r="D69" s="7"/>
      <c r="E69" s="7"/>
      <c r="F69" s="7"/>
      <c r="G69" s="7"/>
      <c r="H69" s="7"/>
      <c r="I69" s="7"/>
      <c r="J69" s="7"/>
      <c r="K69" s="7"/>
      <c r="L69" s="7"/>
      <c r="M69" s="7"/>
      <c r="N69" s="7"/>
      <c r="O69" s="288"/>
      <c r="P69" s="21"/>
      <c r="Q69" s="259"/>
      <c r="R69" s="259"/>
      <c r="S69" s="259"/>
      <c r="T69" s="259"/>
      <c r="U69" s="259"/>
    </row>
    <row r="70" spans="1:21" ht="12.75" hidden="1" customHeight="1" x14ac:dyDescent="0.3">
      <c r="A70" s="2"/>
      <c r="B70" s="615"/>
      <c r="C70" s="615"/>
      <c r="D70" s="35" t="s">
        <v>5</v>
      </c>
      <c r="E70" s="979" t="str">
        <f>Translations!$B$297</f>
        <v>Tarkkailusuunnitelma</v>
      </c>
      <c r="F70" s="979"/>
      <c r="G70" s="979"/>
      <c r="H70" s="979"/>
      <c r="I70" s="979"/>
      <c r="J70" s="979"/>
      <c r="K70" s="7"/>
      <c r="L70" s="7"/>
      <c r="M70" s="7"/>
      <c r="N70" s="7"/>
      <c r="O70" s="288"/>
      <c r="P70" s="21"/>
      <c r="Q70" s="259"/>
      <c r="R70" s="259"/>
      <c r="S70" s="259"/>
      <c r="T70" s="259"/>
      <c r="U70" s="259"/>
    </row>
    <row r="71" spans="1:21" ht="5.15" hidden="1" customHeight="1" x14ac:dyDescent="0.25">
      <c r="A71" s="2"/>
      <c r="B71" s="615"/>
      <c r="C71" s="615"/>
      <c r="D71" s="61"/>
      <c r="E71" s="7"/>
      <c r="F71" s="7"/>
      <c r="G71" s="7"/>
      <c r="H71" s="7"/>
      <c r="I71" s="7"/>
      <c r="J71" s="7"/>
      <c r="K71" s="7"/>
      <c r="L71" s="7"/>
      <c r="M71" s="7"/>
      <c r="N71" s="7"/>
      <c r="O71" s="288"/>
      <c r="P71" s="21"/>
      <c r="Q71" s="259"/>
      <c r="R71" s="259"/>
      <c r="S71" s="259"/>
      <c r="T71" s="259"/>
      <c r="U71" s="259"/>
    </row>
    <row r="72" spans="1:21" hidden="1" x14ac:dyDescent="0.25">
      <c r="A72" s="2"/>
      <c r="B72" s="615"/>
      <c r="C72" s="615"/>
      <c r="D72" s="344" t="s">
        <v>15</v>
      </c>
      <c r="E72" s="997" t="str">
        <f>Translations!$B$298</f>
        <v>Lupien myöntämisestä vastaava toimivaltainen viranomainen</v>
      </c>
      <c r="F72" s="997"/>
      <c r="G72" s="997"/>
      <c r="H72" s="998"/>
      <c r="I72" s="1041"/>
      <c r="J72" s="1042"/>
      <c r="K72" s="1042"/>
      <c r="L72" s="1042"/>
      <c r="M72" s="1042"/>
      <c r="N72" s="1043"/>
      <c r="O72" s="288"/>
      <c r="P72" s="21"/>
      <c r="Q72" s="259"/>
      <c r="R72" s="259"/>
      <c r="S72" s="259"/>
      <c r="T72" s="259"/>
      <c r="U72" s="259"/>
    </row>
    <row r="73" spans="1:21" ht="5.15" hidden="1" customHeight="1" x14ac:dyDescent="0.25">
      <c r="A73" s="2"/>
      <c r="B73" s="615"/>
      <c r="C73" s="615"/>
      <c r="D73" s="139"/>
      <c r="E73" s="35"/>
      <c r="F73" s="35"/>
      <c r="G73" s="35"/>
      <c r="H73" s="4"/>
      <c r="I73" s="35"/>
      <c r="J73" s="19"/>
      <c r="K73" s="4"/>
      <c r="L73" s="4"/>
      <c r="M73" s="4"/>
      <c r="N73" s="4"/>
      <c r="O73" s="288"/>
      <c r="P73" s="21"/>
      <c r="Q73" s="259"/>
      <c r="R73" s="259"/>
      <c r="S73" s="259"/>
      <c r="T73" s="259"/>
      <c r="U73" s="259"/>
    </row>
    <row r="74" spans="1:21" hidden="1" x14ac:dyDescent="0.25">
      <c r="A74" s="2"/>
      <c r="B74" s="615"/>
      <c r="C74" s="615"/>
      <c r="D74" s="344" t="s">
        <v>16</v>
      </c>
      <c r="E74" s="997" t="str">
        <f>Translations!$B$299</f>
        <v>Tarkkailusuunnitelman viimeisin hyväksytty versionumero</v>
      </c>
      <c r="F74" s="997"/>
      <c r="G74" s="997"/>
      <c r="H74" s="998"/>
      <c r="I74" s="1041"/>
      <c r="J74" s="1042"/>
      <c r="K74" s="1042"/>
      <c r="L74" s="1042"/>
      <c r="M74" s="1042"/>
      <c r="N74" s="1043"/>
      <c r="O74" s="288"/>
      <c r="P74" s="21"/>
      <c r="Q74" s="259"/>
      <c r="R74" s="259"/>
      <c r="S74" s="259"/>
      <c r="T74" s="259"/>
      <c r="U74" s="259"/>
    </row>
    <row r="75" spans="1:21" ht="5.15" hidden="1" customHeight="1" x14ac:dyDescent="0.25">
      <c r="A75" s="2"/>
      <c r="B75" s="615"/>
      <c r="C75" s="615"/>
      <c r="D75" s="139"/>
      <c r="E75" s="35"/>
      <c r="F75" s="35"/>
      <c r="G75" s="35"/>
      <c r="H75" s="4"/>
      <c r="I75" s="4"/>
      <c r="J75" s="4"/>
      <c r="K75" s="4"/>
      <c r="L75" s="4"/>
      <c r="M75" s="137"/>
      <c r="N75" s="136"/>
      <c r="O75" s="288"/>
      <c r="P75" s="21"/>
      <c r="Q75" s="259"/>
      <c r="R75" s="259"/>
      <c r="S75" s="259"/>
      <c r="T75" s="259"/>
      <c r="U75" s="259"/>
    </row>
    <row r="76" spans="1:21" ht="26.25" hidden="1" customHeight="1" x14ac:dyDescent="0.25">
      <c r="A76" s="2"/>
      <c r="B76" s="615"/>
      <c r="C76" s="615"/>
      <c r="D76" s="344" t="s">
        <v>17</v>
      </c>
      <c r="E76" s="997" t="str">
        <f>Translations!$B$300</f>
        <v>Onko tarkkailusuunnitelmassa tapahtunut muutoksia edelliseen vuoteen verrattuna?</v>
      </c>
      <c r="F76" s="997"/>
      <c r="G76" s="997"/>
      <c r="H76" s="998"/>
      <c r="I76" s="545"/>
      <c r="J76" s="546"/>
      <c r="K76" s="546"/>
      <c r="L76" s="546"/>
      <c r="M76" s="546"/>
      <c r="N76" s="546"/>
      <c r="O76" s="288"/>
      <c r="P76" s="21"/>
      <c r="Q76" s="259"/>
      <c r="R76" s="259"/>
      <c r="S76" s="259"/>
      <c r="T76" s="259"/>
      <c r="U76" s="259"/>
    </row>
    <row r="77" spans="1:21" ht="12.75" hidden="1" customHeight="1" x14ac:dyDescent="0.25">
      <c r="A77" s="2"/>
      <c r="B77" s="615"/>
      <c r="C77" s="615"/>
      <c r="D77" s="139"/>
      <c r="E77" s="546"/>
      <c r="F77" s="546"/>
      <c r="G77" s="546"/>
      <c r="H77" s="546"/>
      <c r="I77" s="546"/>
      <c r="J77" s="546"/>
      <c r="K77" s="546"/>
      <c r="L77" s="546"/>
      <c r="M77" s="546"/>
      <c r="N77" s="546"/>
      <c r="O77" s="288"/>
      <c r="P77" s="21"/>
      <c r="Q77" s="259"/>
      <c r="R77" s="259"/>
      <c r="S77" s="259"/>
      <c r="T77" s="259"/>
      <c r="U77" s="259"/>
    </row>
    <row r="78" spans="1:21" ht="13" hidden="1" x14ac:dyDescent="0.3">
      <c r="A78" s="2"/>
      <c r="B78" s="615"/>
      <c r="C78" s="615"/>
      <c r="D78" s="35" t="s">
        <v>6</v>
      </c>
      <c r="E78" s="979" t="str">
        <f>Translations!$B$301</f>
        <v>Vuotuisen päästöselvityksen versionumerointi</v>
      </c>
      <c r="F78" s="979"/>
      <c r="G78" s="979"/>
      <c r="H78" s="979"/>
      <c r="I78" s="979"/>
      <c r="J78" s="979"/>
      <c r="K78" s="546"/>
      <c r="L78" s="546"/>
      <c r="M78" s="546"/>
      <c r="N78" s="546"/>
      <c r="O78" s="288"/>
      <c r="P78" s="21"/>
      <c r="Q78" s="259"/>
      <c r="R78" s="259"/>
      <c r="S78" s="259"/>
      <c r="T78" s="259"/>
      <c r="U78" s="259"/>
    </row>
    <row r="79" spans="1:21" ht="5.15" hidden="1" customHeight="1" x14ac:dyDescent="0.25">
      <c r="A79" s="2"/>
      <c r="B79" s="615"/>
      <c r="C79" s="615"/>
      <c r="D79" s="188"/>
      <c r="E79" s="344"/>
      <c r="F79" s="344"/>
      <c r="G79" s="344"/>
      <c r="H79" s="344"/>
      <c r="I79" s="344"/>
      <c r="J79" s="344"/>
      <c r="K79" s="344"/>
      <c r="L79" s="344"/>
      <c r="M79" s="344"/>
      <c r="N79" s="344"/>
      <c r="O79" s="288"/>
      <c r="P79" s="21"/>
      <c r="Q79" s="259"/>
      <c r="R79" s="259"/>
      <c r="S79" s="259"/>
      <c r="T79" s="259"/>
      <c r="U79" s="259"/>
    </row>
    <row r="80" spans="1:21" hidden="1" x14ac:dyDescent="0.25">
      <c r="A80" s="2"/>
      <c r="B80" s="615"/>
      <c r="C80" s="615"/>
      <c r="D80" s="344" t="s">
        <v>15</v>
      </c>
      <c r="E80" s="997" t="str">
        <f>Translations!$B$302</f>
        <v>Tämän raportointivuoden versionumero:</v>
      </c>
      <c r="F80" s="997"/>
      <c r="G80" s="997"/>
      <c r="H80" s="998"/>
      <c r="I80" s="1047"/>
      <c r="J80" s="1048"/>
      <c r="K80" s="1048"/>
      <c r="L80" s="1048"/>
      <c r="M80" s="1048"/>
      <c r="N80" s="1049"/>
      <c r="O80" s="288"/>
      <c r="P80" s="21"/>
      <c r="Q80" s="259"/>
      <c r="R80" s="259"/>
      <c r="S80" s="259"/>
      <c r="T80" s="259"/>
      <c r="U80" s="259"/>
    </row>
    <row r="81" spans="1:17" hidden="1" x14ac:dyDescent="0.25">
      <c r="A81" s="2"/>
      <c r="B81" s="615"/>
      <c r="C81" s="615"/>
      <c r="D81" s="344" t="s">
        <v>16</v>
      </c>
      <c r="E81" s="997" t="str">
        <f>Translations!$B$303</f>
        <v>Yksilöllinen version tunniste:</v>
      </c>
      <c r="F81" s="997"/>
      <c r="G81" s="997"/>
      <c r="H81" s="998"/>
      <c r="I81" s="1034" t="str">
        <f>IF(J9="","",J9&amp;" - "&amp;IF(I80="",1,I80))</f>
        <v>2024 - 1</v>
      </c>
      <c r="J81" s="1035"/>
      <c r="K81" s="1035"/>
      <c r="L81" s="1035"/>
      <c r="M81" s="1035"/>
      <c r="N81" s="1036"/>
      <c r="O81" s="288"/>
      <c r="P81" s="21"/>
      <c r="Q81" s="259"/>
    </row>
    <row r="82" spans="1:17" ht="12.75" hidden="1" customHeight="1" x14ac:dyDescent="0.25">
      <c r="A82" s="2"/>
      <c r="B82" s="615"/>
      <c r="C82" s="615"/>
      <c r="D82" s="139"/>
      <c r="E82" s="546"/>
      <c r="F82" s="546"/>
      <c r="G82" s="546"/>
      <c r="H82" s="546"/>
      <c r="I82" s="546"/>
      <c r="J82" s="546"/>
      <c r="K82" s="546"/>
      <c r="L82" s="546"/>
      <c r="M82" s="546"/>
      <c r="N82" s="546"/>
      <c r="O82" s="288"/>
      <c r="P82" s="21"/>
      <c r="Q82" s="259"/>
    </row>
    <row r="83" spans="1:17" ht="13" hidden="1" x14ac:dyDescent="0.25">
      <c r="A83" s="2"/>
      <c r="B83" s="615"/>
      <c r="C83" s="615"/>
      <c r="D83" s="139" t="s">
        <v>7</v>
      </c>
      <c r="E83" s="1029" t="str">
        <f>Translations!$B$304</f>
        <v xml:space="preserve">Lisätiedot: 
tapa, jolla biomassan kestävyys on osoitettu; 
muut polttoainevirtaa koskevat lisätiedot. </v>
      </c>
      <c r="F83" s="1029"/>
      <c r="G83" s="1029"/>
      <c r="H83" s="1029"/>
      <c r="I83" s="1029"/>
      <c r="J83" s="1029"/>
      <c r="K83" s="1029"/>
      <c r="L83" s="1029"/>
      <c r="M83" s="1029"/>
      <c r="N83" s="1029"/>
      <c r="O83" s="288"/>
      <c r="P83" s="21"/>
      <c r="Q83" s="259"/>
    </row>
    <row r="84" spans="1:17" ht="38.25" hidden="1" customHeight="1" x14ac:dyDescent="0.25">
      <c r="A84" s="2"/>
      <c r="B84" s="615"/>
      <c r="C84" s="615"/>
      <c r="D84" s="139"/>
      <c r="E84" s="1028" t="str">
        <f>Translations!$B$305</f>
        <v>Jos yhteisön toiminnassa on tapahtunut merkityksellisiä muutoksia tai raportointikauden aikana on tapahtunut muutoksia tai väliaikaisia poikkeamia toimivaltaisen viranomaisen hyväksymään tarkkailusuunnitelmaan, mukaan lukien määrittämistasojen väliaikaiset tai pysyvät muutokset, kuvaile niitä ja perustele muutokset sekä ilmoita muutosten alkamispäivä sekä väliaikaisten muutosten alkamis- ja päättymispäivät.</v>
      </c>
      <c r="F84" s="1028"/>
      <c r="G84" s="1028"/>
      <c r="H84" s="1028"/>
      <c r="I84" s="1028"/>
      <c r="J84" s="1028"/>
      <c r="K84" s="1028"/>
      <c r="L84" s="1028"/>
      <c r="M84" s="1028"/>
      <c r="N84" s="1028"/>
      <c r="O84" s="288"/>
      <c r="P84" s="21"/>
      <c r="Q84" s="259"/>
    </row>
    <row r="85" spans="1:17" ht="25.5" hidden="1" customHeight="1" x14ac:dyDescent="0.25">
      <c r="A85" s="2"/>
      <c r="B85" s="615"/>
      <c r="C85" s="615"/>
      <c r="D85" s="327"/>
      <c r="E85" s="1056" t="str">
        <f>Translations!$B$306</f>
        <v>Huomioithan, että tässä esitettyihin muutoksiin liittyviä kommentteja ei voida pitää virallisena hakemuksena tarkkailusuunnitelman muuttamisesta. Kaikista tässä luetelluista muutoksista ja poikkeamista on ilmoitettava toimivaltaiselle viranomaiselle vakiomenettelyillä.</v>
      </c>
      <c r="F85" s="1056"/>
      <c r="G85" s="1056"/>
      <c r="H85" s="1056"/>
      <c r="I85" s="1056"/>
      <c r="J85" s="1056"/>
      <c r="K85" s="1056"/>
      <c r="L85" s="1056"/>
      <c r="M85" s="1056"/>
      <c r="N85" s="1056"/>
      <c r="O85" s="288"/>
      <c r="P85" s="21"/>
      <c r="Q85" s="259"/>
    </row>
    <row r="86" spans="1:17" ht="13" hidden="1" x14ac:dyDescent="0.25">
      <c r="A86" s="2"/>
      <c r="B86" s="615"/>
      <c r="C86" s="615"/>
      <c r="D86" s="327"/>
      <c r="E86" s="546"/>
      <c r="F86" s="546"/>
      <c r="G86" s="546"/>
      <c r="H86" s="546"/>
      <c r="I86" s="1044"/>
      <c r="J86" s="1045"/>
      <c r="K86" s="1045"/>
      <c r="L86" s="1045"/>
      <c r="M86" s="1045"/>
      <c r="N86" s="1046"/>
      <c r="O86" s="288"/>
      <c r="P86" s="21"/>
      <c r="Q86" s="259"/>
    </row>
    <row r="87" spans="1:17" ht="13" hidden="1" x14ac:dyDescent="0.25">
      <c r="A87" s="2"/>
      <c r="B87" s="615"/>
      <c r="C87" s="615"/>
      <c r="D87" s="327"/>
      <c r="E87" s="546"/>
      <c r="F87" s="546"/>
      <c r="G87" s="546"/>
      <c r="H87" s="546"/>
      <c r="I87" s="1050"/>
      <c r="J87" s="1051"/>
      <c r="K87" s="1051"/>
      <c r="L87" s="1051"/>
      <c r="M87" s="1051"/>
      <c r="N87" s="1052"/>
      <c r="O87" s="288"/>
      <c r="P87" s="21"/>
      <c r="Q87" s="259"/>
    </row>
    <row r="88" spans="1:17" ht="13" hidden="1" x14ac:dyDescent="0.25">
      <c r="A88" s="2"/>
      <c r="B88" s="615"/>
      <c r="C88" s="615"/>
      <c r="D88" s="327"/>
      <c r="E88" s="546"/>
      <c r="F88" s="546"/>
      <c r="G88" s="546"/>
      <c r="H88" s="546"/>
      <c r="I88" s="1050"/>
      <c r="J88" s="1051"/>
      <c r="K88" s="1051"/>
      <c r="L88" s="1051"/>
      <c r="M88" s="1051"/>
      <c r="N88" s="1052"/>
      <c r="O88" s="288"/>
      <c r="P88" s="21"/>
      <c r="Q88" s="259"/>
    </row>
    <row r="89" spans="1:17" ht="13" hidden="1" x14ac:dyDescent="0.25">
      <c r="A89" s="2"/>
      <c r="B89" s="615"/>
      <c r="C89" s="615"/>
      <c r="D89" s="327"/>
      <c r="E89" s="546"/>
      <c r="F89" s="546"/>
      <c r="G89" s="546"/>
      <c r="H89" s="546"/>
      <c r="I89" s="1050"/>
      <c r="J89" s="1051"/>
      <c r="K89" s="1051"/>
      <c r="L89" s="1051"/>
      <c r="M89" s="1051"/>
      <c r="N89" s="1052"/>
      <c r="O89" s="288"/>
      <c r="P89" s="21"/>
      <c r="Q89" s="259"/>
    </row>
    <row r="90" spans="1:17" ht="13" hidden="1" x14ac:dyDescent="0.25">
      <c r="A90" s="2"/>
      <c r="B90" s="615"/>
      <c r="C90" s="615"/>
      <c r="D90" s="327"/>
      <c r="E90" s="546"/>
      <c r="F90" s="546"/>
      <c r="G90" s="546"/>
      <c r="H90" s="546"/>
      <c r="I90" s="1053"/>
      <c r="J90" s="1054"/>
      <c r="K90" s="1054"/>
      <c r="L90" s="1054"/>
      <c r="M90" s="1054"/>
      <c r="N90" s="1055"/>
      <c r="O90" s="288"/>
      <c r="P90" s="21"/>
      <c r="Q90" s="259"/>
    </row>
    <row r="91" spans="1:17" hidden="1" x14ac:dyDescent="0.25">
      <c r="A91" s="2"/>
      <c r="B91" s="615"/>
      <c r="C91" s="615"/>
      <c r="D91" s="7"/>
      <c r="E91" s="7"/>
      <c r="F91" s="7"/>
      <c r="G91" s="7"/>
      <c r="H91" s="7"/>
      <c r="I91" s="7"/>
      <c r="J91" s="7"/>
      <c r="K91" s="7"/>
      <c r="L91" s="7"/>
      <c r="M91" s="7"/>
      <c r="N91" s="7"/>
      <c r="O91" s="288"/>
      <c r="P91" s="21"/>
      <c r="Q91" s="259"/>
    </row>
    <row r="92" spans="1:17" ht="15.5" hidden="1" x14ac:dyDescent="0.35">
      <c r="A92" s="161">
        <v>5</v>
      </c>
      <c r="B92" s="615"/>
      <c r="C92" s="820">
        <v>5</v>
      </c>
      <c r="D92" s="996" t="str">
        <f>Translations!$B$307</f>
        <v>Todentajan yhteystiedot</v>
      </c>
      <c r="E92" s="996"/>
      <c r="F92" s="996"/>
      <c r="G92" s="996"/>
      <c r="H92" s="996"/>
      <c r="I92" s="996"/>
      <c r="J92" s="996"/>
      <c r="K92" s="996"/>
      <c r="L92" s="996"/>
      <c r="M92" s="996"/>
      <c r="N92" s="996"/>
      <c r="O92" s="288"/>
      <c r="P92" s="21"/>
      <c r="Q92" s="266" t="str">
        <f>D92</f>
        <v>Todentajan yhteystiedot</v>
      </c>
    </row>
    <row r="93" spans="1:17" hidden="1" x14ac:dyDescent="0.25">
      <c r="A93" s="2"/>
      <c r="B93" s="615"/>
      <c r="C93" s="821"/>
      <c r="D93" s="21"/>
      <c r="E93" s="4"/>
      <c r="F93" s="4"/>
      <c r="G93" s="4"/>
      <c r="H93" s="4"/>
      <c r="I93" s="4"/>
      <c r="J93" s="4"/>
      <c r="K93" s="4"/>
      <c r="L93" s="4"/>
      <c r="M93" s="3"/>
      <c r="N93" s="3"/>
      <c r="O93" s="288"/>
      <c r="P93" s="21"/>
      <c r="Q93" s="259"/>
    </row>
    <row r="94" spans="1:17" ht="13" hidden="1" x14ac:dyDescent="0.25">
      <c r="A94" s="2"/>
      <c r="B94" s="615"/>
      <c r="C94" s="822"/>
      <c r="D94" s="327" t="s">
        <v>5</v>
      </c>
      <c r="E94" s="1029" t="str">
        <f>Translations!$B$308</f>
        <v>Todentajan nimi ja osoite:</v>
      </c>
      <c r="F94" s="1029"/>
      <c r="G94" s="1029"/>
      <c r="H94" s="1029"/>
      <c r="I94" s="1029"/>
      <c r="J94" s="1029"/>
      <c r="K94" s="1029"/>
      <c r="L94" s="1029"/>
      <c r="M94" s="1029"/>
      <c r="N94" s="1029"/>
      <c r="O94" s="288"/>
      <c r="P94" s="21"/>
      <c r="Q94" s="259"/>
    </row>
    <row r="95" spans="1:17" hidden="1" x14ac:dyDescent="0.25">
      <c r="A95" s="2"/>
      <c r="B95" s="615"/>
      <c r="C95" s="822"/>
      <c r="D95" s="344" t="s">
        <v>15</v>
      </c>
      <c r="E95" s="997" t="str">
        <f>Translations!$B$309</f>
        <v>Yrityksen nimi:</v>
      </c>
      <c r="F95" s="997"/>
      <c r="G95" s="997"/>
      <c r="H95" s="998"/>
      <c r="I95" s="999"/>
      <c r="J95" s="1000"/>
      <c r="K95" s="1000"/>
      <c r="L95" s="1000"/>
      <c r="M95" s="1000"/>
      <c r="N95" s="1001"/>
      <c r="O95" s="288"/>
      <c r="P95" s="21"/>
      <c r="Q95" s="259"/>
    </row>
    <row r="96" spans="1:17" hidden="1" x14ac:dyDescent="0.25">
      <c r="A96" s="2"/>
      <c r="B96" s="615"/>
      <c r="C96" s="822"/>
      <c r="D96" s="344" t="s">
        <v>16</v>
      </c>
      <c r="E96" s="997" t="str">
        <f>Translations!$B$310</f>
        <v>Katuosoite:</v>
      </c>
      <c r="F96" s="997"/>
      <c r="G96" s="997"/>
      <c r="H96" s="998"/>
      <c r="I96" s="1025"/>
      <c r="J96" s="1026"/>
      <c r="K96" s="1026"/>
      <c r="L96" s="1026"/>
      <c r="M96" s="1026"/>
      <c r="N96" s="1027"/>
      <c r="O96" s="288"/>
      <c r="P96" s="21"/>
      <c r="Q96" s="259"/>
    </row>
    <row r="97" spans="2:16" hidden="1" x14ac:dyDescent="0.25">
      <c r="B97" s="615"/>
      <c r="C97" s="822"/>
      <c r="D97" s="344" t="s">
        <v>17</v>
      </c>
      <c r="E97" s="997" t="str">
        <f>Translations!$B$58</f>
        <v>Kaupunki:</v>
      </c>
      <c r="F97" s="997"/>
      <c r="G97" s="997"/>
      <c r="H97" s="998"/>
      <c r="I97" s="1025"/>
      <c r="J97" s="1026"/>
      <c r="K97" s="1026"/>
      <c r="L97" s="1026"/>
      <c r="M97" s="1026"/>
      <c r="N97" s="1027"/>
      <c r="O97" s="288"/>
      <c r="P97" s="21"/>
    </row>
    <row r="98" spans="2:16" hidden="1" x14ac:dyDescent="0.25">
      <c r="B98" s="615"/>
      <c r="C98" s="822"/>
      <c r="D98" s="344" t="s">
        <v>18</v>
      </c>
      <c r="E98" s="997" t="str">
        <f>Translations!$B$311</f>
        <v>Postinumero:</v>
      </c>
      <c r="F98" s="997"/>
      <c r="G98" s="997"/>
      <c r="H98" s="998"/>
      <c r="I98" s="1025"/>
      <c r="J98" s="1026"/>
      <c r="K98" s="1026"/>
      <c r="L98" s="1026"/>
      <c r="M98" s="1026"/>
      <c r="N98" s="1027"/>
      <c r="O98" s="288"/>
      <c r="P98" s="21"/>
    </row>
    <row r="99" spans="2:16" hidden="1" x14ac:dyDescent="0.25">
      <c r="B99" s="615"/>
      <c r="C99" s="822"/>
      <c r="D99" s="344" t="s">
        <v>19</v>
      </c>
      <c r="E99" s="997" t="str">
        <f>Translations!$B$61</f>
        <v>Maa:</v>
      </c>
      <c r="F99" s="997"/>
      <c r="G99" s="997"/>
      <c r="H99" s="998"/>
      <c r="I99" s="1030"/>
      <c r="J99" s="1031"/>
      <c r="K99" s="1031"/>
      <c r="L99" s="1031"/>
      <c r="M99" s="1031"/>
      <c r="N99" s="1032"/>
      <c r="O99" s="288"/>
      <c r="P99" s="21"/>
    </row>
    <row r="100" spans="2:16" hidden="1" x14ac:dyDescent="0.25">
      <c r="B100" s="615"/>
      <c r="C100" s="822"/>
      <c r="D100" s="543"/>
      <c r="E100" s="4"/>
      <c r="F100" s="4"/>
      <c r="G100" s="3"/>
      <c r="H100" s="3"/>
      <c r="I100" s="4"/>
      <c r="J100" s="398"/>
      <c r="K100" s="4"/>
      <c r="L100" s="4"/>
      <c r="M100" s="3"/>
      <c r="N100" s="3"/>
      <c r="O100" s="288"/>
      <c r="P100" s="21"/>
    </row>
    <row r="101" spans="2:16" ht="13" hidden="1" x14ac:dyDescent="0.25">
      <c r="B101" s="615"/>
      <c r="C101" s="822"/>
      <c r="D101" s="327" t="s">
        <v>6</v>
      </c>
      <c r="E101" s="1029" t="str">
        <f>Translations!$B$312</f>
        <v>Todentajan yhteyshenkilö:</v>
      </c>
      <c r="F101" s="1029"/>
      <c r="G101" s="1029"/>
      <c r="H101" s="1029"/>
      <c r="I101" s="1029"/>
      <c r="J101" s="1029"/>
      <c r="K101" s="1029"/>
      <c r="L101" s="1029"/>
      <c r="M101" s="1029"/>
      <c r="N101" s="1029"/>
      <c r="O101" s="288"/>
      <c r="P101" s="21"/>
    </row>
    <row r="102" spans="2:16" hidden="1" x14ac:dyDescent="0.25">
      <c r="B102" s="615"/>
      <c r="C102" s="822"/>
      <c r="D102" s="544"/>
      <c r="E102" s="1028" t="str">
        <f>Translations!$B$313</f>
        <v>Nimetyn henkilön on oltava perehtynyt raportin tietoihin. Henkilön on oltava EU:n päästökauppajärjestelmän johtava auditoija.</v>
      </c>
      <c r="F102" s="1028"/>
      <c r="G102" s="1028"/>
      <c r="H102" s="1028"/>
      <c r="I102" s="1028"/>
      <c r="J102" s="1028"/>
      <c r="K102" s="1028"/>
      <c r="L102" s="1028"/>
      <c r="M102" s="1028"/>
      <c r="N102" s="1028"/>
      <c r="O102" s="288"/>
      <c r="P102" s="21"/>
    </row>
    <row r="103" spans="2:16" hidden="1" x14ac:dyDescent="0.25">
      <c r="B103" s="615"/>
      <c r="C103" s="822"/>
      <c r="D103" s="344" t="s">
        <v>15</v>
      </c>
      <c r="E103" s="997" t="str">
        <f>Translations!$B$314</f>
        <v>Nimi:</v>
      </c>
      <c r="F103" s="997"/>
      <c r="G103" s="997"/>
      <c r="H103" s="998"/>
      <c r="I103" s="999"/>
      <c r="J103" s="1000"/>
      <c r="K103" s="1000"/>
      <c r="L103" s="1000"/>
      <c r="M103" s="1000"/>
      <c r="N103" s="1001"/>
      <c r="O103" s="288"/>
      <c r="P103" s="21"/>
    </row>
    <row r="104" spans="2:16" hidden="1" x14ac:dyDescent="0.25">
      <c r="B104" s="615"/>
      <c r="C104" s="822"/>
      <c r="D104" s="344" t="s">
        <v>16</v>
      </c>
      <c r="E104" s="997" t="str">
        <f>Translations!$B$69</f>
        <v>Sähköpostiosoite:</v>
      </c>
      <c r="F104" s="997"/>
      <c r="G104" s="997"/>
      <c r="H104" s="998"/>
      <c r="I104" s="1025"/>
      <c r="J104" s="1026"/>
      <c r="K104" s="1026"/>
      <c r="L104" s="1026"/>
      <c r="M104" s="1026"/>
      <c r="N104" s="1027"/>
      <c r="O104" s="288"/>
      <c r="P104" s="21"/>
    </row>
    <row r="105" spans="2:16" hidden="1" x14ac:dyDescent="0.25">
      <c r="B105" s="615"/>
      <c r="C105" s="822"/>
      <c r="D105" s="344" t="s">
        <v>17</v>
      </c>
      <c r="E105" s="997" t="str">
        <f>Translations!$B$68</f>
        <v>Puhelinnumero:</v>
      </c>
      <c r="F105" s="997"/>
      <c r="G105" s="997"/>
      <c r="H105" s="998"/>
      <c r="I105" s="1030"/>
      <c r="J105" s="1031"/>
      <c r="K105" s="1031"/>
      <c r="L105" s="1031"/>
      <c r="M105" s="1031"/>
      <c r="N105" s="1032"/>
      <c r="O105" s="288"/>
      <c r="P105" s="21"/>
    </row>
    <row r="106" spans="2:16" hidden="1" x14ac:dyDescent="0.25">
      <c r="B106" s="615"/>
      <c r="C106" s="822"/>
      <c r="D106" s="543"/>
      <c r="E106" s="4"/>
      <c r="F106" s="4"/>
      <c r="G106" s="4"/>
      <c r="H106" s="4"/>
      <c r="I106" s="4"/>
      <c r="J106" s="398"/>
      <c r="K106" s="4"/>
      <c r="L106" s="4"/>
      <c r="M106" s="3"/>
      <c r="N106" s="3"/>
      <c r="O106" s="288"/>
      <c r="P106" s="21"/>
    </row>
    <row r="107" spans="2:16" ht="13" hidden="1" x14ac:dyDescent="0.25">
      <c r="B107" s="615"/>
      <c r="C107" s="822"/>
      <c r="D107" s="139" t="s">
        <v>7</v>
      </c>
      <c r="E107" s="1029" t="str">
        <f>Translations!$B$315</f>
        <v>Tiedot todentajan akkreditoinnista tai sertifioinnista:</v>
      </c>
      <c r="F107" s="1029"/>
      <c r="G107" s="1029"/>
      <c r="H107" s="1029"/>
      <c r="I107" s="1029"/>
      <c r="J107" s="1029"/>
      <c r="K107" s="1029"/>
      <c r="L107" s="1029"/>
      <c r="M107" s="1029"/>
      <c r="N107" s="1029"/>
      <c r="O107" s="288"/>
      <c r="P107" s="21"/>
    </row>
    <row r="108" spans="2:16" ht="25.5" hidden="1" customHeight="1" x14ac:dyDescent="0.25">
      <c r="B108" s="615"/>
      <c r="C108" s="822"/>
      <c r="D108" s="344"/>
      <c r="E108" s="1028" t="str">
        <f>Translations!$B$316</f>
        <v>On huomattava, että ”akkreditointi- ja todentamisasetuksen (asetus (EU) 2018/2067) 55 artiklan 2 kohdan mukaan jäsenvaltio voi sallia luonnollisten henkilöiden sertifioinnin todentajiksi kansallisen akkreditointielimen sijasta jollekin muulle kansalliselle viranomaiselle.</v>
      </c>
      <c r="F108" s="1028"/>
      <c r="G108" s="1028"/>
      <c r="H108" s="1028"/>
      <c r="I108" s="1028"/>
      <c r="J108" s="1028"/>
      <c r="K108" s="1028"/>
      <c r="L108" s="1028"/>
      <c r="M108" s="1028"/>
      <c r="N108" s="1028"/>
      <c r="O108" s="288"/>
      <c r="P108" s="21"/>
    </row>
    <row r="109" spans="2:16" hidden="1" x14ac:dyDescent="0.25">
      <c r="B109" s="615"/>
      <c r="C109" s="822"/>
      <c r="D109" s="344"/>
      <c r="E109" s="1028" t="str">
        <f>Translations!$B$317</f>
        <v>Tällöin ”akkreditointi” olisi ymmärrettävä ”sertifioinniksi” ja ”akkreditointielin” ”kansalliseksi viranomaiseksi”.</v>
      </c>
      <c r="F109" s="1028"/>
      <c r="G109" s="1028"/>
      <c r="H109" s="1028"/>
      <c r="I109" s="1028"/>
      <c r="J109" s="1028"/>
      <c r="K109" s="1028"/>
      <c r="L109" s="1028"/>
      <c r="M109" s="1028"/>
      <c r="N109" s="1028"/>
      <c r="O109" s="288"/>
      <c r="P109" s="21"/>
    </row>
    <row r="110" spans="2:16" hidden="1" x14ac:dyDescent="0.25">
      <c r="B110" s="615"/>
      <c r="C110" s="822"/>
      <c r="D110" s="544"/>
      <c r="E110" s="1028" t="str">
        <f>Translations!$B$318</f>
        <v>Tällaisten rekisteröintitietojen saatavuus voi riippua hallinnoivan jäsenvaltion käytännöistä todentajien akkreditoinnissa.</v>
      </c>
      <c r="F110" s="1028"/>
      <c r="G110" s="1028"/>
      <c r="H110" s="1028"/>
      <c r="I110" s="1028"/>
      <c r="J110" s="1028"/>
      <c r="K110" s="1028"/>
      <c r="L110" s="1028"/>
      <c r="M110" s="1028"/>
      <c r="N110" s="1028"/>
      <c r="O110" s="288"/>
      <c r="P110" s="21"/>
    </row>
    <row r="111" spans="2:16" hidden="1" x14ac:dyDescent="0.25">
      <c r="B111" s="615"/>
      <c r="C111" s="822"/>
      <c r="D111" s="344" t="s">
        <v>15</v>
      </c>
      <c r="E111" s="997" t="str">
        <f>Translations!$B$319</f>
        <v>Akkreditoiva jäsenvaltio:</v>
      </c>
      <c r="F111" s="997"/>
      <c r="G111" s="997"/>
      <c r="H111" s="998"/>
      <c r="I111" s="999"/>
      <c r="J111" s="1000"/>
      <c r="K111" s="1000"/>
      <c r="L111" s="1000"/>
      <c r="M111" s="1000"/>
      <c r="N111" s="1001"/>
      <c r="O111" s="288"/>
      <c r="P111" s="21"/>
    </row>
    <row r="112" spans="2:16" hidden="1" x14ac:dyDescent="0.25">
      <c r="B112" s="615"/>
      <c r="C112" s="822"/>
      <c r="D112" s="344" t="s">
        <v>16</v>
      </c>
      <c r="E112" s="997" t="str">
        <f>Translations!$B$320</f>
        <v>Akkreditointielimen antama rekisteröintinumero:</v>
      </c>
      <c r="F112" s="997"/>
      <c r="G112" s="997"/>
      <c r="H112" s="998"/>
      <c r="I112" s="1030"/>
      <c r="J112" s="1031"/>
      <c r="K112" s="1031"/>
      <c r="L112" s="1031"/>
      <c r="M112" s="1031"/>
      <c r="N112" s="1032"/>
      <c r="O112" s="288"/>
      <c r="P112" s="21"/>
    </row>
    <row r="113" spans="1:21" hidden="1" x14ac:dyDescent="0.25">
      <c r="A113" s="2"/>
      <c r="B113" s="7"/>
      <c r="C113" s="7"/>
      <c r="D113" s="7"/>
      <c r="E113" s="7"/>
      <c r="F113" s="7"/>
      <c r="G113" s="7"/>
      <c r="H113" s="7"/>
      <c r="I113" s="7"/>
      <c r="J113" s="7"/>
      <c r="K113" s="7"/>
      <c r="L113" s="7"/>
      <c r="M113" s="7"/>
      <c r="N113" s="7"/>
      <c r="O113" s="288"/>
      <c r="P113" s="21"/>
      <c r="Q113" s="259"/>
      <c r="R113" s="259"/>
      <c r="S113" s="259"/>
      <c r="T113" s="259"/>
      <c r="U113" s="259"/>
    </row>
    <row r="114" spans="1:21" s="258" customFormat="1" hidden="1" x14ac:dyDescent="0.25">
      <c r="A114" s="259" t="s">
        <v>0</v>
      </c>
      <c r="B114" s="254" t="s">
        <v>21</v>
      </c>
      <c r="C114" s="254" t="s">
        <v>21</v>
      </c>
      <c r="D114" s="254" t="s">
        <v>21</v>
      </c>
      <c r="E114" s="254" t="s">
        <v>21</v>
      </c>
      <c r="F114" s="254" t="s">
        <v>21</v>
      </c>
      <c r="G114" s="254" t="s">
        <v>21</v>
      </c>
      <c r="H114" s="254" t="s">
        <v>21</v>
      </c>
      <c r="I114" s="254" t="s">
        <v>21</v>
      </c>
      <c r="J114" s="254" t="s">
        <v>21</v>
      </c>
      <c r="K114" s="254" t="s">
        <v>21</v>
      </c>
      <c r="L114" s="254" t="s">
        <v>21</v>
      </c>
      <c r="M114" s="254" t="s">
        <v>21</v>
      </c>
      <c r="N114" s="254" t="s">
        <v>21</v>
      </c>
      <c r="O114" s="296" t="s">
        <v>21</v>
      </c>
      <c r="P114" s="254" t="s">
        <v>21</v>
      </c>
      <c r="Q114" s="254" t="s">
        <v>21</v>
      </c>
      <c r="R114" s="254" t="s">
        <v>21</v>
      </c>
      <c r="S114" s="254" t="s">
        <v>21</v>
      </c>
      <c r="T114" s="254" t="s">
        <v>21</v>
      </c>
      <c r="U114" s="254" t="s">
        <v>21</v>
      </c>
    </row>
    <row r="115" spans="1:21" s="258" customFormat="1" hidden="1" x14ac:dyDescent="0.25">
      <c r="A115" s="259" t="s">
        <v>0</v>
      </c>
      <c r="B115" s="259"/>
      <c r="C115" s="259"/>
      <c r="D115" s="259"/>
      <c r="E115" s="259"/>
      <c r="F115" s="259"/>
      <c r="G115" s="259"/>
      <c r="H115" s="259"/>
      <c r="I115" s="259"/>
      <c r="J115" s="259"/>
      <c r="K115" s="259"/>
      <c r="L115" s="259"/>
      <c r="M115" s="259"/>
      <c r="N115" s="259"/>
      <c r="O115" s="287"/>
      <c r="P115" s="277" t="s">
        <v>12</v>
      </c>
      <c r="Q115" s="259"/>
      <c r="R115" s="259"/>
      <c r="S115" s="259"/>
      <c r="T115" s="259"/>
      <c r="U115" s="259"/>
    </row>
    <row r="116" spans="1:21" hidden="1" x14ac:dyDescent="0.25"/>
  </sheetData>
  <sheetProtection sheet="1" formatCells="0" formatColumns="0" formatRows="0"/>
  <mergeCells count="117">
    <mergeCell ref="E112:H112"/>
    <mergeCell ref="I112:N112"/>
    <mergeCell ref="E72:H72"/>
    <mergeCell ref="I72:N72"/>
    <mergeCell ref="E107:N107"/>
    <mergeCell ref="E108:N108"/>
    <mergeCell ref="E109:N109"/>
    <mergeCell ref="E110:N110"/>
    <mergeCell ref="I86:N86"/>
    <mergeCell ref="E74:H74"/>
    <mergeCell ref="I74:N74"/>
    <mergeCell ref="E76:H76"/>
    <mergeCell ref="E78:J78"/>
    <mergeCell ref="E80:H80"/>
    <mergeCell ref="I80:N80"/>
    <mergeCell ref="I87:N87"/>
    <mergeCell ref="I88:N88"/>
    <mergeCell ref="I89:N89"/>
    <mergeCell ref="E97:H97"/>
    <mergeCell ref="D92:N92"/>
    <mergeCell ref="I90:N90"/>
    <mergeCell ref="E85:N85"/>
    <mergeCell ref="E84:N84"/>
    <mergeCell ref="E83:N83"/>
    <mergeCell ref="I56:N56"/>
    <mergeCell ref="E47:L47"/>
    <mergeCell ref="E43:G43"/>
    <mergeCell ref="D45:N45"/>
    <mergeCell ref="E42:G42"/>
    <mergeCell ref="I99:N99"/>
    <mergeCell ref="E99:H99"/>
    <mergeCell ref="I98:N98"/>
    <mergeCell ref="E98:H98"/>
    <mergeCell ref="E94:N94"/>
    <mergeCell ref="I81:N81"/>
    <mergeCell ref="I96:N96"/>
    <mergeCell ref="E96:H96"/>
    <mergeCell ref="I95:N95"/>
    <mergeCell ref="E95:H95"/>
    <mergeCell ref="I42:N42"/>
    <mergeCell ref="I43:N43"/>
    <mergeCell ref="I50:N50"/>
    <mergeCell ref="I51:N51"/>
    <mergeCell ref="E48:N48"/>
    <mergeCell ref="E111:H111"/>
    <mergeCell ref="I111:N111"/>
    <mergeCell ref="I65:N65"/>
    <mergeCell ref="I66:N66"/>
    <mergeCell ref="I57:N57"/>
    <mergeCell ref="I59:N59"/>
    <mergeCell ref="I60:N60"/>
    <mergeCell ref="I61:N61"/>
    <mergeCell ref="I62:N62"/>
    <mergeCell ref="I64:N64"/>
    <mergeCell ref="E70:J70"/>
    <mergeCell ref="E103:H103"/>
    <mergeCell ref="I104:N104"/>
    <mergeCell ref="E104:H104"/>
    <mergeCell ref="E102:N102"/>
    <mergeCell ref="E101:N101"/>
    <mergeCell ref="I97:N97"/>
    <mergeCell ref="E105:H105"/>
    <mergeCell ref="I105:N105"/>
    <mergeCell ref="E81:H81"/>
    <mergeCell ref="I103:N103"/>
    <mergeCell ref="B2:D4"/>
    <mergeCell ref="C6:N6"/>
    <mergeCell ref="E39:G39"/>
    <mergeCell ref="E38:G38"/>
    <mergeCell ref="E36:J36"/>
    <mergeCell ref="E18:G18"/>
    <mergeCell ref="M2:N2"/>
    <mergeCell ref="D24:N24"/>
    <mergeCell ref="E20:G20"/>
    <mergeCell ref="K22:L22"/>
    <mergeCell ref="E22:G22"/>
    <mergeCell ref="E31:N31"/>
    <mergeCell ref="E33:G33"/>
    <mergeCell ref="D9:H9"/>
    <mergeCell ref="J9:K9"/>
    <mergeCell ref="D12:N12"/>
    <mergeCell ref="D13:N13"/>
    <mergeCell ref="D14:N14"/>
    <mergeCell ref="I39:N39"/>
    <mergeCell ref="E2:F2"/>
    <mergeCell ref="E4:F4"/>
    <mergeCell ref="I3:J3"/>
    <mergeCell ref="E29:G29"/>
    <mergeCell ref="D16:N16"/>
    <mergeCell ref="K2:L2"/>
    <mergeCell ref="G4:H4"/>
    <mergeCell ref="G2:H2"/>
    <mergeCell ref="I4:J4"/>
    <mergeCell ref="G3:H3"/>
    <mergeCell ref="M3:N3"/>
    <mergeCell ref="I2:J2"/>
    <mergeCell ref="K4:L4"/>
    <mergeCell ref="M4:N4"/>
    <mergeCell ref="E40:G40"/>
    <mergeCell ref="I38:N38"/>
    <mergeCell ref="I55:N55"/>
    <mergeCell ref="E3:F3"/>
    <mergeCell ref="K3:L3"/>
    <mergeCell ref="I22:J22"/>
    <mergeCell ref="E28:G28"/>
    <mergeCell ref="I18:N18"/>
    <mergeCell ref="I20:N20"/>
    <mergeCell ref="I28:N28"/>
    <mergeCell ref="I29:N29"/>
    <mergeCell ref="I33:N33"/>
    <mergeCell ref="E41:G41"/>
    <mergeCell ref="E30:N30"/>
    <mergeCell ref="E34:N34"/>
    <mergeCell ref="I40:N40"/>
    <mergeCell ref="I41:N41"/>
    <mergeCell ref="I52:N52"/>
    <mergeCell ref="I53:N53"/>
  </mergeCells>
  <phoneticPr fontId="32" type="noConversion"/>
  <dataValidations count="2">
    <dataValidation type="list" allowBlank="1" showInputMessage="1" showErrorMessage="1" sqref="I43:L43 I20:L20 I111:N111" xr:uid="{00000000-0002-0000-0200-000000000000}">
      <formula1>EUconst_MSlist</formula1>
    </dataValidation>
    <dataValidation type="list" allowBlank="1" showInputMessage="1" showErrorMessage="1" sqref="I76" xr:uid="{00000000-0002-0000-0200-000002000000}">
      <formula1>EUconst_TrueFalse</formula1>
    </dataValidation>
  </dataValidations>
  <hyperlinks>
    <hyperlink ref="G3:H3" location="JUMP_B_2" display="Operator" xr:uid="{00000000-0004-0000-0200-000000000000}"/>
    <hyperlink ref="I3:J3" location="JUMP_B_3" display="Installation" xr:uid="{00000000-0004-0000-0200-000001000000}"/>
    <hyperlink ref="K3:L3" location="JUMP_B_4" display="Contacts" xr:uid="{00000000-0004-0000-0200-000002000000}"/>
    <hyperlink ref="G2:H2" location="JUMP_a_Content" display="Table of contents" xr:uid="{00000000-0004-0000-0200-000003000000}"/>
  </hyperlinks>
  <pageMargins left="0.78740157480314965" right="0.78740157480314965" top="0.78740157480314965" bottom="0.78740157480314965" header="0.39370078740157483" footer="0.39370078740157483"/>
  <pageSetup paperSize="9" scale="62" orientation="portrait" r:id="rId1"/>
  <headerFooter alignWithMargins="0">
    <oddHeader>&amp;L&amp;F, &amp;A&amp;R&amp;D, &amp;T</oddHeader>
    <oddFooter>&amp;C&amp;P / &amp;N</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indexed="42"/>
    <pageSetUpPr fitToPage="1"/>
  </sheetPr>
  <dimension ref="A1:AD137"/>
  <sheetViews>
    <sheetView zoomScaleNormal="100" workbookViewId="0">
      <pane ySplit="4" topLeftCell="A5" activePane="bottomLeft" state="frozen"/>
      <selection activeCell="B2" sqref="B2"/>
      <selection pane="bottomLeft" activeCell="C6" sqref="C6:N6"/>
    </sheetView>
  </sheetViews>
  <sheetFormatPr defaultColWidth="9.1796875" defaultRowHeight="12.5" x14ac:dyDescent="0.25"/>
  <cols>
    <col min="1" max="1" width="2.7265625" style="135" hidden="1" customWidth="1"/>
    <col min="2" max="2" width="2.7265625" style="134" customWidth="1"/>
    <col min="3" max="3" width="4.7265625" style="134" customWidth="1"/>
    <col min="4" max="4" width="9.1796875" style="134" customWidth="1"/>
    <col min="5" max="5" width="14.81640625" style="134" customWidth="1"/>
    <col min="6" max="13" width="13.7265625" style="134" customWidth="1"/>
    <col min="14" max="14" width="16.453125" style="134" customWidth="1"/>
    <col min="15" max="15" width="2.7265625" style="298" customWidth="1"/>
    <col min="16" max="16" width="11.453125" style="134" customWidth="1"/>
    <col min="17" max="24" width="11.453125" style="135" hidden="1" customWidth="1"/>
    <col min="25" max="25" width="31.453125" style="135" hidden="1" customWidth="1"/>
    <col min="26" max="30" width="11.453125" style="135" hidden="1" customWidth="1"/>
    <col min="31" max="16384" width="9.1796875" style="134"/>
  </cols>
  <sheetData>
    <row r="1" spans="1:30" s="4" customFormat="1" ht="13" hidden="1" thickBot="1" x14ac:dyDescent="0.3">
      <c r="A1" s="31" t="s">
        <v>0</v>
      </c>
      <c r="B1" s="37"/>
      <c r="C1" s="38"/>
      <c r="D1" s="39"/>
      <c r="E1" s="37"/>
      <c r="F1" s="37"/>
      <c r="G1" s="40"/>
      <c r="H1" s="40"/>
      <c r="I1" s="37"/>
      <c r="J1" s="37"/>
      <c r="K1" s="37"/>
      <c r="L1" s="37"/>
      <c r="M1" s="37"/>
      <c r="N1" s="37"/>
      <c r="O1" s="292"/>
      <c r="Q1" s="32" t="s">
        <v>0</v>
      </c>
      <c r="R1" s="32" t="s">
        <v>0</v>
      </c>
      <c r="S1" s="32" t="s">
        <v>0</v>
      </c>
      <c r="T1" s="32" t="s">
        <v>0</v>
      </c>
      <c r="U1" s="32" t="s">
        <v>0</v>
      </c>
      <c r="V1" s="32" t="s">
        <v>0</v>
      </c>
      <c r="W1" s="32" t="s">
        <v>0</v>
      </c>
      <c r="X1" s="32" t="s">
        <v>0</v>
      </c>
      <c r="Y1" s="32" t="s">
        <v>0</v>
      </c>
      <c r="Z1" s="32" t="s">
        <v>0</v>
      </c>
      <c r="AA1" s="32" t="s">
        <v>0</v>
      </c>
      <c r="AB1" s="32" t="s">
        <v>0</v>
      </c>
      <c r="AC1" s="32" t="s">
        <v>0</v>
      </c>
      <c r="AD1" s="32" t="s">
        <v>0</v>
      </c>
    </row>
    <row r="2" spans="1:30" s="4" customFormat="1" ht="13.5" thickBot="1" x14ac:dyDescent="0.35">
      <c r="A2" s="32"/>
      <c r="B2" s="859" t="str">
        <f>Translations!$B$321</f>
        <v>B. Polttoainevirtojen tiedot</v>
      </c>
      <c r="C2" s="1082"/>
      <c r="D2" s="1083"/>
      <c r="E2" s="873" t="str">
        <f>Translations!$B$13</f>
        <v>Navigointialue:</v>
      </c>
      <c r="F2" s="874"/>
      <c r="G2" s="938" t="str">
        <f>Translations!$B$14</f>
        <v>Sisällysluettelo</v>
      </c>
      <c r="H2" s="939"/>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O2" s="292"/>
      <c r="Q2" s="245" t="s">
        <v>1</v>
      </c>
      <c r="R2" s="246" t="str">
        <f>ADDRESS(ROW($B$6),COLUMN($B$6)) &amp; ":" &amp; ADDRESS(MATCH("PRINT",$P:$P,0),COLUMN($P$6))</f>
        <v>$B$6:$P$127</v>
      </c>
      <c r="S2" s="245" t="s">
        <v>2</v>
      </c>
      <c r="T2" s="247" t="str">
        <f ca="1">IF(ISERROR(CELL("filename",U2)),"C_EntityDescription",MID(CELL("filename",U2),FIND("]",CELL("filename",U2))+1,1024))</f>
        <v>B_Polttoainevirtojen tiedot</v>
      </c>
      <c r="U2" s="31"/>
      <c r="V2" s="31"/>
      <c r="W2" s="31"/>
      <c r="X2" s="31"/>
      <c r="Y2" s="31"/>
      <c r="Z2" s="31"/>
      <c r="AA2" s="31"/>
      <c r="AB2" s="31"/>
      <c r="AC2" s="31"/>
      <c r="AD2" s="31"/>
    </row>
    <row r="3" spans="1:30" s="4" customFormat="1" x14ac:dyDescent="0.25">
      <c r="A3" s="32"/>
      <c r="B3" s="1084"/>
      <c r="C3" s="1085"/>
      <c r="D3" s="1086"/>
      <c r="E3" s="858"/>
      <c r="F3" s="858"/>
      <c r="G3" s="854" t="str">
        <f>IFERROR(HYPERLINK("#"&amp;ADDRESS(ROW($A$1)+MATCH(Q3,$A:$A,0)-1,3),INDEX($Q:$Q,MATCH(Q3,$A:$A,0))),"")</f>
        <v>Kulutukseen luovutuksen tavat</v>
      </c>
      <c r="H3" s="854"/>
      <c r="I3" s="854" t="str">
        <f>IFERROR(HYPERLINK("#"&amp;ADDRESS(ROW($A$1)+MATCH(S3,$A:$A,0)-1,3),INDEX($Q:$Q,MATCH(S3,$A:$A,0))),"")</f>
        <v>Polttoainevirrat</v>
      </c>
      <c r="J3" s="854"/>
      <c r="K3" s="854" t="str">
        <f>IFERROR(HYPERLINK("#"&amp;ADDRESS(ROW($A$1)+MATCH(U3,$A:$A,0)-1,3),INDEX($Q:$Q,MATCH(U3,$A:$A,0))),"")</f>
        <v/>
      </c>
      <c r="L3" s="854"/>
      <c r="M3" s="854" t="str">
        <f>IFERROR(HYPERLINK("#"&amp;ADDRESS(ROW($A$1)+MATCH(W3,$A:$A,0)-1,3),INDEX($Q:$Q,MATCH(W3,$A:$A,0))),"")</f>
        <v/>
      </c>
      <c r="N3" s="854"/>
      <c r="O3" s="292"/>
      <c r="Q3" s="260">
        <v>1</v>
      </c>
      <c r="R3" s="261"/>
      <c r="S3" s="261">
        <v>2</v>
      </c>
      <c r="T3" s="261"/>
      <c r="U3" s="261">
        <v>3</v>
      </c>
      <c r="V3" s="261"/>
      <c r="W3" s="262">
        <v>4</v>
      </c>
      <c r="X3" s="31"/>
      <c r="Y3" s="31"/>
      <c r="Z3" s="31"/>
      <c r="AA3" s="31"/>
      <c r="AB3" s="31"/>
      <c r="AC3" s="31"/>
      <c r="AD3" s="31"/>
    </row>
    <row r="4" spans="1:30" s="4" customFormat="1" ht="28" customHeight="1" thickBot="1" x14ac:dyDescent="0.3">
      <c r="A4" s="32"/>
      <c r="B4" s="1087"/>
      <c r="C4" s="1088"/>
      <c r="D4" s="1089"/>
      <c r="E4" s="858"/>
      <c r="F4" s="858"/>
      <c r="G4" s="854" t="str">
        <f>IFERROR(HYPERLINK("#"&amp;ADDRESS(ROW($A$1)+MATCH(Q4,$A:$A,0)-1,3),INDEX($Q:$Q,MATCH(Q4,$A:$A,0))),"")</f>
        <v/>
      </c>
      <c r="H4" s="854"/>
      <c r="I4" s="854" t="str">
        <f>IFERROR(HYPERLINK("#"&amp;ADDRESS(ROW($A$1)+MATCH(S4,$A:$A,0)-1,3),INDEX($Q:$Q,MATCH(S4,$A:$A,0))),"")</f>
        <v/>
      </c>
      <c r="J4" s="854"/>
      <c r="K4" s="854" t="str">
        <f>IFERROR(HYPERLINK("#"&amp;ADDRESS(ROW($A$1)+MATCH(U4,$A:$A,0)-1,3),INDEX($Q:$Q,MATCH(U4,$A:$A,0))),"")</f>
        <v/>
      </c>
      <c r="L4" s="854"/>
      <c r="M4" s="854" t="str">
        <f>IFERROR(HYPERLINK("#"&amp;ADDRESS(ROW($A$1)+MATCH(W4,$A:$A,0)-1,3),INDEX($Q:$Q,MATCH(W4,$A:$A,0))),"")</f>
        <v/>
      </c>
      <c r="N4" s="854"/>
      <c r="O4" s="292"/>
      <c r="Q4" s="263">
        <v>5</v>
      </c>
      <c r="R4" s="264"/>
      <c r="S4" s="264">
        <v>6</v>
      </c>
      <c r="T4" s="264"/>
      <c r="U4" s="264">
        <v>7</v>
      </c>
      <c r="V4" s="264"/>
      <c r="W4" s="265">
        <v>8</v>
      </c>
      <c r="X4" s="31"/>
      <c r="Y4" s="31"/>
      <c r="Z4" s="31"/>
      <c r="AA4" s="31"/>
      <c r="AB4" s="31"/>
      <c r="AC4" s="31"/>
      <c r="AD4" s="31"/>
    </row>
    <row r="5" spans="1:30" s="4" customFormat="1" ht="12.75" customHeight="1" x14ac:dyDescent="0.25">
      <c r="A5" s="31"/>
      <c r="C5" s="5"/>
      <c r="D5" s="6"/>
      <c r="F5" s="6"/>
      <c r="G5" s="6"/>
      <c r="H5" s="6"/>
      <c r="M5" s="3"/>
      <c r="N5" s="3"/>
      <c r="O5" s="292"/>
      <c r="Q5" s="31"/>
      <c r="R5" s="31"/>
      <c r="S5" s="31"/>
      <c r="T5" s="31"/>
      <c r="U5" s="31"/>
      <c r="V5" s="31"/>
      <c r="W5" s="31"/>
      <c r="X5" s="31"/>
      <c r="Y5" s="31"/>
      <c r="Z5" s="31"/>
      <c r="AA5" s="31"/>
      <c r="AB5" s="31"/>
      <c r="AC5" s="31"/>
      <c r="AD5" s="31"/>
    </row>
    <row r="6" spans="1:30" s="21" customFormat="1" ht="25.5" customHeight="1" x14ac:dyDescent="0.25">
      <c r="A6" s="114"/>
      <c r="C6" s="1081" t="str">
        <f>Translations!$B$322</f>
        <v>B. Polttoainevirtojen tiedot</v>
      </c>
      <c r="D6" s="1081"/>
      <c r="E6" s="1081"/>
      <c r="F6" s="1081"/>
      <c r="G6" s="1081"/>
      <c r="H6" s="1081"/>
      <c r="I6" s="1081"/>
      <c r="J6" s="1081"/>
      <c r="K6" s="1081"/>
      <c r="L6" s="1081"/>
      <c r="M6" s="1081"/>
      <c r="N6" s="1081"/>
      <c r="O6" s="288"/>
      <c r="Q6" s="31"/>
      <c r="R6" s="31"/>
      <c r="S6" s="31"/>
      <c r="T6" s="31"/>
      <c r="U6" s="31"/>
      <c r="V6" s="31"/>
      <c r="W6" s="31"/>
      <c r="X6" s="31"/>
      <c r="Y6" s="31"/>
      <c r="Z6" s="31"/>
      <c r="AA6" s="31"/>
      <c r="AB6" s="31"/>
      <c r="AC6" s="31"/>
      <c r="AD6" s="31"/>
    </row>
    <row r="7" spans="1:30" s="4" customFormat="1" ht="12.75" customHeight="1" x14ac:dyDescent="0.25">
      <c r="A7" s="31"/>
      <c r="C7" s="43"/>
      <c r="O7" s="292"/>
      <c r="Q7" s="31"/>
      <c r="R7" s="31"/>
      <c r="S7" s="31"/>
      <c r="T7" s="31"/>
      <c r="U7" s="31"/>
      <c r="V7" s="31"/>
      <c r="W7" s="31"/>
      <c r="X7" s="31"/>
      <c r="Y7" s="31"/>
      <c r="Z7" s="31"/>
      <c r="AA7" s="31"/>
      <c r="AB7" s="31"/>
      <c r="AC7" s="31"/>
      <c r="AD7" s="31"/>
    </row>
    <row r="8" spans="1:30" s="21" customFormat="1" ht="18.75" customHeight="1" x14ac:dyDescent="0.25">
      <c r="A8" s="161">
        <f>C8</f>
        <v>1</v>
      </c>
      <c r="C8" s="24">
        <v>1</v>
      </c>
      <c r="D8" s="983" t="str">
        <f>Translations!$B$190</f>
        <v>Polttoaineiden kulutukseen luovutuksen tavat</v>
      </c>
      <c r="E8" s="983"/>
      <c r="F8" s="983"/>
      <c r="G8" s="983"/>
      <c r="H8" s="983"/>
      <c r="I8" s="983"/>
      <c r="J8" s="983"/>
      <c r="K8" s="983"/>
      <c r="L8" s="983"/>
      <c r="M8" s="983"/>
      <c r="N8" s="983"/>
      <c r="O8" s="288"/>
      <c r="Q8" s="154" t="str">
        <f>Translations!$B$191</f>
        <v>Kulutukseen luovutuksen tavat</v>
      </c>
      <c r="R8" s="31"/>
      <c r="S8" s="31"/>
      <c r="T8" s="31"/>
      <c r="U8" s="31"/>
      <c r="V8" s="31"/>
      <c r="W8" s="31"/>
      <c r="X8" s="31"/>
      <c r="Y8" s="31"/>
      <c r="Z8" s="31"/>
      <c r="AA8" s="31"/>
      <c r="AB8" s="31"/>
      <c r="AC8" s="31"/>
      <c r="AD8" s="31"/>
    </row>
    <row r="9" spans="1:30" s="4" customFormat="1" ht="5.15" customHeight="1" x14ac:dyDescent="0.25">
      <c r="A9" s="31"/>
      <c r="C9" s="43"/>
      <c r="O9" s="292"/>
      <c r="Q9" s="31"/>
      <c r="R9" s="31"/>
      <c r="S9" s="31"/>
      <c r="T9" s="31"/>
      <c r="U9" s="31"/>
      <c r="V9" s="31"/>
      <c r="W9" s="31"/>
      <c r="X9" s="31"/>
      <c r="Y9" s="31"/>
      <c r="Z9" s="31"/>
      <c r="AA9" s="31"/>
      <c r="AB9" s="31"/>
      <c r="AC9" s="31"/>
      <c r="AD9" s="31"/>
    </row>
    <row r="10" spans="1:30" s="21" customFormat="1" ht="12.75" customHeight="1" x14ac:dyDescent="0.25">
      <c r="A10" s="114"/>
      <c r="C10" s="147"/>
      <c r="D10" s="50" t="s">
        <v>5</v>
      </c>
      <c r="E10" s="1111" t="str">
        <f>Translations!$B$192</f>
        <v>Polttoaineiden kulutukseen luovutus (fyysiset kuljetusvälineet):</v>
      </c>
      <c r="F10" s="1111"/>
      <c r="G10" s="1111"/>
      <c r="H10" s="1111"/>
      <c r="I10" s="1111"/>
      <c r="J10" s="1111"/>
      <c r="K10" s="1111"/>
      <c r="L10" s="1111"/>
      <c r="M10" s="1111"/>
      <c r="N10" s="1111"/>
      <c r="O10" s="288"/>
      <c r="Q10" s="157"/>
      <c r="R10" s="157"/>
      <c r="S10" s="114"/>
      <c r="T10" s="114"/>
      <c r="U10" s="114"/>
      <c r="V10" s="114"/>
      <c r="W10" s="114"/>
      <c r="X10" s="114"/>
      <c r="Y10" s="114"/>
      <c r="Z10" s="114"/>
      <c r="AA10" s="114"/>
      <c r="AB10" s="114"/>
      <c r="AC10" s="114"/>
      <c r="AD10" s="114"/>
    </row>
    <row r="11" spans="1:30" s="4" customFormat="1" ht="43.5" customHeight="1" x14ac:dyDescent="0.25">
      <c r="A11" s="31"/>
      <c r="B11" s="276"/>
      <c r="C11" s="826"/>
      <c r="D11" s="841"/>
      <c r="E11" s="972" t="str">
        <f>Translations!$B$323</f>
        <v>Päästöselvitykseen tulee sisältyä kuvaus tavoista, joilla polttoaineet luovutetaan kulutukseen. Huom! Kulutukseen luovutus on valmisteverotuslain (182/2010) termi, johon polttoaineen päästökauppalaki (1066/2024) viittaa. Valmisteverotuslain mukaan kulutukseen luovutus tapahtuu silloin, kun säännelty yhteisö poistaa polttoaineen väliaikaisen verottomuuden järjestelmästä ja veron suorittamisvelvollisuus syntyy. Esimerkiksi, kun polttoaine poistuu verottomasta varastosta tai rekisteröity vastaanottaja ottaa tuotteita vastaan. Ei ole tarpeen kuvata sitä, miten polttoaine on toimitettu säännellylle yhteisölle esim. verottomaan varastoon. Jos polttoainetta luovutetaan kulutukseen vain omaan käyttöön, kirjoita tarvittaessa oma kuvaus Nimi-sarakkeeseen.</v>
      </c>
      <c r="F11" s="972"/>
      <c r="G11" s="972"/>
      <c r="H11" s="972"/>
      <c r="I11" s="972"/>
      <c r="J11" s="972"/>
      <c r="K11" s="972"/>
      <c r="L11" s="972"/>
      <c r="M11" s="972"/>
      <c r="N11" s="972"/>
      <c r="O11" s="292"/>
      <c r="Q11" s="151"/>
      <c r="R11" s="151"/>
      <c r="S11" s="31"/>
      <c r="T11" s="31"/>
      <c r="U11" s="31"/>
      <c r="V11" s="31"/>
      <c r="W11" s="31"/>
      <c r="X11" s="31"/>
      <c r="Y11" s="31"/>
      <c r="Z11" s="31"/>
      <c r="AA11" s="31"/>
      <c r="AB11" s="31"/>
      <c r="AC11" s="31"/>
      <c r="AD11" s="31"/>
    </row>
    <row r="12" spans="1:30" s="4" customFormat="1" ht="25.5" customHeight="1" x14ac:dyDescent="0.25">
      <c r="A12" s="31"/>
      <c r="C12" s="43"/>
      <c r="D12" s="19"/>
      <c r="E12" s="1075" t="str">
        <f>Translations!$B$324</f>
        <v>Valitse sarakkeessa "Nimi" pudotusvalikosta soveltuva vaihtoehto tai kirjoita kohtaan vapaamuotoinen lyhyt kuvaus tai tunniste. Tarvittaessa lisää tarkempi kuvaus viereiseen sarakkeeseen. Tässä annetut tiedot löytyvät pudotusvalikosta taulukossa 2 b sarakkeessa, jossa kulutukseen luovutuksen tapa valitaan.</v>
      </c>
      <c r="F12" s="882"/>
      <c r="G12" s="882"/>
      <c r="H12" s="882"/>
      <c r="I12" s="882"/>
      <c r="J12" s="882"/>
      <c r="K12" s="882"/>
      <c r="L12" s="882"/>
      <c r="M12" s="882"/>
      <c r="N12" s="882"/>
      <c r="O12" s="292"/>
      <c r="Q12" s="31"/>
      <c r="R12" s="31"/>
      <c r="S12" s="31"/>
      <c r="T12" s="31"/>
      <c r="U12" s="31"/>
      <c r="V12" s="31"/>
      <c r="W12" s="31"/>
      <c r="X12" s="31"/>
      <c r="Y12" s="31"/>
      <c r="Z12" s="31"/>
      <c r="AA12" s="31"/>
      <c r="AB12" s="31"/>
      <c r="AC12" s="31"/>
      <c r="AD12" s="31"/>
    </row>
    <row r="13" spans="1:30" s="4" customFormat="1" ht="12.75" customHeight="1" x14ac:dyDescent="0.25">
      <c r="A13" s="31"/>
      <c r="C13" s="43"/>
      <c r="D13" s="19"/>
      <c r="E13" s="1066" t="str">
        <f>Translations!$B$325</f>
        <v>Kahdella ensimmäisellä rivillä on esimerkkejä siitä, miten tämä osa täytetään.</v>
      </c>
      <c r="F13" s="1067"/>
      <c r="G13" s="1067"/>
      <c r="H13" s="1067"/>
      <c r="I13" s="1067"/>
      <c r="J13" s="1067"/>
      <c r="K13" s="1067"/>
      <c r="L13" s="1067"/>
      <c r="M13" s="1067"/>
      <c r="N13" s="1067"/>
      <c r="O13" s="292"/>
      <c r="Q13" s="31"/>
      <c r="R13" s="31"/>
      <c r="S13" s="31"/>
      <c r="T13" s="31"/>
      <c r="U13" s="31"/>
      <c r="V13" s="31"/>
      <c r="W13" s="31"/>
      <c r="X13" s="31"/>
      <c r="Y13" s="31"/>
      <c r="Z13" s="31"/>
      <c r="AA13" s="31"/>
      <c r="AB13" s="31"/>
      <c r="AC13" s="31"/>
      <c r="AD13" s="31"/>
    </row>
    <row r="14" spans="1:30" s="4" customFormat="1" ht="4.9000000000000004" customHeight="1" x14ac:dyDescent="0.25">
      <c r="A14" s="31"/>
      <c r="C14" s="43"/>
      <c r="D14" s="19"/>
      <c r="M14" s="146"/>
      <c r="O14" s="292"/>
      <c r="Q14" s="31"/>
      <c r="R14" s="31"/>
      <c r="S14" s="31"/>
      <c r="T14" s="31"/>
      <c r="U14" s="31"/>
      <c r="V14" s="31"/>
      <c r="W14" s="31"/>
      <c r="X14" s="31"/>
      <c r="Y14" s="31"/>
      <c r="Z14" s="31"/>
      <c r="AA14" s="31"/>
      <c r="AB14" s="31"/>
      <c r="AC14" s="31"/>
      <c r="AD14" s="31"/>
    </row>
    <row r="15" spans="1:30" s="4" customFormat="1" ht="33" customHeight="1" x14ac:dyDescent="0.3">
      <c r="A15" s="31"/>
      <c r="C15" s="43"/>
      <c r="D15" s="19"/>
      <c r="E15" s="149" t="str">
        <f>Translations!$B$193</f>
        <v>Kulutukseen luovutuksen tavat LT1, LT2...</v>
      </c>
      <c r="F15" s="1068" t="str">
        <f>Translations!$B$194</f>
        <v>Nimi (tai lyhyt kuvaus/tunniste)</v>
      </c>
      <c r="G15" s="1080"/>
      <c r="H15" s="1068" t="str">
        <f>Translations!$B$195</f>
        <v>Tarkka kuvaus</v>
      </c>
      <c r="I15" s="1069"/>
      <c r="J15" s="1069"/>
      <c r="K15" s="1069"/>
      <c r="L15" s="1069"/>
      <c r="M15" s="1070"/>
      <c r="O15" s="292"/>
      <c r="Q15" s="31"/>
      <c r="R15" s="31"/>
      <c r="S15" s="31"/>
      <c r="T15" s="31"/>
      <c r="U15" s="31"/>
      <c r="V15" s="152" t="s">
        <v>22</v>
      </c>
      <c r="W15" s="152" t="s">
        <v>22</v>
      </c>
      <c r="X15" s="152" t="s">
        <v>22</v>
      </c>
      <c r="Y15" s="31"/>
      <c r="Z15" s="31"/>
      <c r="AA15" s="31"/>
      <c r="AB15" s="31"/>
      <c r="AC15" s="31"/>
      <c r="AD15" s="31"/>
    </row>
    <row r="16" spans="1:30" s="4" customFormat="1" ht="12.75" customHeight="1" x14ac:dyDescent="0.3">
      <c r="A16" s="32"/>
      <c r="C16" s="43"/>
      <c r="D16" s="19"/>
      <c r="E16" s="490" t="s">
        <v>23</v>
      </c>
      <c r="F16" s="1072" t="str">
        <f>Translations!$B$196</f>
        <v>Putket</v>
      </c>
      <c r="G16" s="1073"/>
      <c r="H16" s="1072" t="str">
        <f>Translations!$B$197</f>
        <v>Paikalliseen kaasuverkkoon liitetyt putket</v>
      </c>
      <c r="I16" s="1073"/>
      <c r="J16" s="1073"/>
      <c r="K16" s="1073"/>
      <c r="L16" s="1073"/>
      <c r="M16" s="1074"/>
      <c r="O16" s="292"/>
      <c r="Q16" s="31"/>
      <c r="R16" s="31"/>
      <c r="S16" s="31"/>
      <c r="T16" s="31"/>
      <c r="U16" s="31"/>
      <c r="V16" s="152"/>
      <c r="W16" s="152"/>
      <c r="X16" s="152"/>
      <c r="Y16" s="31"/>
      <c r="Z16" s="31"/>
      <c r="AA16" s="31"/>
      <c r="AB16" s="31"/>
      <c r="AC16" s="31"/>
      <c r="AD16" s="31"/>
    </row>
    <row r="17" spans="1:30" s="4" customFormat="1" ht="12.75" customHeight="1" thickBot="1" x14ac:dyDescent="0.35">
      <c r="A17" s="32"/>
      <c r="C17" s="43"/>
      <c r="D17" s="19"/>
      <c r="E17" s="491" t="s">
        <v>24</v>
      </c>
      <c r="F17" s="1077" t="str">
        <f>Translations!$B$198</f>
        <v>Säiliöautot</v>
      </c>
      <c r="G17" s="1078"/>
      <c r="H17" s="1077" t="str">
        <f>Translations!$B$199</f>
        <v>Kauppakumppaneiden omistamat säiliöautot</v>
      </c>
      <c r="I17" s="1078"/>
      <c r="J17" s="1078"/>
      <c r="K17" s="1078"/>
      <c r="L17" s="1078"/>
      <c r="M17" s="1079"/>
      <c r="O17" s="292"/>
      <c r="Q17" s="31"/>
      <c r="R17" s="31"/>
      <c r="S17" s="31"/>
      <c r="T17" s="31"/>
      <c r="U17" s="31"/>
      <c r="V17" s="152"/>
      <c r="W17" s="249" t="s">
        <v>25</v>
      </c>
      <c r="X17" s="248" t="str">
        <f ca="1">ADDRESS(ROW(X18),COLUMN(),,,$T$2) &amp; ":" &amp; ADDRESS(ROW(X18)+COUNTA(X18:X27)-COUNTIF(X19:X27,EUconst_NA)-1,COLUMN())</f>
        <v>'B_Polttoainevirtojen tiedot'!$X$18:$X$18</v>
      </c>
      <c r="Y17" s="31"/>
      <c r="Z17" s="31"/>
      <c r="AA17" s="31"/>
      <c r="AB17" s="31"/>
      <c r="AC17" s="31"/>
      <c r="AD17" s="31"/>
    </row>
    <row r="18" spans="1:30" s="4" customFormat="1" ht="12.75" customHeight="1" x14ac:dyDescent="0.25">
      <c r="A18" s="31"/>
      <c r="C18" s="43"/>
      <c r="D18" s="19"/>
      <c r="E18" s="45" t="s">
        <v>26</v>
      </c>
      <c r="F18" s="1076"/>
      <c r="G18" s="1076"/>
      <c r="H18" s="1076"/>
      <c r="I18" s="1058"/>
      <c r="J18" s="1058"/>
      <c r="K18" s="1058"/>
      <c r="L18" s="1058"/>
      <c r="M18" s="1058"/>
      <c r="O18" s="292"/>
      <c r="Q18" s="31"/>
      <c r="R18" s="31"/>
      <c r="S18" s="31"/>
      <c r="T18" s="31"/>
      <c r="U18" s="31">
        <v>1</v>
      </c>
      <c r="V18" s="153" t="str">
        <f t="shared" ref="V18:V27" si="0">IF(ISBLANK(F18),"",E18)</f>
        <v/>
      </c>
      <c r="W18" s="158" t="str">
        <f>IF(V18="","",MAX(W$17:W17)+1)</f>
        <v/>
      </c>
      <c r="X18" s="250" t="str">
        <f t="shared" ref="X18:X27" si="1">IF(COUNTIF($W$18:$W$27,U18)=1,INDEX($V$18:$V$27,MATCH(U18,$W$18:$W$27,0)) &amp; ": " &amp; INDEX($F$18:$F$27,MATCH(U18,$W$18:$W$27,0)),EUconst_NA)</f>
        <v>ei sovellettavissa</v>
      </c>
      <c r="Y18" s="31"/>
      <c r="Z18" s="31"/>
      <c r="AA18" s="31"/>
      <c r="AB18" s="31"/>
      <c r="AC18" s="31"/>
      <c r="AD18" s="31"/>
    </row>
    <row r="19" spans="1:30" s="4" customFormat="1" ht="12.75" customHeight="1" x14ac:dyDescent="0.25">
      <c r="A19" s="31"/>
      <c r="C19" s="43"/>
      <c r="D19" s="19"/>
      <c r="E19" s="45" t="s">
        <v>28</v>
      </c>
      <c r="F19" s="1076"/>
      <c r="G19" s="1058"/>
      <c r="H19" s="1076"/>
      <c r="I19" s="1058"/>
      <c r="J19" s="1058"/>
      <c r="K19" s="1058"/>
      <c r="L19" s="1058"/>
      <c r="M19" s="1058"/>
      <c r="O19" s="292"/>
      <c r="Q19" s="31"/>
      <c r="R19" s="31"/>
      <c r="S19" s="31"/>
      <c r="T19" s="31"/>
      <c r="U19" s="31">
        <v>2</v>
      </c>
      <c r="V19" s="153" t="str">
        <f t="shared" si="0"/>
        <v/>
      </c>
      <c r="W19" s="158" t="str">
        <f>IF(V19="","",MAX(W$17:W18)+1)</f>
        <v/>
      </c>
      <c r="X19" s="251" t="str">
        <f t="shared" si="1"/>
        <v>ei sovellettavissa</v>
      </c>
      <c r="Y19" s="31"/>
      <c r="Z19" s="31"/>
      <c r="AA19" s="31"/>
      <c r="AB19" s="31"/>
      <c r="AC19" s="31"/>
      <c r="AD19" s="31"/>
    </row>
    <row r="20" spans="1:30" s="4" customFormat="1" ht="12.75" customHeight="1" x14ac:dyDescent="0.25">
      <c r="A20" s="31"/>
      <c r="C20" s="43"/>
      <c r="D20" s="19"/>
      <c r="E20" s="45" t="s">
        <v>30</v>
      </c>
      <c r="F20" s="1076"/>
      <c r="G20" s="1058"/>
      <c r="H20" s="1076"/>
      <c r="I20" s="1058"/>
      <c r="J20" s="1058"/>
      <c r="K20" s="1058"/>
      <c r="L20" s="1058"/>
      <c r="M20" s="1058"/>
      <c r="O20" s="292"/>
      <c r="Q20" s="31"/>
      <c r="R20" s="31"/>
      <c r="S20" s="31"/>
      <c r="T20" s="31"/>
      <c r="U20" s="31">
        <v>3</v>
      </c>
      <c r="V20" s="153" t="str">
        <f t="shared" si="0"/>
        <v/>
      </c>
      <c r="W20" s="158" t="str">
        <f>IF(V20="","",MAX(W$17:W19)+1)</f>
        <v/>
      </c>
      <c r="X20" s="251" t="str">
        <f t="shared" si="1"/>
        <v>ei sovellettavissa</v>
      </c>
      <c r="Y20" s="31"/>
      <c r="Z20" s="31"/>
      <c r="AA20" s="31"/>
      <c r="AB20" s="31"/>
      <c r="AC20" s="31"/>
      <c r="AD20" s="31"/>
    </row>
    <row r="21" spans="1:30" s="4" customFormat="1" ht="12.75" customHeight="1" x14ac:dyDescent="0.25">
      <c r="A21" s="31"/>
      <c r="C21" s="43"/>
      <c r="D21" s="19"/>
      <c r="E21" s="45" t="s">
        <v>31</v>
      </c>
      <c r="F21" s="1076"/>
      <c r="G21" s="1058"/>
      <c r="H21" s="1076"/>
      <c r="I21" s="1058"/>
      <c r="J21" s="1058"/>
      <c r="K21" s="1058"/>
      <c r="L21" s="1058"/>
      <c r="M21" s="1058"/>
      <c r="O21" s="292"/>
      <c r="Q21" s="31"/>
      <c r="R21" s="31"/>
      <c r="S21" s="31"/>
      <c r="T21" s="31"/>
      <c r="U21" s="31">
        <v>4</v>
      </c>
      <c r="V21" s="153" t="str">
        <f t="shared" si="0"/>
        <v/>
      </c>
      <c r="W21" s="158" t="str">
        <f>IF(V21="","",MAX(W$17:W20)+1)</f>
        <v/>
      </c>
      <c r="X21" s="251" t="str">
        <f t="shared" si="1"/>
        <v>ei sovellettavissa</v>
      </c>
      <c r="Y21" s="31"/>
      <c r="Z21" s="31"/>
      <c r="AA21" s="31"/>
      <c r="AB21" s="31"/>
      <c r="AC21" s="31"/>
      <c r="AD21" s="31"/>
    </row>
    <row r="22" spans="1:30" s="4" customFormat="1" ht="12.75" customHeight="1" x14ac:dyDescent="0.25">
      <c r="A22" s="31"/>
      <c r="C22" s="43"/>
      <c r="D22" s="19"/>
      <c r="E22" s="45" t="s">
        <v>32</v>
      </c>
      <c r="F22" s="1076"/>
      <c r="G22" s="1058"/>
      <c r="H22" s="1076"/>
      <c r="I22" s="1058"/>
      <c r="J22" s="1058"/>
      <c r="K22" s="1058"/>
      <c r="L22" s="1058"/>
      <c r="M22" s="1058"/>
      <c r="O22" s="292"/>
      <c r="Q22" s="31"/>
      <c r="R22" s="31"/>
      <c r="S22" s="31"/>
      <c r="T22" s="31"/>
      <c r="U22" s="31">
        <v>5</v>
      </c>
      <c r="V22" s="153" t="str">
        <f t="shared" si="0"/>
        <v/>
      </c>
      <c r="W22" s="158" t="str">
        <f>IF(V22="","",MAX(W$17:W21)+1)</f>
        <v/>
      </c>
      <c r="X22" s="251" t="str">
        <f t="shared" si="1"/>
        <v>ei sovellettavissa</v>
      </c>
      <c r="Y22" s="31"/>
      <c r="Z22" s="31"/>
      <c r="AA22" s="31"/>
      <c r="AB22" s="31"/>
      <c r="AC22" s="31"/>
      <c r="AD22" s="31"/>
    </row>
    <row r="23" spans="1:30" s="4" customFormat="1" ht="12.75" customHeight="1" x14ac:dyDescent="0.25">
      <c r="A23" s="31"/>
      <c r="C23" s="43"/>
      <c r="D23" s="19"/>
      <c r="E23" s="45" t="s">
        <v>33</v>
      </c>
      <c r="F23" s="1076"/>
      <c r="G23" s="1058"/>
      <c r="H23" s="1076"/>
      <c r="I23" s="1058"/>
      <c r="J23" s="1058"/>
      <c r="K23" s="1058"/>
      <c r="L23" s="1058"/>
      <c r="M23" s="1058"/>
      <c r="O23" s="292"/>
      <c r="Q23" s="31"/>
      <c r="R23" s="31"/>
      <c r="S23" s="31"/>
      <c r="T23" s="31"/>
      <c r="U23" s="31">
        <v>6</v>
      </c>
      <c r="V23" s="153" t="str">
        <f t="shared" si="0"/>
        <v/>
      </c>
      <c r="W23" s="158" t="str">
        <f>IF(V23="","",MAX(W$17:W22)+1)</f>
        <v/>
      </c>
      <c r="X23" s="251" t="str">
        <f t="shared" si="1"/>
        <v>ei sovellettavissa</v>
      </c>
      <c r="Y23" s="31"/>
      <c r="Z23" s="31"/>
      <c r="AA23" s="31"/>
      <c r="AB23" s="31"/>
      <c r="AC23" s="31"/>
      <c r="AD23" s="31"/>
    </row>
    <row r="24" spans="1:30" s="4" customFormat="1" ht="12.75" customHeight="1" x14ac:dyDescent="0.25">
      <c r="A24" s="31"/>
      <c r="C24" s="43"/>
      <c r="D24" s="19"/>
      <c r="E24" s="45" t="s">
        <v>34</v>
      </c>
      <c r="F24" s="1076"/>
      <c r="G24" s="1058"/>
      <c r="H24" s="1076"/>
      <c r="I24" s="1058"/>
      <c r="J24" s="1058"/>
      <c r="K24" s="1058"/>
      <c r="L24" s="1058"/>
      <c r="M24" s="1058"/>
      <c r="O24" s="292"/>
      <c r="Q24" s="31"/>
      <c r="R24" s="31"/>
      <c r="S24" s="31"/>
      <c r="T24" s="31"/>
      <c r="U24" s="31">
        <v>7</v>
      </c>
      <c r="V24" s="153" t="str">
        <f t="shared" si="0"/>
        <v/>
      </c>
      <c r="W24" s="158" t="str">
        <f>IF(V24="","",MAX(W$17:W23)+1)</f>
        <v/>
      </c>
      <c r="X24" s="251" t="str">
        <f t="shared" si="1"/>
        <v>ei sovellettavissa</v>
      </c>
      <c r="Y24" s="31"/>
      <c r="Z24" s="31"/>
      <c r="AA24" s="31"/>
      <c r="AB24" s="31"/>
      <c r="AC24" s="31"/>
      <c r="AD24" s="31"/>
    </row>
    <row r="25" spans="1:30" s="4" customFormat="1" ht="12.75" customHeight="1" x14ac:dyDescent="0.25">
      <c r="A25" s="31"/>
      <c r="C25" s="43"/>
      <c r="D25" s="19"/>
      <c r="E25" s="45" t="s">
        <v>35</v>
      </c>
      <c r="F25" s="1076"/>
      <c r="G25" s="1058"/>
      <c r="H25" s="1076"/>
      <c r="I25" s="1058"/>
      <c r="J25" s="1058"/>
      <c r="K25" s="1058"/>
      <c r="L25" s="1058"/>
      <c r="M25" s="1058"/>
      <c r="O25" s="292"/>
      <c r="Q25" s="31"/>
      <c r="R25" s="31"/>
      <c r="S25" s="31"/>
      <c r="T25" s="31"/>
      <c r="U25" s="31">
        <v>8</v>
      </c>
      <c r="V25" s="153" t="str">
        <f t="shared" si="0"/>
        <v/>
      </c>
      <c r="W25" s="158" t="str">
        <f>IF(V25="","",MAX(W$17:W24)+1)</f>
        <v/>
      </c>
      <c r="X25" s="251" t="str">
        <f t="shared" si="1"/>
        <v>ei sovellettavissa</v>
      </c>
      <c r="Y25" s="31"/>
      <c r="Z25" s="31"/>
      <c r="AA25" s="31"/>
      <c r="AB25" s="31"/>
      <c r="AC25" s="31"/>
      <c r="AD25" s="31"/>
    </row>
    <row r="26" spans="1:30" s="4" customFormat="1" ht="12.75" customHeight="1" x14ac:dyDescent="0.25">
      <c r="A26" s="31"/>
      <c r="C26" s="43"/>
      <c r="D26" s="19"/>
      <c r="E26" s="45" t="s">
        <v>36</v>
      </c>
      <c r="F26" s="1076"/>
      <c r="G26" s="1058"/>
      <c r="H26" s="1076"/>
      <c r="I26" s="1058"/>
      <c r="J26" s="1058"/>
      <c r="K26" s="1058"/>
      <c r="L26" s="1058"/>
      <c r="M26" s="1058"/>
      <c r="O26" s="292"/>
      <c r="Q26" s="31"/>
      <c r="R26" s="31"/>
      <c r="S26" s="31"/>
      <c r="T26" s="31"/>
      <c r="U26" s="31">
        <v>9</v>
      </c>
      <c r="V26" s="153" t="str">
        <f t="shared" si="0"/>
        <v/>
      </c>
      <c r="W26" s="158" t="str">
        <f>IF(V26="","",MAX(W$17:W25)+1)</f>
        <v/>
      </c>
      <c r="X26" s="251" t="str">
        <f t="shared" si="1"/>
        <v>ei sovellettavissa</v>
      </c>
      <c r="Y26" s="31"/>
      <c r="Z26" s="31"/>
      <c r="AA26" s="31"/>
      <c r="AB26" s="31"/>
      <c r="AC26" s="31"/>
      <c r="AD26" s="31"/>
    </row>
    <row r="27" spans="1:30" s="4" customFormat="1" ht="12.75" customHeight="1" thickBot="1" x14ac:dyDescent="0.3">
      <c r="A27" s="31"/>
      <c r="C27" s="43"/>
      <c r="D27" s="19"/>
      <c r="E27" s="45" t="s">
        <v>37</v>
      </c>
      <c r="F27" s="1076"/>
      <c r="G27" s="1058"/>
      <c r="H27" s="1076"/>
      <c r="I27" s="1058"/>
      <c r="J27" s="1058"/>
      <c r="K27" s="1058"/>
      <c r="L27" s="1058"/>
      <c r="M27" s="1058"/>
      <c r="O27" s="292"/>
      <c r="Q27" s="31"/>
      <c r="R27" s="31"/>
      <c r="S27" s="31"/>
      <c r="T27" s="31"/>
      <c r="U27" s="31">
        <v>10</v>
      </c>
      <c r="V27" s="153" t="str">
        <f t="shared" si="0"/>
        <v/>
      </c>
      <c r="W27" s="158" t="str">
        <f>IF(V27="","",MAX(W$17:W26)+1)</f>
        <v/>
      </c>
      <c r="X27" s="252" t="str">
        <f t="shared" si="1"/>
        <v>ei sovellettavissa</v>
      </c>
      <c r="Y27" s="31"/>
      <c r="Z27" s="31"/>
      <c r="AA27" s="31"/>
      <c r="AB27" s="31"/>
      <c r="AC27" s="31"/>
      <c r="AD27" s="31"/>
    </row>
    <row r="28" spans="1:30" s="4" customFormat="1" ht="5.15" customHeight="1" x14ac:dyDescent="0.3">
      <c r="A28" s="32"/>
      <c r="C28" s="43"/>
      <c r="D28" s="19"/>
      <c r="M28" s="146"/>
      <c r="O28" s="292"/>
      <c r="Q28" s="31"/>
      <c r="R28" s="31"/>
      <c r="S28" s="31"/>
      <c r="T28" s="31"/>
      <c r="U28" s="31"/>
      <c r="V28" s="801"/>
      <c r="W28" s="31"/>
      <c r="X28" s="31"/>
      <c r="Y28" s="31"/>
      <c r="Z28" s="31"/>
      <c r="AA28" s="31"/>
      <c r="AB28" s="31"/>
      <c r="AC28" s="31"/>
      <c r="AD28" s="31"/>
    </row>
    <row r="29" spans="1:30" s="21" customFormat="1" ht="12.75" customHeight="1" x14ac:dyDescent="0.25">
      <c r="A29" s="114"/>
      <c r="C29" s="147"/>
      <c r="D29" s="50" t="s">
        <v>6</v>
      </c>
      <c r="E29" s="50" t="str">
        <f>Translations!$B$200</f>
        <v>Polttoaineiden kulutukseen luovutus (välittäjäosapuolet, esim. polttoainekauppiaat):</v>
      </c>
      <c r="F29" s="51"/>
      <c r="G29" s="51"/>
      <c r="H29" s="51"/>
      <c r="I29" s="51"/>
      <c r="J29" s="51"/>
      <c r="K29" s="1"/>
      <c r="L29" s="1"/>
      <c r="M29" s="1"/>
      <c r="O29" s="288"/>
      <c r="Q29" s="157"/>
      <c r="R29" s="157"/>
      <c r="S29" s="114"/>
      <c r="T29" s="114"/>
      <c r="U29" s="114"/>
      <c r="V29" s="114"/>
      <c r="W29" s="114"/>
      <c r="X29" s="114"/>
      <c r="Y29" s="114"/>
      <c r="Z29" s="114"/>
      <c r="AA29" s="114"/>
      <c r="AB29" s="114"/>
      <c r="AC29" s="114"/>
      <c r="AD29" s="114"/>
    </row>
    <row r="30" spans="1:30" s="4" customFormat="1" ht="14.15" customHeight="1" x14ac:dyDescent="0.25">
      <c r="A30" s="31"/>
      <c r="C30" s="43"/>
      <c r="D30" s="19"/>
      <c r="E30" s="972" t="str">
        <f>Translations!$B$326</f>
        <v xml:space="preserve">Listaa alla olevaan taulukkoon mahdolliset välittäjäosapuolet (VO), joille säännelty yhteisö luovuttaa polttoaineita ennen niiden siirtymistä loppukäyttäjälle, mikäli tiedossa. </v>
      </c>
      <c r="F30" s="972"/>
      <c r="G30" s="972"/>
      <c r="H30" s="972"/>
      <c r="I30" s="972"/>
      <c r="J30" s="972"/>
      <c r="K30" s="972"/>
      <c r="L30" s="972"/>
      <c r="M30" s="972"/>
      <c r="N30" s="972"/>
      <c r="O30" s="292"/>
      <c r="Q30" s="151"/>
      <c r="R30" s="151"/>
      <c r="S30" s="31"/>
      <c r="T30" s="31"/>
      <c r="U30" s="31"/>
      <c r="V30" s="31"/>
      <c r="W30" s="31"/>
      <c r="X30" s="31"/>
      <c r="Y30" s="31"/>
      <c r="Z30" s="31"/>
      <c r="AA30" s="31"/>
      <c r="AB30" s="31"/>
      <c r="AC30" s="31"/>
      <c r="AD30" s="31"/>
    </row>
    <row r="31" spans="1:30" s="4" customFormat="1" ht="25.5" customHeight="1" x14ac:dyDescent="0.25">
      <c r="A31" s="31"/>
      <c r="C31" s="43"/>
      <c r="D31" s="19"/>
      <c r="E31" s="1075" t="str">
        <f>Translations!$B$324</f>
        <v>Valitse sarakkeessa "Nimi" pudotusvalikosta soveltuva vaihtoehto tai kirjoita kohtaan vapaamuotoinen lyhyt kuvaus tai tunniste. Tarvittaessa lisää tarkempi kuvaus viereiseen sarakkeeseen. Tässä annetut tiedot löytyvät pudotusvalikosta taulukossa 2 b sarakkeessa, jossa kulutukseen luovutuksen tapa valitaan.</v>
      </c>
      <c r="F31" s="882"/>
      <c r="G31" s="882"/>
      <c r="H31" s="882"/>
      <c r="I31" s="882"/>
      <c r="J31" s="882"/>
      <c r="K31" s="882"/>
      <c r="L31" s="882"/>
      <c r="M31" s="882"/>
      <c r="N31" s="882"/>
      <c r="O31" s="292"/>
      <c r="Q31" s="31"/>
      <c r="R31" s="31"/>
      <c r="S31" s="31"/>
      <c r="T31" s="31"/>
      <c r="U31" s="31"/>
      <c r="V31" s="31"/>
      <c r="W31" s="31"/>
      <c r="X31" s="31"/>
      <c r="Y31" s="31"/>
      <c r="Z31" s="31"/>
      <c r="AA31" s="31"/>
      <c r="AB31" s="31"/>
      <c r="AC31" s="31"/>
      <c r="AD31" s="31"/>
    </row>
    <row r="32" spans="1:30" s="4" customFormat="1" ht="12.75" customHeight="1" x14ac:dyDescent="0.25">
      <c r="A32" s="31"/>
      <c r="C32" s="826"/>
      <c r="D32" s="19"/>
      <c r="E32" s="1066" t="str">
        <f>Translations!$B$325</f>
        <v>Kahdella ensimmäisellä rivillä on esimerkkejä siitä, miten tämä osa täytetään.</v>
      </c>
      <c r="F32" s="1067"/>
      <c r="G32" s="1067"/>
      <c r="H32" s="1067"/>
      <c r="I32" s="1067"/>
      <c r="J32" s="1067"/>
      <c r="K32" s="1067"/>
      <c r="L32" s="1067"/>
      <c r="M32" s="1067"/>
      <c r="N32" s="1067"/>
      <c r="O32" s="292"/>
      <c r="Q32" s="31"/>
      <c r="R32" s="31"/>
      <c r="S32" s="31"/>
      <c r="T32" s="31"/>
      <c r="U32" s="31"/>
      <c r="V32" s="31"/>
      <c r="W32" s="31"/>
      <c r="X32" s="31"/>
      <c r="Y32" s="31"/>
      <c r="Z32" s="31"/>
      <c r="AA32" s="31"/>
      <c r="AB32" s="31"/>
      <c r="AC32" s="31"/>
      <c r="AD32" s="31"/>
    </row>
    <row r="33" spans="1:30" s="4" customFormat="1" ht="5.15" customHeight="1" x14ac:dyDescent="0.25">
      <c r="A33" s="31"/>
      <c r="C33" s="43"/>
      <c r="D33" s="19"/>
      <c r="E33" s="146"/>
      <c r="F33" s="146"/>
      <c r="G33" s="146"/>
      <c r="H33" s="146"/>
      <c r="I33" s="146"/>
      <c r="J33" s="146"/>
      <c r="K33" s="146"/>
      <c r="L33" s="146"/>
      <c r="M33" s="146"/>
      <c r="O33" s="292"/>
      <c r="Q33" s="31"/>
      <c r="R33" s="31"/>
      <c r="S33" s="31"/>
      <c r="T33" s="31"/>
      <c r="U33" s="31"/>
      <c r="V33" s="31"/>
      <c r="W33" s="31"/>
      <c r="X33" s="31"/>
      <c r="Y33" s="31"/>
      <c r="Z33" s="31"/>
      <c r="AA33" s="31"/>
      <c r="AB33" s="31"/>
      <c r="AC33" s="31"/>
      <c r="AD33" s="31"/>
    </row>
    <row r="34" spans="1:30" s="4" customFormat="1" ht="21" x14ac:dyDescent="0.3">
      <c r="A34" s="31"/>
      <c r="C34" s="43"/>
      <c r="D34" s="19"/>
      <c r="E34" s="149" t="str">
        <f>Translations!$B$201</f>
        <v>Välittäjäosapuolet VO1, VO2...</v>
      </c>
      <c r="F34" s="1068" t="str">
        <f>Translations!$B$194</f>
        <v>Nimi (tai lyhyt kuvaus/tunniste)</v>
      </c>
      <c r="G34" s="1080"/>
      <c r="H34" s="1068" t="str">
        <f>Translations!$B$195</f>
        <v>Tarkka kuvaus</v>
      </c>
      <c r="I34" s="1069"/>
      <c r="J34" s="1069"/>
      <c r="K34" s="1069"/>
      <c r="L34" s="1069"/>
      <c r="M34" s="1070"/>
      <c r="O34" s="292"/>
      <c r="Q34" s="31"/>
      <c r="R34" s="31"/>
      <c r="S34" s="31"/>
      <c r="T34" s="31"/>
      <c r="U34" s="31"/>
      <c r="V34" s="152" t="s">
        <v>22</v>
      </c>
      <c r="W34" s="152" t="s">
        <v>22</v>
      </c>
      <c r="X34" s="152" t="s">
        <v>22</v>
      </c>
      <c r="Y34" s="31"/>
      <c r="Z34" s="31"/>
      <c r="AA34" s="31"/>
      <c r="AB34" s="31"/>
      <c r="AC34" s="31"/>
      <c r="AD34" s="31"/>
    </row>
    <row r="35" spans="1:30" s="4" customFormat="1" ht="22" customHeight="1" x14ac:dyDescent="0.3">
      <c r="A35" s="32"/>
      <c r="C35" s="43"/>
      <c r="D35" s="19"/>
      <c r="E35" s="490" t="s">
        <v>38</v>
      </c>
      <c r="F35" s="1072" t="str">
        <f>Translations!$B$202</f>
        <v>Polttoaineasemat</v>
      </c>
      <c r="G35" s="1091"/>
      <c r="H35" s="1072" t="str">
        <f>Translations!$B$202</f>
        <v>Polttoaineasemat</v>
      </c>
      <c r="I35" s="1090"/>
      <c r="J35" s="1090"/>
      <c r="K35" s="1090"/>
      <c r="L35" s="1090"/>
      <c r="M35" s="1091"/>
      <c r="O35" s="292"/>
      <c r="Q35" s="31"/>
      <c r="R35" s="31"/>
      <c r="S35" s="31"/>
      <c r="T35" s="31"/>
      <c r="U35" s="31"/>
      <c r="V35" s="152"/>
      <c r="W35" s="152"/>
      <c r="X35" s="152"/>
      <c r="Y35" s="31"/>
      <c r="Z35" s="31"/>
      <c r="AA35" s="31"/>
      <c r="AB35" s="31"/>
      <c r="AC35" s="31"/>
      <c r="AD35" s="31"/>
    </row>
    <row r="36" spans="1:30" s="4" customFormat="1" ht="12.75" customHeight="1" thickBot="1" x14ac:dyDescent="0.35">
      <c r="A36" s="32"/>
      <c r="C36" s="43"/>
      <c r="D36" s="19"/>
      <c r="E36" s="491" t="s">
        <v>39</v>
      </c>
      <c r="F36" s="1077" t="str">
        <f>Translations!$B$203</f>
        <v>Suora yhteys loppukuluttajiin</v>
      </c>
      <c r="G36" s="1093"/>
      <c r="H36" s="1077" t="str">
        <f>Translations!$B$204</f>
        <v>Suorat sopimusjärjestelyt loppukuluttajien kanssa</v>
      </c>
      <c r="I36" s="1092"/>
      <c r="J36" s="1092"/>
      <c r="K36" s="1092"/>
      <c r="L36" s="1092"/>
      <c r="M36" s="1093"/>
      <c r="O36" s="292"/>
      <c r="Q36" s="31"/>
      <c r="R36" s="31"/>
      <c r="S36" s="31"/>
      <c r="T36" s="31"/>
      <c r="U36" s="31"/>
      <c r="V36" s="152"/>
      <c r="W36" s="249" t="s">
        <v>40</v>
      </c>
      <c r="X36" s="248" t="str">
        <f ca="1">ADDRESS(ROW(X37),COLUMN(),,,$T$2) &amp; ":" &amp; ADDRESS(ROW(X37)+COUNTA(X37:X46)-COUNTIF(X38:X46,EUconst_NA)-1,COLUMN())</f>
        <v>'B_Polttoainevirtojen tiedot'!$X$37:$X$37</v>
      </c>
      <c r="Y36" s="31"/>
      <c r="Z36" s="31"/>
      <c r="AA36" s="31"/>
      <c r="AB36" s="31"/>
      <c r="AC36" s="31"/>
      <c r="AD36" s="31"/>
    </row>
    <row r="37" spans="1:30" s="4" customFormat="1" ht="12.75" customHeight="1" x14ac:dyDescent="0.25">
      <c r="A37" s="31"/>
      <c r="C37" s="43"/>
      <c r="D37" s="19"/>
      <c r="E37" s="45" t="s">
        <v>41</v>
      </c>
      <c r="F37" s="1065"/>
      <c r="G37" s="967"/>
      <c r="H37" s="1076"/>
      <c r="I37" s="1058"/>
      <c r="J37" s="1058"/>
      <c r="K37" s="1058"/>
      <c r="L37" s="1058"/>
      <c r="M37" s="1058"/>
      <c r="O37" s="292"/>
      <c r="Q37" s="31"/>
      <c r="R37" s="31"/>
      <c r="S37" s="31"/>
      <c r="T37" s="31"/>
      <c r="U37" s="31">
        <v>1</v>
      </c>
      <c r="V37" s="153" t="str">
        <f t="shared" ref="V37:V46" si="2">IF(ISBLANK(F37),"",E37)</f>
        <v/>
      </c>
      <c r="W37" s="158" t="str">
        <f>IF(V37="","",MAX(W$36:W36)+1)</f>
        <v/>
      </c>
      <c r="X37" s="250" t="str">
        <f t="shared" ref="X37:X46" si="3">IF(COUNTIF($W$37:$W$46,U37)=1,INDEX($V$37:$V$46,MATCH(U37,$W$37:$W$46,0)) &amp; ": " &amp; INDEX($F$37:$F$46,MATCH(U37,$W$37:$W$46,0)),EUconst_NA)</f>
        <v>ei sovellettavissa</v>
      </c>
      <c r="Y37" s="31"/>
      <c r="Z37" s="31"/>
      <c r="AA37" s="31"/>
      <c r="AB37" s="31"/>
      <c r="AC37" s="31"/>
      <c r="AD37" s="31"/>
    </row>
    <row r="38" spans="1:30" s="4" customFormat="1" ht="12.75" customHeight="1" x14ac:dyDescent="0.25">
      <c r="A38" s="31"/>
      <c r="C38" s="43"/>
      <c r="D38" s="19"/>
      <c r="E38" s="45" t="s">
        <v>43</v>
      </c>
      <c r="F38" s="1065"/>
      <c r="G38" s="967"/>
      <c r="H38" s="1076"/>
      <c r="I38" s="1058"/>
      <c r="J38" s="1058"/>
      <c r="K38" s="1058"/>
      <c r="L38" s="1058"/>
      <c r="M38" s="1058"/>
      <c r="O38" s="292"/>
      <c r="Q38" s="31"/>
      <c r="R38" s="31"/>
      <c r="S38" s="31"/>
      <c r="T38" s="31"/>
      <c r="U38" s="31">
        <v>2</v>
      </c>
      <c r="V38" s="153" t="str">
        <f t="shared" si="2"/>
        <v/>
      </c>
      <c r="W38" s="158" t="str">
        <f>IF(V38="","",MAX(W$36:W37)+1)</f>
        <v/>
      </c>
      <c r="X38" s="251" t="str">
        <f t="shared" si="3"/>
        <v>ei sovellettavissa</v>
      </c>
      <c r="Y38" s="31"/>
      <c r="Z38" s="31"/>
      <c r="AA38" s="31"/>
      <c r="AB38" s="31"/>
      <c r="AC38" s="31"/>
      <c r="AD38" s="31"/>
    </row>
    <row r="39" spans="1:30" s="4" customFormat="1" ht="12.75" customHeight="1" x14ac:dyDescent="0.25">
      <c r="A39" s="31"/>
      <c r="C39" s="43"/>
      <c r="D39" s="19"/>
      <c r="E39" s="45" t="s">
        <v>44</v>
      </c>
      <c r="F39" s="1065"/>
      <c r="G39" s="967"/>
      <c r="H39" s="1076"/>
      <c r="I39" s="1058"/>
      <c r="J39" s="1058"/>
      <c r="K39" s="1058"/>
      <c r="L39" s="1058"/>
      <c r="M39" s="1058"/>
      <c r="O39" s="292"/>
      <c r="Q39" s="31"/>
      <c r="R39" s="31"/>
      <c r="S39" s="31"/>
      <c r="T39" s="31"/>
      <c r="U39" s="31">
        <v>3</v>
      </c>
      <c r="V39" s="153" t="str">
        <f t="shared" si="2"/>
        <v/>
      </c>
      <c r="W39" s="158" t="str">
        <f>IF(V39="","",MAX(W$36:W38)+1)</f>
        <v/>
      </c>
      <c r="X39" s="251" t="str">
        <f t="shared" si="3"/>
        <v>ei sovellettavissa</v>
      </c>
      <c r="Y39" s="31"/>
      <c r="Z39" s="31"/>
      <c r="AA39" s="31"/>
      <c r="AB39" s="31"/>
      <c r="AC39" s="31"/>
      <c r="AD39" s="31"/>
    </row>
    <row r="40" spans="1:30" s="4" customFormat="1" ht="12.75" customHeight="1" x14ac:dyDescent="0.25">
      <c r="A40" s="31"/>
      <c r="C40" s="43"/>
      <c r="D40" s="19"/>
      <c r="E40" s="45" t="s">
        <v>45</v>
      </c>
      <c r="F40" s="1065"/>
      <c r="G40" s="967"/>
      <c r="H40" s="1076"/>
      <c r="I40" s="1058"/>
      <c r="J40" s="1058"/>
      <c r="K40" s="1058"/>
      <c r="L40" s="1058"/>
      <c r="M40" s="1058"/>
      <c r="O40" s="292"/>
      <c r="Q40" s="31"/>
      <c r="R40" s="31"/>
      <c r="S40" s="31"/>
      <c r="T40" s="31"/>
      <c r="U40" s="31">
        <v>4</v>
      </c>
      <c r="V40" s="153" t="str">
        <f t="shared" si="2"/>
        <v/>
      </c>
      <c r="W40" s="158" t="str">
        <f>IF(V40="","",MAX(W$36:W39)+1)</f>
        <v/>
      </c>
      <c r="X40" s="251" t="str">
        <f t="shared" si="3"/>
        <v>ei sovellettavissa</v>
      </c>
      <c r="Y40" s="31"/>
      <c r="Z40" s="31"/>
      <c r="AA40" s="31"/>
      <c r="AB40" s="31"/>
      <c r="AC40" s="31"/>
      <c r="AD40" s="31"/>
    </row>
    <row r="41" spans="1:30" s="4" customFormat="1" ht="12.75" customHeight="1" x14ac:dyDescent="0.25">
      <c r="A41" s="31"/>
      <c r="C41" s="43"/>
      <c r="D41" s="19"/>
      <c r="E41" s="45" t="s">
        <v>46</v>
      </c>
      <c r="F41" s="1065"/>
      <c r="G41" s="967"/>
      <c r="H41" s="1076"/>
      <c r="I41" s="1058"/>
      <c r="J41" s="1058"/>
      <c r="K41" s="1058"/>
      <c r="L41" s="1058"/>
      <c r="M41" s="1058"/>
      <c r="O41" s="292"/>
      <c r="Q41" s="31"/>
      <c r="R41" s="31"/>
      <c r="S41" s="31"/>
      <c r="T41" s="31"/>
      <c r="U41" s="31">
        <v>5</v>
      </c>
      <c r="V41" s="153" t="str">
        <f t="shared" si="2"/>
        <v/>
      </c>
      <c r="W41" s="158" t="str">
        <f>IF(V41="","",MAX(W$36:W40)+1)</f>
        <v/>
      </c>
      <c r="X41" s="251" t="str">
        <f t="shared" si="3"/>
        <v>ei sovellettavissa</v>
      </c>
      <c r="Y41" s="31"/>
      <c r="Z41" s="31"/>
      <c r="AA41" s="31"/>
      <c r="AB41" s="31"/>
      <c r="AC41" s="31"/>
      <c r="AD41" s="31"/>
    </row>
    <row r="42" spans="1:30" s="4" customFormat="1" ht="12.75" customHeight="1" x14ac:dyDescent="0.25">
      <c r="A42" s="31"/>
      <c r="C42" s="43"/>
      <c r="D42" s="19"/>
      <c r="E42" s="45" t="s">
        <v>47</v>
      </c>
      <c r="F42" s="1065"/>
      <c r="G42" s="967"/>
      <c r="H42" s="1076"/>
      <c r="I42" s="1058"/>
      <c r="J42" s="1058"/>
      <c r="K42" s="1058"/>
      <c r="L42" s="1058"/>
      <c r="M42" s="1058"/>
      <c r="O42" s="292"/>
      <c r="Q42" s="31"/>
      <c r="R42" s="31"/>
      <c r="S42" s="31"/>
      <c r="T42" s="31"/>
      <c r="U42" s="31">
        <v>6</v>
      </c>
      <c r="V42" s="153" t="str">
        <f t="shared" si="2"/>
        <v/>
      </c>
      <c r="W42" s="158" t="str">
        <f>IF(V42="","",MAX(W$36:W41)+1)</f>
        <v/>
      </c>
      <c r="X42" s="251" t="str">
        <f t="shared" si="3"/>
        <v>ei sovellettavissa</v>
      </c>
      <c r="Y42" s="31"/>
      <c r="Z42" s="31"/>
      <c r="AA42" s="31"/>
      <c r="AB42" s="31"/>
      <c r="AC42" s="31"/>
      <c r="AD42" s="31"/>
    </row>
    <row r="43" spans="1:30" s="4" customFormat="1" ht="12.75" customHeight="1" x14ac:dyDescent="0.25">
      <c r="A43" s="31"/>
      <c r="C43" s="43"/>
      <c r="D43" s="19"/>
      <c r="E43" s="45" t="s">
        <v>48</v>
      </c>
      <c r="F43" s="1065"/>
      <c r="G43" s="967"/>
      <c r="H43" s="1076"/>
      <c r="I43" s="1058"/>
      <c r="J43" s="1058"/>
      <c r="K43" s="1058"/>
      <c r="L43" s="1058"/>
      <c r="M43" s="1058"/>
      <c r="O43" s="292"/>
      <c r="Q43" s="31"/>
      <c r="R43" s="31"/>
      <c r="S43" s="31"/>
      <c r="T43" s="31"/>
      <c r="U43" s="31">
        <v>7</v>
      </c>
      <c r="V43" s="153" t="str">
        <f t="shared" si="2"/>
        <v/>
      </c>
      <c r="W43" s="158" t="str">
        <f>IF(V43="","",MAX(W$36:W42)+1)</f>
        <v/>
      </c>
      <c r="X43" s="251" t="str">
        <f t="shared" si="3"/>
        <v>ei sovellettavissa</v>
      </c>
      <c r="Y43" s="31"/>
      <c r="Z43" s="31"/>
      <c r="AA43" s="31"/>
      <c r="AB43" s="31"/>
      <c r="AC43" s="31"/>
      <c r="AD43" s="31"/>
    </row>
    <row r="44" spans="1:30" s="4" customFormat="1" ht="12.75" customHeight="1" x14ac:dyDescent="0.25">
      <c r="A44" s="31"/>
      <c r="C44" s="43"/>
      <c r="D44" s="19"/>
      <c r="E44" s="45" t="s">
        <v>49</v>
      </c>
      <c r="F44" s="1065"/>
      <c r="G44" s="967"/>
      <c r="H44" s="1076"/>
      <c r="I44" s="1058"/>
      <c r="J44" s="1058"/>
      <c r="K44" s="1058"/>
      <c r="L44" s="1058"/>
      <c r="M44" s="1058"/>
      <c r="O44" s="292"/>
      <c r="Q44" s="31"/>
      <c r="R44" s="31"/>
      <c r="S44" s="31"/>
      <c r="T44" s="31"/>
      <c r="U44" s="31">
        <v>8</v>
      </c>
      <c r="V44" s="153" t="str">
        <f t="shared" si="2"/>
        <v/>
      </c>
      <c r="W44" s="158" t="str">
        <f>IF(V44="","",MAX(W$36:W43)+1)</f>
        <v/>
      </c>
      <c r="X44" s="251" t="str">
        <f t="shared" si="3"/>
        <v>ei sovellettavissa</v>
      </c>
      <c r="Y44" s="31"/>
      <c r="Z44" s="31"/>
      <c r="AA44" s="31"/>
      <c r="AB44" s="31"/>
      <c r="AC44" s="31"/>
      <c r="AD44" s="31"/>
    </row>
    <row r="45" spans="1:30" s="4" customFormat="1" ht="12.75" customHeight="1" x14ac:dyDescent="0.25">
      <c r="A45" s="31"/>
      <c r="C45" s="43"/>
      <c r="D45" s="19"/>
      <c r="E45" s="45" t="s">
        <v>50</v>
      </c>
      <c r="F45" s="1065"/>
      <c r="G45" s="967"/>
      <c r="H45" s="1076"/>
      <c r="I45" s="1058"/>
      <c r="J45" s="1058"/>
      <c r="K45" s="1058"/>
      <c r="L45" s="1058"/>
      <c r="M45" s="1058"/>
      <c r="O45" s="292"/>
      <c r="Q45" s="31"/>
      <c r="R45" s="31"/>
      <c r="S45" s="31"/>
      <c r="T45" s="31"/>
      <c r="U45" s="31">
        <v>9</v>
      </c>
      <c r="V45" s="153" t="str">
        <f t="shared" si="2"/>
        <v/>
      </c>
      <c r="W45" s="158" t="str">
        <f>IF(V45="","",MAX(W$36:W44)+1)</f>
        <v/>
      </c>
      <c r="X45" s="251" t="str">
        <f t="shared" si="3"/>
        <v>ei sovellettavissa</v>
      </c>
      <c r="Y45" s="31"/>
      <c r="Z45" s="31"/>
      <c r="AA45" s="31"/>
      <c r="AB45" s="31"/>
      <c r="AC45" s="31"/>
      <c r="AD45" s="31"/>
    </row>
    <row r="46" spans="1:30" s="4" customFormat="1" ht="12.75" customHeight="1" thickBot="1" x14ac:dyDescent="0.3">
      <c r="A46" s="31"/>
      <c r="C46" s="43"/>
      <c r="D46" s="19"/>
      <c r="E46" s="45" t="s">
        <v>51</v>
      </c>
      <c r="F46" s="1065"/>
      <c r="G46" s="967"/>
      <c r="H46" s="1076"/>
      <c r="I46" s="1058"/>
      <c r="J46" s="1058"/>
      <c r="K46" s="1058"/>
      <c r="L46" s="1058"/>
      <c r="M46" s="1058"/>
      <c r="O46" s="292"/>
      <c r="Q46" s="31"/>
      <c r="R46" s="31"/>
      <c r="S46" s="31"/>
      <c r="T46" s="31"/>
      <c r="U46" s="31">
        <v>10</v>
      </c>
      <c r="V46" s="153" t="str">
        <f t="shared" si="2"/>
        <v/>
      </c>
      <c r="W46" s="158" t="str">
        <f>IF(V46="","",MAX(W$36:W45)+1)</f>
        <v/>
      </c>
      <c r="X46" s="252" t="str">
        <f t="shared" si="3"/>
        <v>ei sovellettavissa</v>
      </c>
      <c r="Y46" s="31"/>
      <c r="Z46" s="31"/>
      <c r="AA46" s="31"/>
      <c r="AB46" s="31"/>
      <c r="AC46" s="31"/>
      <c r="AD46" s="31"/>
    </row>
    <row r="47" spans="1:30" s="4" customFormat="1" ht="12.75" customHeight="1" x14ac:dyDescent="0.3">
      <c r="A47" s="31"/>
      <c r="C47" s="43"/>
      <c r="D47" s="19"/>
      <c r="O47" s="292"/>
      <c r="Q47" s="31"/>
      <c r="R47" s="31"/>
      <c r="S47" s="31"/>
      <c r="T47" s="31"/>
      <c r="U47" s="31"/>
      <c r="V47" s="801"/>
      <c r="W47" s="31"/>
      <c r="X47" s="31"/>
      <c r="Y47" s="31"/>
      <c r="Z47" s="31"/>
      <c r="AA47" s="31"/>
      <c r="AB47" s="31"/>
      <c r="AC47" s="31"/>
      <c r="AD47" s="31"/>
    </row>
    <row r="48" spans="1:30" s="21" customFormat="1" ht="18.75" customHeight="1" x14ac:dyDescent="0.25">
      <c r="A48" s="161">
        <f>C48</f>
        <v>2</v>
      </c>
      <c r="C48" s="24">
        <v>2</v>
      </c>
      <c r="D48" s="983" t="str">
        <f>Translations!$B$205</f>
        <v>Polttoainevirrat</v>
      </c>
      <c r="E48" s="983"/>
      <c r="F48" s="983"/>
      <c r="G48" s="983"/>
      <c r="H48" s="983"/>
      <c r="I48" s="983"/>
      <c r="J48" s="983"/>
      <c r="K48" s="983"/>
      <c r="L48" s="983"/>
      <c r="M48" s="983"/>
      <c r="N48" s="983"/>
      <c r="O48" s="288"/>
      <c r="Q48" s="154" t="str">
        <f>D48</f>
        <v>Polttoainevirrat</v>
      </c>
      <c r="R48" s="31"/>
      <c r="S48" s="31"/>
      <c r="T48" s="31"/>
      <c r="U48" s="31"/>
      <c r="V48" s="31"/>
      <c r="W48" s="31"/>
      <c r="X48" s="31"/>
      <c r="Y48" s="31"/>
      <c r="Z48" s="31"/>
      <c r="AA48" s="31"/>
      <c r="AB48" s="31"/>
      <c r="AC48" s="31"/>
      <c r="AD48" s="31"/>
    </row>
    <row r="49" spans="1:30" s="4" customFormat="1" ht="5.15" customHeight="1" x14ac:dyDescent="0.25">
      <c r="A49" s="31"/>
      <c r="C49" s="827"/>
      <c r="O49" s="292"/>
      <c r="Q49" s="31"/>
      <c r="R49" s="31"/>
      <c r="S49" s="31"/>
      <c r="T49" s="31"/>
      <c r="U49" s="31"/>
      <c r="V49" s="31"/>
      <c r="W49" s="31"/>
      <c r="X49" s="31"/>
      <c r="Y49" s="31"/>
      <c r="Z49" s="31"/>
      <c r="AA49" s="31"/>
      <c r="AB49" s="31"/>
      <c r="AC49" s="31"/>
      <c r="AD49" s="31"/>
    </row>
    <row r="50" spans="1:30" s="21" customFormat="1" ht="12.75" customHeight="1" x14ac:dyDescent="0.25">
      <c r="A50" s="114"/>
      <c r="C50" s="828"/>
      <c r="D50" s="50" t="s">
        <v>5</v>
      </c>
      <c r="E50" s="1071" t="str">
        <f>Translations!$B$206</f>
        <v>Polttoainevirtojen tyypit:</v>
      </c>
      <c r="F50" s="1071"/>
      <c r="G50" s="1071"/>
      <c r="H50" s="1071"/>
      <c r="I50" s="1071"/>
      <c r="J50" s="1071"/>
      <c r="K50" s="1071"/>
      <c r="L50" s="1071"/>
      <c r="M50" s="1071"/>
      <c r="N50" s="4"/>
      <c r="O50" s="288"/>
      <c r="Q50" s="160"/>
      <c r="R50" s="157"/>
      <c r="S50" s="114"/>
      <c r="T50" s="114"/>
      <c r="U50" s="114"/>
      <c r="V50" s="114"/>
      <c r="W50" s="31"/>
      <c r="X50" s="31"/>
      <c r="Y50" s="31"/>
      <c r="Z50" s="31"/>
      <c r="AA50" s="31"/>
      <c r="AB50" s="114"/>
      <c r="AC50" s="114"/>
      <c r="AD50" s="114"/>
    </row>
    <row r="51" spans="1:30" s="4" customFormat="1" ht="12.75" customHeight="1" x14ac:dyDescent="0.25">
      <c r="A51" s="31"/>
      <c r="C51" s="827"/>
      <c r="D51" s="19"/>
      <c r="E51" s="972" t="str">
        <f>Translations!$B$327</f>
        <v xml:space="preserve">Listaa alla olevaan taulukkoon polttoainevirrat, joiden päästöjä raportoit. </v>
      </c>
      <c r="F51" s="972"/>
      <c r="G51" s="972"/>
      <c r="H51" s="972"/>
      <c r="I51" s="972"/>
      <c r="J51" s="972"/>
      <c r="K51" s="972"/>
      <c r="L51" s="972"/>
      <c r="M51" s="972"/>
      <c r="N51" s="972"/>
      <c r="O51" s="292"/>
      <c r="Q51" s="151"/>
      <c r="R51" s="151"/>
      <c r="S51" s="31"/>
      <c r="T51" s="31"/>
      <c r="U51" s="31"/>
      <c r="V51" s="31"/>
      <c r="W51" s="31"/>
      <c r="X51" s="31"/>
      <c r="Y51" s="31"/>
      <c r="Z51" s="31"/>
      <c r="AA51" s="31"/>
      <c r="AB51" s="31"/>
      <c r="AC51" s="31"/>
      <c r="AD51" s="31"/>
    </row>
    <row r="52" spans="1:30" s="4" customFormat="1" ht="22.5" customHeight="1" x14ac:dyDescent="0.25">
      <c r="A52" s="31"/>
      <c r="C52" s="827"/>
      <c r="D52" s="19"/>
      <c r="E52" s="972" t="str">
        <f>Translations!$B$328</f>
        <v xml:space="preserve">Mikäli polttoainetta ei löydy listoilta, käytä lisätiedoissa ensisijaisesti Tilastokeskuksen 2024 polttoaineluokituksen nimikettä. Mikäli polttoainetta ei löydy luokituksesta, ilmoita polttoaineen nimi ja tullikoodi eli CN-koodi. </v>
      </c>
      <c r="F52" s="972"/>
      <c r="G52" s="972"/>
      <c r="H52" s="972"/>
      <c r="I52" s="972"/>
      <c r="J52" s="972"/>
      <c r="K52" s="972"/>
      <c r="L52" s="972"/>
      <c r="M52" s="972"/>
      <c r="N52" s="972"/>
      <c r="O52" s="292"/>
      <c r="Q52" s="151"/>
      <c r="R52" s="151"/>
      <c r="S52" s="31"/>
      <c r="T52" s="31"/>
      <c r="U52" s="31"/>
      <c r="V52" s="31"/>
      <c r="W52" s="31"/>
      <c r="X52" s="31"/>
      <c r="Y52" s="31"/>
      <c r="Z52" s="31"/>
      <c r="AA52" s="31"/>
      <c r="AB52" s="31"/>
      <c r="AC52" s="31"/>
      <c r="AD52" s="31"/>
    </row>
    <row r="53" spans="1:30" s="4" customFormat="1" ht="11" customHeight="1" x14ac:dyDescent="0.25">
      <c r="A53" s="31"/>
      <c r="C53" s="827"/>
      <c r="D53" s="19"/>
      <c r="E53" s="167" t="s">
        <v>1818</v>
      </c>
      <c r="F53" s="972" t="str">
        <f>Translations!$B$329</f>
        <v>Valitse polttoainevirran tyyppi pudotusvalikosta.</v>
      </c>
      <c r="G53" s="972"/>
      <c r="H53" s="972"/>
      <c r="I53" s="972"/>
      <c r="J53" s="972"/>
      <c r="K53" s="972"/>
      <c r="L53" s="972"/>
      <c r="M53" s="972"/>
      <c r="N53" s="972"/>
      <c r="O53" s="292"/>
      <c r="Q53" s="151"/>
      <c r="R53" s="151"/>
      <c r="S53" s="31"/>
      <c r="T53" s="31"/>
      <c r="U53" s="31"/>
      <c r="V53" s="31"/>
      <c r="W53" s="31"/>
      <c r="X53" s="31"/>
      <c r="Y53" s="31"/>
      <c r="Z53" s="31"/>
      <c r="AA53" s="31"/>
      <c r="AB53" s="31"/>
      <c r="AC53" s="31"/>
      <c r="AD53" s="31"/>
    </row>
    <row r="54" spans="1:30" s="4" customFormat="1" ht="1" customHeight="1" x14ac:dyDescent="0.25">
      <c r="A54" s="31"/>
      <c r="C54" s="827"/>
      <c r="D54" s="19"/>
      <c r="E54" s="133"/>
      <c r="F54" s="972"/>
      <c r="G54" s="972"/>
      <c r="H54" s="972"/>
      <c r="I54" s="972"/>
      <c r="J54" s="972"/>
      <c r="K54" s="972"/>
      <c r="L54" s="972"/>
      <c r="M54" s="972"/>
      <c r="N54" s="972"/>
      <c r="O54" s="292"/>
      <c r="Q54" s="151"/>
      <c r="R54" s="151"/>
      <c r="S54" s="31"/>
      <c r="T54" s="31"/>
      <c r="U54" s="31"/>
      <c r="V54" s="31"/>
      <c r="W54" s="31"/>
      <c r="X54" s="31"/>
      <c r="Y54" s="31"/>
      <c r="Z54" s="31"/>
      <c r="AA54" s="31"/>
      <c r="AB54" s="31"/>
      <c r="AC54" s="31"/>
      <c r="AD54" s="31"/>
    </row>
    <row r="55" spans="1:30" s="4" customFormat="1" ht="12.75" customHeight="1" x14ac:dyDescent="0.25">
      <c r="A55" s="31"/>
      <c r="C55" s="827"/>
      <c r="D55" s="19"/>
      <c r="E55" s="167" t="s">
        <v>1819</v>
      </c>
      <c r="F55" s="972" t="str">
        <f>Translations!$B$331</f>
        <v>Valitse polttoainevirran luokka pudotusvalikosta.</v>
      </c>
      <c r="G55" s="972"/>
      <c r="H55" s="972"/>
      <c r="I55" s="972"/>
      <c r="J55" s="972"/>
      <c r="K55" s="972"/>
      <c r="L55" s="972"/>
      <c r="M55" s="972"/>
      <c r="N55" s="972"/>
      <c r="O55" s="292"/>
      <c r="Q55" s="151"/>
      <c r="R55" s="151"/>
      <c r="S55" s="31"/>
      <c r="T55" s="31"/>
      <c r="U55" s="31"/>
      <c r="V55" s="31"/>
      <c r="W55" s="31"/>
      <c r="X55" s="31"/>
      <c r="Y55" s="31"/>
      <c r="Z55" s="31"/>
      <c r="AA55" s="31"/>
      <c r="AB55" s="31"/>
      <c r="AC55" s="31"/>
      <c r="AD55" s="31"/>
    </row>
    <row r="56" spans="1:30" s="4" customFormat="1" ht="12.75" customHeight="1" x14ac:dyDescent="0.25">
      <c r="A56" s="31"/>
      <c r="C56" s="827"/>
      <c r="D56" s="19"/>
      <c r="E56" s="167" t="s">
        <v>52</v>
      </c>
      <c r="F56" s="1112" t="str">
        <f>Translations!$B$332</f>
        <v>Luettelossa näkyvät polttoainevirran luokat vaihtuvat valitun polttoainevirran tyypin mukaan ja voivat olla esim. "Kaasumainen - Maakaasu", "Nestemäinen – Kevyt polttoöljy (seos)".</v>
      </c>
      <c r="G56" s="1112"/>
      <c r="H56" s="1112"/>
      <c r="I56" s="1112"/>
      <c r="J56" s="1112"/>
      <c r="K56" s="1112"/>
      <c r="L56" s="1112"/>
      <c r="M56" s="1112"/>
      <c r="N56" s="1112"/>
      <c r="O56" s="292"/>
      <c r="Q56" s="151"/>
      <c r="R56" s="151"/>
      <c r="S56" s="31"/>
      <c r="T56" s="31"/>
      <c r="U56" s="31"/>
      <c r="V56" s="31"/>
      <c r="W56" s="31"/>
      <c r="X56" s="31"/>
      <c r="Y56" s="31"/>
      <c r="Z56" s="31"/>
      <c r="AA56" s="31"/>
      <c r="AB56" s="31"/>
      <c r="AC56" s="31"/>
      <c r="AD56" s="31"/>
    </row>
    <row r="57" spans="1:30" s="4" customFormat="1" ht="30.5" customHeight="1" x14ac:dyDescent="0.25">
      <c r="A57" s="31"/>
      <c r="C57" s="827"/>
      <c r="D57" s="19"/>
      <c r="E57" s="167" t="s">
        <v>52</v>
      </c>
      <c r="F57" s="1112" t="str">
        <f>Translations!$B$333</f>
        <v xml:space="preserve">Huom! Jos polttoainetta ei löydy pudotus valikoista, valitse sopivin Muut-alkuinen luokka esimerkiksi "Muut nestemäiset polttoaineet" tai "Muut petrolit". Muut-luokille ei ole annettu tässä excelissä valmiiksi laskentakertoimia perustuen kansalliseen päästöinventaarioon. Jos tällainen polttoainevirta on erittäin vähämerkityksinen, konservatiivisen arvion päästöistä voi tehdä valitsemalla polttoaineluokan, joka on lähimpänä polttoaineen ominaisuuksia. </v>
      </c>
      <c r="G57" s="1112"/>
      <c r="H57" s="1112"/>
      <c r="I57" s="1112"/>
      <c r="J57" s="1112"/>
      <c r="K57" s="1112"/>
      <c r="L57" s="1112"/>
      <c r="M57" s="1112"/>
      <c r="N57" s="1112"/>
      <c r="O57" s="292"/>
      <c r="Q57" s="151"/>
      <c r="R57" s="151"/>
      <c r="S57" s="31"/>
      <c r="T57" s="31"/>
      <c r="U57" s="31"/>
      <c r="V57" s="31"/>
      <c r="W57" s="31"/>
      <c r="X57" s="31"/>
      <c r="Y57" s="31"/>
      <c r="Z57" s="31"/>
      <c r="AA57" s="31"/>
      <c r="AB57" s="31"/>
      <c r="AC57" s="31"/>
      <c r="AD57" s="31"/>
    </row>
    <row r="58" spans="1:30" s="4" customFormat="1" ht="3" hidden="1" customHeight="1" x14ac:dyDescent="0.25">
      <c r="A58" s="31"/>
      <c r="C58" s="827"/>
      <c r="D58" s="19"/>
      <c r="E58" s="167"/>
      <c r="F58" s="972"/>
      <c r="G58" s="972"/>
      <c r="H58" s="972"/>
      <c r="I58" s="972"/>
      <c r="J58" s="972"/>
      <c r="K58" s="972"/>
      <c r="L58" s="972"/>
      <c r="M58" s="972"/>
      <c r="N58" s="972"/>
      <c r="O58" s="292"/>
      <c r="Q58" s="151"/>
      <c r="R58" s="151"/>
      <c r="S58" s="31"/>
      <c r="T58" s="31"/>
      <c r="U58" s="31"/>
      <c r="V58" s="31"/>
      <c r="W58" s="31"/>
      <c r="X58" s="31"/>
      <c r="Y58" s="31"/>
      <c r="Z58" s="31"/>
      <c r="AA58" s="31"/>
      <c r="AB58" s="31"/>
      <c r="AC58" s="31"/>
      <c r="AD58" s="31"/>
    </row>
    <row r="59" spans="1:30" s="4" customFormat="1" ht="21.5" customHeight="1" x14ac:dyDescent="0.25">
      <c r="A59" s="31"/>
      <c r="C59" s="827"/>
      <c r="D59" s="19"/>
      <c r="E59" s="167" t="s">
        <v>1820</v>
      </c>
      <c r="F59" s="972" t="str">
        <f>Translations!$B$335</f>
        <v>Anna lisätietokentässä polltoainevirran tunnistettavuutta parantavia lisätietoja.  Riippuen valitusta polttoainevirran luokasta, lisätietojen antaminen on joko pakollista (solu kirkkaan keltainen) tai vapaaehtoista (solu vaalean keltainen). Antamasi lisätieto näkyy polttoainevirran nimessä C-välilehdellä.</v>
      </c>
      <c r="G59" s="972"/>
      <c r="H59" s="972"/>
      <c r="I59" s="972"/>
      <c r="J59" s="972"/>
      <c r="K59" s="972"/>
      <c r="L59" s="972"/>
      <c r="M59" s="972"/>
      <c r="N59" s="972"/>
      <c r="O59" s="292"/>
      <c r="Q59" s="151"/>
      <c r="R59" s="151"/>
      <c r="S59" s="31"/>
      <c r="T59" s="31"/>
      <c r="U59" s="31"/>
      <c r="V59" s="31"/>
      <c r="W59" s="31"/>
      <c r="X59" s="31"/>
      <c r="Y59" s="31"/>
      <c r="Z59" s="31"/>
      <c r="AA59" s="31"/>
      <c r="AB59" s="31"/>
      <c r="AC59" s="31"/>
      <c r="AD59" s="31"/>
    </row>
    <row r="60" spans="1:30" s="4" customFormat="1" ht="22" customHeight="1" x14ac:dyDescent="0.25">
      <c r="A60" s="31"/>
      <c r="C60" s="827"/>
      <c r="D60" s="19"/>
      <c r="E60" s="642"/>
      <c r="F60" s="1112" t="str">
        <f>Translations!B336</f>
        <v xml:space="preserve">Mikäli valitsit polttoaineen luokkaan Muut-alkuisen kuvauksen, kerro lisätietokentässä, mistä polttoaineesta on kyse. Käytä ensisijaisesti Tilastokeskuksen polttoaineluokituksen nimikkeitä tai mikäli polttoainetta ei löydy sieltä, kerro nimi sekä tullikoodi eli CN-koodi. </v>
      </c>
      <c r="G60" s="1112"/>
      <c r="H60" s="1112"/>
      <c r="I60" s="1112"/>
      <c r="J60" s="1112"/>
      <c r="K60" s="1112"/>
      <c r="L60" s="1112"/>
      <c r="M60" s="1112"/>
      <c r="N60" s="1112"/>
      <c r="O60" s="292"/>
      <c r="Q60" s="151"/>
      <c r="R60" s="151"/>
      <c r="S60" s="31"/>
      <c r="T60" s="31"/>
      <c r="U60" s="31"/>
      <c r="V60" s="31"/>
      <c r="W60" s="31"/>
      <c r="X60" s="31"/>
      <c r="Y60" s="31"/>
      <c r="Z60" s="31"/>
      <c r="AA60" s="31"/>
      <c r="AB60" s="31"/>
      <c r="AC60" s="31"/>
      <c r="AD60" s="31"/>
    </row>
    <row r="61" spans="1:30" s="4" customFormat="1" ht="11.5" customHeight="1" x14ac:dyDescent="0.25">
      <c r="A61" s="31"/>
      <c r="C61" s="827"/>
      <c r="D61" s="19"/>
      <c r="E61" s="1066" t="str">
        <f>Translations!$B$337</f>
        <v>Kolmella ensimmäisellä rivillä on esimerkkejä siitä, miten tämä osa täytetään.</v>
      </c>
      <c r="F61" s="1067"/>
      <c r="G61" s="1067"/>
      <c r="H61" s="1067"/>
      <c r="I61" s="1067"/>
      <c r="J61" s="1067"/>
      <c r="K61" s="1067"/>
      <c r="L61" s="1067"/>
      <c r="M61" s="1067"/>
      <c r="N61" s="1067"/>
      <c r="O61" s="292"/>
      <c r="Q61" s="31"/>
      <c r="R61" s="31"/>
      <c r="S61" s="31"/>
      <c r="T61" s="31"/>
      <c r="U61" s="31"/>
      <c r="V61" s="31"/>
      <c r="W61" s="31"/>
      <c r="X61" s="31"/>
      <c r="Y61" s="31"/>
      <c r="Z61" s="31"/>
      <c r="AA61" s="31"/>
      <c r="AB61" s="31"/>
      <c r="AC61" s="31"/>
      <c r="AD61" s="31"/>
    </row>
    <row r="62" spans="1:30" s="4" customFormat="1" ht="5.15" customHeight="1" x14ac:dyDescent="0.25">
      <c r="A62" s="31"/>
      <c r="C62" s="827"/>
      <c r="D62" s="19"/>
      <c r="G62" s="150"/>
      <c r="O62" s="292"/>
      <c r="Q62" s="31"/>
      <c r="R62" s="31"/>
      <c r="S62" s="31"/>
      <c r="T62" s="31"/>
      <c r="U62" s="31"/>
      <c r="V62" s="31"/>
      <c r="W62" s="31"/>
      <c r="X62" s="31"/>
      <c r="Y62" s="31"/>
      <c r="Z62" s="31"/>
      <c r="AA62" s="31"/>
      <c r="AB62" s="31"/>
      <c r="AC62" s="31"/>
      <c r="AD62" s="31"/>
    </row>
    <row r="63" spans="1:30" s="4" customFormat="1" ht="22.5" customHeight="1" x14ac:dyDescent="0.25">
      <c r="A63" s="31"/>
      <c r="C63" s="827"/>
      <c r="D63" s="57" t="s">
        <v>53</v>
      </c>
      <c r="E63" s="1096" t="str">
        <f>Translations!$B$207</f>
        <v>Polttoainevirran tyyppi</v>
      </c>
      <c r="F63" s="1096"/>
      <c r="G63" s="1096"/>
      <c r="H63" s="1096"/>
      <c r="I63" s="1096" t="str">
        <f>Translations!$B$338</f>
        <v>Polttoainevirran luokka</v>
      </c>
      <c r="J63" s="1096"/>
      <c r="K63" s="1096"/>
      <c r="L63" s="1096" t="str">
        <f>Translations!$B$339</f>
        <v>Lisätiedot</v>
      </c>
      <c r="M63" s="1096"/>
      <c r="N63" s="390" t="str">
        <f>Translations!$B$340</f>
        <v xml:space="preserve">Mahdollinen puute annetuissa tiedoissa </v>
      </c>
      <c r="O63" s="292"/>
      <c r="Q63" s="31"/>
      <c r="R63" s="31"/>
      <c r="S63" s="31"/>
      <c r="T63" s="31"/>
      <c r="U63" s="31"/>
      <c r="V63" s="31"/>
      <c r="W63" s="31"/>
      <c r="X63" s="31"/>
      <c r="Y63" s="31"/>
      <c r="Z63" s="31"/>
      <c r="AA63" s="31"/>
      <c r="AB63" s="31"/>
      <c r="AC63" s="31"/>
      <c r="AD63" s="31"/>
    </row>
    <row r="64" spans="1:30" s="4" customFormat="1" ht="12.75" customHeight="1" x14ac:dyDescent="0.25">
      <c r="A64" s="32"/>
      <c r="C64" s="827"/>
      <c r="D64" s="490" t="s">
        <v>54</v>
      </c>
      <c r="E64" s="1094" t="str">
        <f>Translations!$B$134</f>
        <v>Kaupalliset peruspolttoaineet</v>
      </c>
      <c r="F64" s="1094"/>
      <c r="G64" s="1094"/>
      <c r="H64" s="1094"/>
      <c r="I64" s="1094" t="str">
        <f>Translations!$B$341</f>
        <v>Nestemäinen – Moottoribensiini</v>
      </c>
      <c r="J64" s="1094"/>
      <c r="K64" s="1094"/>
      <c r="L64" s="1097"/>
      <c r="M64" s="1097"/>
      <c r="N64" s="664"/>
      <c r="O64" s="292"/>
      <c r="Q64" s="31"/>
      <c r="R64" s="31"/>
      <c r="S64" s="31"/>
      <c r="T64" s="31"/>
      <c r="U64" s="31"/>
      <c r="V64" s="31"/>
      <c r="W64" s="31"/>
      <c r="X64" s="31"/>
      <c r="Y64" s="31"/>
      <c r="Z64" s="31"/>
      <c r="AA64" s="31"/>
      <c r="AB64" s="31"/>
      <c r="AC64" s="31"/>
      <c r="AD64" s="31"/>
    </row>
    <row r="65" spans="1:30" s="4" customFormat="1" ht="23.15" customHeight="1" x14ac:dyDescent="0.25">
      <c r="A65" s="32"/>
      <c r="C65" s="827"/>
      <c r="D65" s="654" t="s">
        <v>55</v>
      </c>
      <c r="E65" s="1113" t="str">
        <f>Translations!$B$139</f>
        <v>Muut kaasumaiset ja nestemäiset polttoaineet</v>
      </c>
      <c r="F65" s="1113"/>
      <c r="G65" s="1113"/>
      <c r="H65" s="1113"/>
      <c r="I65" s="1113" t="str">
        <f>Translations!$B$342</f>
        <v>Kaasumainen – Maakaasu</v>
      </c>
      <c r="J65" s="1113"/>
      <c r="K65" s="1113"/>
      <c r="L65" s="1114" t="str">
        <f>Translations!$B$343</f>
        <v xml:space="preserve">Maakaasu – loppukäyttö ETS1-päästökaupan soveltamisalassa </v>
      </c>
      <c r="M65" s="1115"/>
      <c r="N65" s="665"/>
      <c r="O65" s="292"/>
      <c r="Q65" s="31"/>
      <c r="R65" s="31"/>
      <c r="S65" s="31"/>
      <c r="T65" s="31"/>
      <c r="U65" s="31"/>
      <c r="V65" s="31"/>
      <c r="W65" s="31"/>
      <c r="X65" s="31"/>
      <c r="Y65" s="31"/>
      <c r="Z65" s="31"/>
      <c r="AA65" s="31"/>
      <c r="AB65" s="31"/>
      <c r="AC65" s="31"/>
      <c r="AD65" s="31"/>
    </row>
    <row r="66" spans="1:30" s="4" customFormat="1" ht="23.15" customHeight="1" x14ac:dyDescent="0.25">
      <c r="A66" s="32"/>
      <c r="C66" s="827"/>
      <c r="D66" s="491" t="str">
        <f>Translations!$B$344</f>
        <v>P03</v>
      </c>
      <c r="E66" s="1095" t="str">
        <f>Translations!$B$139</f>
        <v>Muut kaasumaiset ja nestemäiset polttoaineet</v>
      </c>
      <c r="F66" s="1095"/>
      <c r="G66" s="1095"/>
      <c r="H66" s="1095"/>
      <c r="I66" s="1095" t="str">
        <f>Translations!$B$342</f>
        <v>Kaasumainen – Maakaasu</v>
      </c>
      <c r="J66" s="1095"/>
      <c r="K66" s="1095"/>
      <c r="L66" s="1098" t="str">
        <f>Translations!$B$345</f>
        <v xml:space="preserve">Maakaasu – loppukäyttö ETS2-päästökaupan soveltamisalassa </v>
      </c>
      <c r="M66" s="1099"/>
      <c r="N66" s="666"/>
      <c r="O66" s="292"/>
      <c r="Q66" s="31"/>
      <c r="R66" s="31"/>
      <c r="S66" s="31"/>
      <c r="T66" s="31"/>
      <c r="U66" s="31"/>
      <c r="V66" s="31"/>
      <c r="W66" s="31"/>
      <c r="X66" s="32" t="s">
        <v>56</v>
      </c>
      <c r="Y66" s="32" t="s">
        <v>57</v>
      </c>
      <c r="Z66" s="31"/>
      <c r="AA66" s="31"/>
      <c r="AB66" s="31" t="s">
        <v>58</v>
      </c>
      <c r="AC66" s="31" t="s">
        <v>59</v>
      </c>
      <c r="AD66" s="31"/>
    </row>
    <row r="67" spans="1:30" s="4" customFormat="1" ht="12.75" customHeight="1" x14ac:dyDescent="0.25">
      <c r="A67" s="31"/>
      <c r="C67" s="827"/>
      <c r="D67" s="45" t="s">
        <v>60</v>
      </c>
      <c r="E67" s="1064"/>
      <c r="F67" s="1064"/>
      <c r="G67" s="1064"/>
      <c r="H67" s="1064"/>
      <c r="I67" s="1076"/>
      <c r="J67" s="1076"/>
      <c r="K67" s="1076"/>
      <c r="L67" s="1063"/>
      <c r="M67" s="1063"/>
      <c r="N67" s="667" t="str">
        <f t="shared" ref="N67:N91" si="4">IF(E67="","",IF(OR(AND($X67=FALSE,COUNTA(E67:M67)&lt;3),AND($X67=TRUE,COUNTA(E67:K67)&lt;2)),EUconst_ERR_Incomplete,""))</f>
        <v/>
      </c>
      <c r="O67" s="292"/>
      <c r="Q67" s="31"/>
      <c r="R67" s="31"/>
      <c r="S67" s="31"/>
      <c r="T67" s="154" t="str">
        <f t="shared" ref="T67:T91" si="5">EUconst_CNTR_SourceStreamName&amp;I67</f>
        <v>SourceStreamName_</v>
      </c>
      <c r="U67" s="154" t="str">
        <f t="shared" ref="U67:U91" si="6">EUconst_CNTR_SourceStreamClass&amp;E67</f>
        <v>SourceStreamClass_</v>
      </c>
      <c r="V67" s="31"/>
      <c r="W67" s="31"/>
      <c r="X67" s="154" t="b">
        <f t="shared" ref="X67:X91" si="7">IF(OR(COUNTA(E67:K67)&lt;2,COUNTIF(MSPara_SourceStreamCategory,I67)=0),FALSE,INDEX(MSPara_NameOptional,MATCH(I67,MSPara_SourceStreamCategory,0)))</f>
        <v>0</v>
      </c>
      <c r="Y67" s="154" t="str">
        <f t="shared" ref="Y67:Y91" si="8">IF(COUNTIF(EUConst_TierActivityListNames,E67)=0,"",INDEX(MSPara_CategoryAddress,MATCH(E67,EUConst_TierActivityListNames,0)))</f>
        <v/>
      </c>
      <c r="Z67" s="154" t="str">
        <f>IF(ISBLANK(E67),"",E67&amp; IF(ISBLANK(I67),"","; " &amp;I67) &amp; IF(ISBLANK(L67),"","; " &amp;L67))</f>
        <v/>
      </c>
      <c r="AA67" s="154" t="str">
        <f t="shared" ref="AA67:AA91" si="9">IF(ISBLANK(E67),EUconst_NA,I67&amp;IF(ISBLANK(L67),"","; "&amp;L67))</f>
        <v>ei sovellettavissa</v>
      </c>
      <c r="AB67" s="154" t="str">
        <f t="shared" ref="AB67:AB91" si="10">IF(ISBLANK(E67),EUconst_NA,D67&amp;". "&amp;AA67)</f>
        <v>ei sovellettavissa</v>
      </c>
      <c r="AC67" s="154" t="b">
        <f>IF(AA67=EUconst_NA,FALSE,COUNTIF($AA$66:AA67,AA67)&gt;1)</f>
        <v>0</v>
      </c>
      <c r="AD67" s="31"/>
    </row>
    <row r="68" spans="1:30" s="4" customFormat="1" ht="12.75" customHeight="1" x14ac:dyDescent="0.25">
      <c r="A68" s="31"/>
      <c r="C68" s="43"/>
      <c r="D68" s="45" t="s">
        <v>63</v>
      </c>
      <c r="E68" s="1064"/>
      <c r="F68" s="1064"/>
      <c r="G68" s="1064"/>
      <c r="H68" s="1064"/>
      <c r="I68" s="1062"/>
      <c r="J68" s="1062"/>
      <c r="K68" s="1062"/>
      <c r="L68" s="1063"/>
      <c r="M68" s="1063"/>
      <c r="N68" s="667" t="str">
        <f t="shared" si="4"/>
        <v/>
      </c>
      <c r="O68" s="292"/>
      <c r="Q68" s="31"/>
      <c r="R68" s="31"/>
      <c r="S68" s="31"/>
      <c r="T68" s="154" t="str">
        <f t="shared" si="5"/>
        <v>SourceStreamName_</v>
      </c>
      <c r="U68" s="154" t="str">
        <f t="shared" si="6"/>
        <v>SourceStreamClass_</v>
      </c>
      <c r="V68" s="31"/>
      <c r="W68" s="31"/>
      <c r="X68" s="154" t="b">
        <f t="shared" si="7"/>
        <v>0</v>
      </c>
      <c r="Y68" s="154" t="str">
        <f t="shared" si="8"/>
        <v/>
      </c>
      <c r="Z68" s="154" t="str">
        <f t="shared" ref="Z68:Z91" si="11">IF(ISBLANK(E68),"",E68&amp; IF(ISBLANK(I68),"","; " &amp;I68) &amp; IF(ISBLANK(L68),"","; " &amp;L68))</f>
        <v/>
      </c>
      <c r="AA68" s="154" t="str">
        <f t="shared" si="9"/>
        <v>ei sovellettavissa</v>
      </c>
      <c r="AB68" s="154" t="str">
        <f t="shared" si="10"/>
        <v>ei sovellettavissa</v>
      </c>
      <c r="AC68" s="154" t="b">
        <f>IF(AA68=EUconst_NA,FALSE,COUNTIF($AA$66:AA68,AA68)&gt;1)</f>
        <v>0</v>
      </c>
      <c r="AD68" s="31"/>
    </row>
    <row r="69" spans="1:30" s="4" customFormat="1" ht="12.75" customHeight="1" x14ac:dyDescent="0.25">
      <c r="A69" s="31"/>
      <c r="C69" s="43"/>
      <c r="D69" s="45" t="s">
        <v>66</v>
      </c>
      <c r="E69" s="1064"/>
      <c r="F69" s="1064"/>
      <c r="G69" s="1064"/>
      <c r="H69" s="1064"/>
      <c r="I69" s="1062"/>
      <c r="J69" s="1062"/>
      <c r="K69" s="1062"/>
      <c r="L69" s="1063"/>
      <c r="M69" s="1063"/>
      <c r="N69" s="667" t="str">
        <f t="shared" si="4"/>
        <v/>
      </c>
      <c r="O69" s="292"/>
      <c r="Q69" s="31"/>
      <c r="R69" s="31"/>
      <c r="S69" s="31"/>
      <c r="T69" s="154" t="str">
        <f t="shared" si="5"/>
        <v>SourceStreamName_</v>
      </c>
      <c r="U69" s="154" t="str">
        <f t="shared" si="6"/>
        <v>SourceStreamClass_</v>
      </c>
      <c r="V69" s="31"/>
      <c r="W69" s="31"/>
      <c r="X69" s="154" t="b">
        <f t="shared" si="7"/>
        <v>0</v>
      </c>
      <c r="Y69" s="154" t="str">
        <f t="shared" si="8"/>
        <v/>
      </c>
      <c r="Z69" s="154" t="str">
        <f t="shared" si="11"/>
        <v/>
      </c>
      <c r="AA69" s="154" t="str">
        <f t="shared" si="9"/>
        <v>ei sovellettavissa</v>
      </c>
      <c r="AB69" s="154" t="str">
        <f t="shared" si="10"/>
        <v>ei sovellettavissa</v>
      </c>
      <c r="AC69" s="154" t="b">
        <f>IF(AA69=EUconst_NA,FALSE,COUNTIF($AA$66:AA69,AA69)&gt;1)</f>
        <v>0</v>
      </c>
      <c r="AD69" s="31"/>
    </row>
    <row r="70" spans="1:30" s="4" customFormat="1" ht="12.75" customHeight="1" x14ac:dyDescent="0.25">
      <c r="A70" s="31"/>
      <c r="C70" s="43"/>
      <c r="D70" s="45" t="s">
        <v>68</v>
      </c>
      <c r="E70" s="1064"/>
      <c r="F70" s="1064"/>
      <c r="G70" s="1064"/>
      <c r="H70" s="1064"/>
      <c r="I70" s="1062"/>
      <c r="J70" s="1062"/>
      <c r="K70" s="1062"/>
      <c r="L70" s="1063"/>
      <c r="M70" s="1063"/>
      <c r="N70" s="667" t="str">
        <f t="shared" si="4"/>
        <v/>
      </c>
      <c r="O70" s="292"/>
      <c r="Q70" s="31"/>
      <c r="R70" s="31"/>
      <c r="S70" s="31"/>
      <c r="T70" s="154" t="str">
        <f t="shared" si="5"/>
        <v>SourceStreamName_</v>
      </c>
      <c r="U70" s="154" t="str">
        <f t="shared" si="6"/>
        <v>SourceStreamClass_</v>
      </c>
      <c r="V70" s="31"/>
      <c r="W70" s="31"/>
      <c r="X70" s="154" t="b">
        <f t="shared" si="7"/>
        <v>0</v>
      </c>
      <c r="Y70" s="154" t="str">
        <f t="shared" si="8"/>
        <v/>
      </c>
      <c r="Z70" s="154" t="str">
        <f t="shared" si="11"/>
        <v/>
      </c>
      <c r="AA70" s="154" t="str">
        <f t="shared" si="9"/>
        <v>ei sovellettavissa</v>
      </c>
      <c r="AB70" s="154" t="str">
        <f t="shared" si="10"/>
        <v>ei sovellettavissa</v>
      </c>
      <c r="AC70" s="154" t="b">
        <f>IF(AA70=EUconst_NA,FALSE,COUNTIF($AA$66:AA70,AA70)&gt;1)</f>
        <v>0</v>
      </c>
      <c r="AD70" s="31"/>
    </row>
    <row r="71" spans="1:30" s="4" customFormat="1" ht="12.75" customHeight="1" x14ac:dyDescent="0.25">
      <c r="A71" s="31"/>
      <c r="C71" s="43"/>
      <c r="D71" s="45" t="s">
        <v>69</v>
      </c>
      <c r="E71" s="1064"/>
      <c r="F71" s="1064"/>
      <c r="G71" s="1064"/>
      <c r="H71" s="1064"/>
      <c r="I71" s="1062"/>
      <c r="J71" s="1062"/>
      <c r="K71" s="1062"/>
      <c r="L71" s="1063"/>
      <c r="M71" s="1063"/>
      <c r="N71" s="667" t="str">
        <f t="shared" si="4"/>
        <v/>
      </c>
      <c r="O71" s="292"/>
      <c r="Q71" s="31"/>
      <c r="R71" s="31"/>
      <c r="S71" s="31"/>
      <c r="T71" s="154" t="str">
        <f t="shared" si="5"/>
        <v>SourceStreamName_</v>
      </c>
      <c r="U71" s="154" t="str">
        <f t="shared" si="6"/>
        <v>SourceStreamClass_</v>
      </c>
      <c r="V71" s="31"/>
      <c r="W71" s="31"/>
      <c r="X71" s="154" t="b">
        <f t="shared" si="7"/>
        <v>0</v>
      </c>
      <c r="Y71" s="154" t="str">
        <f t="shared" si="8"/>
        <v/>
      </c>
      <c r="Z71" s="154" t="str">
        <f t="shared" si="11"/>
        <v/>
      </c>
      <c r="AA71" s="154" t="str">
        <f t="shared" si="9"/>
        <v>ei sovellettavissa</v>
      </c>
      <c r="AB71" s="154" t="str">
        <f t="shared" si="10"/>
        <v>ei sovellettavissa</v>
      </c>
      <c r="AC71" s="154" t="b">
        <f>IF(AA71=EUconst_NA,FALSE,COUNTIF($AA$66:AA71,AA71)&gt;1)</f>
        <v>0</v>
      </c>
      <c r="AD71" s="31"/>
    </row>
    <row r="72" spans="1:30" s="4" customFormat="1" ht="12.75" customHeight="1" x14ac:dyDescent="0.25">
      <c r="A72" s="31"/>
      <c r="C72" s="43"/>
      <c r="D72" s="45" t="s">
        <v>71</v>
      </c>
      <c r="E72" s="1064"/>
      <c r="F72" s="1064"/>
      <c r="G72" s="1064"/>
      <c r="H72" s="1064"/>
      <c r="I72" s="1062"/>
      <c r="J72" s="1062"/>
      <c r="K72" s="1062"/>
      <c r="L72" s="1063"/>
      <c r="M72" s="1063"/>
      <c r="N72" s="667" t="str">
        <f t="shared" si="4"/>
        <v/>
      </c>
      <c r="O72" s="292"/>
      <c r="Q72" s="31"/>
      <c r="R72" s="31"/>
      <c r="S72" s="31"/>
      <c r="T72" s="154" t="str">
        <f t="shared" si="5"/>
        <v>SourceStreamName_</v>
      </c>
      <c r="U72" s="154" t="str">
        <f t="shared" si="6"/>
        <v>SourceStreamClass_</v>
      </c>
      <c r="V72" s="31"/>
      <c r="W72" s="31"/>
      <c r="X72" s="154" t="b">
        <f t="shared" si="7"/>
        <v>0</v>
      </c>
      <c r="Y72" s="154" t="str">
        <f t="shared" si="8"/>
        <v/>
      </c>
      <c r="Z72" s="154" t="str">
        <f t="shared" si="11"/>
        <v/>
      </c>
      <c r="AA72" s="154" t="str">
        <f t="shared" si="9"/>
        <v>ei sovellettavissa</v>
      </c>
      <c r="AB72" s="154" t="str">
        <f t="shared" si="10"/>
        <v>ei sovellettavissa</v>
      </c>
      <c r="AC72" s="154" t="b">
        <f>IF(AA72=EUconst_NA,FALSE,COUNTIF($AA$66:AA72,AA72)&gt;1)</f>
        <v>0</v>
      </c>
      <c r="AD72" s="31"/>
    </row>
    <row r="73" spans="1:30" s="4" customFormat="1" ht="12.75" customHeight="1" x14ac:dyDescent="0.25">
      <c r="A73" s="31"/>
      <c r="C73" s="43"/>
      <c r="D73" s="45" t="s">
        <v>72</v>
      </c>
      <c r="E73" s="1064"/>
      <c r="F73" s="1064"/>
      <c r="G73" s="1064"/>
      <c r="H73" s="1064"/>
      <c r="I73" s="1062"/>
      <c r="J73" s="1062"/>
      <c r="K73" s="1062"/>
      <c r="L73" s="1063"/>
      <c r="M73" s="1063"/>
      <c r="N73" s="667" t="str">
        <f t="shared" si="4"/>
        <v/>
      </c>
      <c r="O73" s="292"/>
      <c r="Q73" s="31"/>
      <c r="R73" s="31"/>
      <c r="S73" s="31"/>
      <c r="T73" s="154" t="str">
        <f t="shared" si="5"/>
        <v>SourceStreamName_</v>
      </c>
      <c r="U73" s="154" t="str">
        <f t="shared" si="6"/>
        <v>SourceStreamClass_</v>
      </c>
      <c r="V73" s="31"/>
      <c r="W73" s="31"/>
      <c r="X73" s="154" t="b">
        <f t="shared" si="7"/>
        <v>0</v>
      </c>
      <c r="Y73" s="154" t="str">
        <f t="shared" si="8"/>
        <v/>
      </c>
      <c r="Z73" s="154" t="str">
        <f t="shared" si="11"/>
        <v/>
      </c>
      <c r="AA73" s="154" t="str">
        <f t="shared" si="9"/>
        <v>ei sovellettavissa</v>
      </c>
      <c r="AB73" s="154" t="str">
        <f t="shared" si="10"/>
        <v>ei sovellettavissa</v>
      </c>
      <c r="AC73" s="154" t="b">
        <f>IF(AA73=EUconst_NA,FALSE,COUNTIF($AA$66:AA73,AA73)&gt;1)</f>
        <v>0</v>
      </c>
      <c r="AD73" s="31"/>
    </row>
    <row r="74" spans="1:30" s="4" customFormat="1" ht="12.75" customHeight="1" x14ac:dyDescent="0.25">
      <c r="A74" s="31"/>
      <c r="C74" s="43"/>
      <c r="D74" s="45" t="s">
        <v>73</v>
      </c>
      <c r="E74" s="1064"/>
      <c r="F74" s="1064"/>
      <c r="G74" s="1064"/>
      <c r="H74" s="1064"/>
      <c r="I74" s="1062"/>
      <c r="J74" s="1062"/>
      <c r="K74" s="1062"/>
      <c r="L74" s="1063"/>
      <c r="M74" s="1063"/>
      <c r="N74" s="667" t="str">
        <f t="shared" si="4"/>
        <v/>
      </c>
      <c r="O74" s="292"/>
      <c r="Q74" s="31"/>
      <c r="R74" s="31"/>
      <c r="S74" s="31"/>
      <c r="T74" s="154" t="str">
        <f t="shared" si="5"/>
        <v>SourceStreamName_</v>
      </c>
      <c r="U74" s="154" t="str">
        <f t="shared" si="6"/>
        <v>SourceStreamClass_</v>
      </c>
      <c r="V74" s="31"/>
      <c r="W74" s="31"/>
      <c r="X74" s="154" t="b">
        <f t="shared" si="7"/>
        <v>0</v>
      </c>
      <c r="Y74" s="154" t="str">
        <f t="shared" si="8"/>
        <v/>
      </c>
      <c r="Z74" s="154" t="str">
        <f t="shared" si="11"/>
        <v/>
      </c>
      <c r="AA74" s="154" t="str">
        <f t="shared" si="9"/>
        <v>ei sovellettavissa</v>
      </c>
      <c r="AB74" s="154" t="str">
        <f t="shared" si="10"/>
        <v>ei sovellettavissa</v>
      </c>
      <c r="AC74" s="154" t="b">
        <f>IF(AA74=EUconst_NA,FALSE,COUNTIF($AA$66:AA74,AA74)&gt;1)</f>
        <v>0</v>
      </c>
      <c r="AD74" s="31"/>
    </row>
    <row r="75" spans="1:30" s="4" customFormat="1" ht="12.75" customHeight="1" x14ac:dyDescent="0.25">
      <c r="A75" s="31"/>
      <c r="C75" s="43"/>
      <c r="D75" s="45" t="s">
        <v>74</v>
      </c>
      <c r="E75" s="1064"/>
      <c r="F75" s="1064"/>
      <c r="G75" s="1064"/>
      <c r="H75" s="1064"/>
      <c r="I75" s="1062"/>
      <c r="J75" s="1062"/>
      <c r="K75" s="1062"/>
      <c r="L75" s="1063"/>
      <c r="M75" s="1063"/>
      <c r="N75" s="667" t="str">
        <f t="shared" si="4"/>
        <v/>
      </c>
      <c r="O75" s="292"/>
      <c r="Q75" s="31"/>
      <c r="R75" s="31"/>
      <c r="S75" s="31"/>
      <c r="T75" s="154" t="str">
        <f t="shared" si="5"/>
        <v>SourceStreamName_</v>
      </c>
      <c r="U75" s="154" t="str">
        <f t="shared" si="6"/>
        <v>SourceStreamClass_</v>
      </c>
      <c r="V75" s="31"/>
      <c r="W75" s="31"/>
      <c r="X75" s="154" t="b">
        <f t="shared" si="7"/>
        <v>0</v>
      </c>
      <c r="Y75" s="154" t="str">
        <f t="shared" si="8"/>
        <v/>
      </c>
      <c r="Z75" s="154" t="str">
        <f t="shared" si="11"/>
        <v/>
      </c>
      <c r="AA75" s="154" t="str">
        <f t="shared" si="9"/>
        <v>ei sovellettavissa</v>
      </c>
      <c r="AB75" s="154" t="str">
        <f t="shared" si="10"/>
        <v>ei sovellettavissa</v>
      </c>
      <c r="AC75" s="154" t="b">
        <f>IF(AA75=EUconst_NA,FALSE,COUNTIF($AA$66:AA75,AA75)&gt;1)</f>
        <v>0</v>
      </c>
      <c r="AD75" s="31"/>
    </row>
    <row r="76" spans="1:30" s="4" customFormat="1" ht="12.75" customHeight="1" x14ac:dyDescent="0.25">
      <c r="A76" s="31"/>
      <c r="C76" s="43"/>
      <c r="D76" s="45" t="s">
        <v>75</v>
      </c>
      <c r="E76" s="1064"/>
      <c r="F76" s="1064"/>
      <c r="G76" s="1064"/>
      <c r="H76" s="1064"/>
      <c r="I76" s="1062"/>
      <c r="J76" s="1062"/>
      <c r="K76" s="1062"/>
      <c r="L76" s="1063"/>
      <c r="M76" s="1063"/>
      <c r="N76" s="667" t="str">
        <f t="shared" si="4"/>
        <v/>
      </c>
      <c r="O76" s="292"/>
      <c r="Q76" s="31"/>
      <c r="R76" s="31"/>
      <c r="S76" s="31"/>
      <c r="T76" s="154" t="str">
        <f t="shared" si="5"/>
        <v>SourceStreamName_</v>
      </c>
      <c r="U76" s="154" t="str">
        <f t="shared" si="6"/>
        <v>SourceStreamClass_</v>
      </c>
      <c r="V76" s="31"/>
      <c r="W76" s="31"/>
      <c r="X76" s="154" t="b">
        <f t="shared" si="7"/>
        <v>0</v>
      </c>
      <c r="Y76" s="154" t="str">
        <f t="shared" si="8"/>
        <v/>
      </c>
      <c r="Z76" s="154" t="str">
        <f t="shared" si="11"/>
        <v/>
      </c>
      <c r="AA76" s="154" t="str">
        <f t="shared" si="9"/>
        <v>ei sovellettavissa</v>
      </c>
      <c r="AB76" s="154" t="str">
        <f t="shared" si="10"/>
        <v>ei sovellettavissa</v>
      </c>
      <c r="AC76" s="154" t="b">
        <f>IF(AA76=EUconst_NA,FALSE,COUNTIF($AA$66:AA76,AA76)&gt;1)</f>
        <v>0</v>
      </c>
      <c r="AD76" s="31"/>
    </row>
    <row r="77" spans="1:30" s="4" customFormat="1" ht="12.75" customHeight="1" x14ac:dyDescent="0.25">
      <c r="A77" s="31"/>
      <c r="C77" s="43"/>
      <c r="D77" s="45" t="s">
        <v>76</v>
      </c>
      <c r="E77" s="1064"/>
      <c r="F77" s="1064"/>
      <c r="G77" s="1064"/>
      <c r="H77" s="1064"/>
      <c r="I77" s="1062"/>
      <c r="J77" s="1062"/>
      <c r="K77" s="1062"/>
      <c r="L77" s="1063"/>
      <c r="M77" s="1063"/>
      <c r="N77" s="667" t="str">
        <f t="shared" si="4"/>
        <v/>
      </c>
      <c r="O77" s="292"/>
      <c r="Q77" s="31"/>
      <c r="R77" s="31"/>
      <c r="S77" s="31"/>
      <c r="T77" s="154" t="str">
        <f t="shared" si="5"/>
        <v>SourceStreamName_</v>
      </c>
      <c r="U77" s="154" t="str">
        <f t="shared" si="6"/>
        <v>SourceStreamClass_</v>
      </c>
      <c r="V77" s="31"/>
      <c r="W77" s="31"/>
      <c r="X77" s="154" t="b">
        <f t="shared" si="7"/>
        <v>0</v>
      </c>
      <c r="Y77" s="154" t="str">
        <f t="shared" si="8"/>
        <v/>
      </c>
      <c r="Z77" s="154" t="str">
        <f t="shared" si="11"/>
        <v/>
      </c>
      <c r="AA77" s="154" t="str">
        <f t="shared" si="9"/>
        <v>ei sovellettavissa</v>
      </c>
      <c r="AB77" s="154" t="str">
        <f t="shared" si="10"/>
        <v>ei sovellettavissa</v>
      </c>
      <c r="AC77" s="154" t="b">
        <f>IF(AA77=EUconst_NA,FALSE,COUNTIF($AA$66:AA77,AA77)&gt;1)</f>
        <v>0</v>
      </c>
      <c r="AD77" s="31"/>
    </row>
    <row r="78" spans="1:30" s="4" customFormat="1" ht="12.75" customHeight="1" x14ac:dyDescent="0.25">
      <c r="A78" s="31"/>
      <c r="C78" s="43"/>
      <c r="D78" s="45" t="s">
        <v>77</v>
      </c>
      <c r="E78" s="1064"/>
      <c r="F78" s="1064"/>
      <c r="G78" s="1064"/>
      <c r="H78" s="1064"/>
      <c r="I78" s="1062"/>
      <c r="J78" s="1062"/>
      <c r="K78" s="1062"/>
      <c r="L78" s="1063"/>
      <c r="M78" s="1063"/>
      <c r="N78" s="667" t="str">
        <f t="shared" si="4"/>
        <v/>
      </c>
      <c r="O78" s="292"/>
      <c r="Q78" s="31"/>
      <c r="R78" s="31"/>
      <c r="S78" s="31"/>
      <c r="T78" s="154" t="str">
        <f t="shared" si="5"/>
        <v>SourceStreamName_</v>
      </c>
      <c r="U78" s="154" t="str">
        <f t="shared" si="6"/>
        <v>SourceStreamClass_</v>
      </c>
      <c r="V78" s="31"/>
      <c r="W78" s="31"/>
      <c r="X78" s="154" t="b">
        <f t="shared" si="7"/>
        <v>0</v>
      </c>
      <c r="Y78" s="154" t="str">
        <f t="shared" si="8"/>
        <v/>
      </c>
      <c r="Z78" s="154" t="str">
        <f t="shared" si="11"/>
        <v/>
      </c>
      <c r="AA78" s="154" t="str">
        <f t="shared" si="9"/>
        <v>ei sovellettavissa</v>
      </c>
      <c r="AB78" s="154" t="str">
        <f t="shared" si="10"/>
        <v>ei sovellettavissa</v>
      </c>
      <c r="AC78" s="154" t="b">
        <f>IF(AA78=EUconst_NA,FALSE,COUNTIF($AA$66:AA78,AA78)&gt;1)</f>
        <v>0</v>
      </c>
      <c r="AD78" s="31"/>
    </row>
    <row r="79" spans="1:30" s="4" customFormat="1" ht="12.75" customHeight="1" x14ac:dyDescent="0.25">
      <c r="A79" s="31"/>
      <c r="C79" s="43"/>
      <c r="D79" s="45" t="s">
        <v>78</v>
      </c>
      <c r="E79" s="1064"/>
      <c r="F79" s="1064"/>
      <c r="G79" s="1064"/>
      <c r="H79" s="1064"/>
      <c r="I79" s="1062"/>
      <c r="J79" s="1062"/>
      <c r="K79" s="1062"/>
      <c r="L79" s="1063"/>
      <c r="M79" s="1063"/>
      <c r="N79" s="667" t="str">
        <f t="shared" si="4"/>
        <v/>
      </c>
      <c r="O79" s="292"/>
      <c r="Q79" s="31"/>
      <c r="R79" s="31"/>
      <c r="S79" s="31"/>
      <c r="T79" s="154" t="str">
        <f t="shared" si="5"/>
        <v>SourceStreamName_</v>
      </c>
      <c r="U79" s="154" t="str">
        <f t="shared" si="6"/>
        <v>SourceStreamClass_</v>
      </c>
      <c r="V79" s="31"/>
      <c r="W79" s="31"/>
      <c r="X79" s="154" t="b">
        <f t="shared" si="7"/>
        <v>0</v>
      </c>
      <c r="Y79" s="154" t="str">
        <f t="shared" si="8"/>
        <v/>
      </c>
      <c r="Z79" s="154" t="str">
        <f t="shared" si="11"/>
        <v/>
      </c>
      <c r="AA79" s="154" t="str">
        <f t="shared" si="9"/>
        <v>ei sovellettavissa</v>
      </c>
      <c r="AB79" s="154" t="str">
        <f t="shared" si="10"/>
        <v>ei sovellettavissa</v>
      </c>
      <c r="AC79" s="154" t="b">
        <f>IF(AA79=EUconst_NA,FALSE,COUNTIF($AA$66:AA79,AA79)&gt;1)</f>
        <v>0</v>
      </c>
      <c r="AD79" s="31"/>
    </row>
    <row r="80" spans="1:30" s="4" customFormat="1" ht="12.75" customHeight="1" x14ac:dyDescent="0.25">
      <c r="A80" s="31"/>
      <c r="C80" s="43"/>
      <c r="D80" s="45" t="s">
        <v>79</v>
      </c>
      <c r="E80" s="1064"/>
      <c r="F80" s="1064"/>
      <c r="G80" s="1064"/>
      <c r="H80" s="1064"/>
      <c r="I80" s="1062"/>
      <c r="J80" s="1062"/>
      <c r="K80" s="1062"/>
      <c r="L80" s="1063"/>
      <c r="M80" s="1063"/>
      <c r="N80" s="667" t="str">
        <f t="shared" si="4"/>
        <v/>
      </c>
      <c r="O80" s="292"/>
      <c r="Q80" s="31"/>
      <c r="R80" s="31"/>
      <c r="S80" s="31"/>
      <c r="T80" s="154" t="str">
        <f t="shared" si="5"/>
        <v>SourceStreamName_</v>
      </c>
      <c r="U80" s="154" t="str">
        <f t="shared" si="6"/>
        <v>SourceStreamClass_</v>
      </c>
      <c r="V80" s="31"/>
      <c r="W80" s="31"/>
      <c r="X80" s="154" t="b">
        <f t="shared" si="7"/>
        <v>0</v>
      </c>
      <c r="Y80" s="154" t="str">
        <f t="shared" si="8"/>
        <v/>
      </c>
      <c r="Z80" s="154" t="str">
        <f t="shared" si="11"/>
        <v/>
      </c>
      <c r="AA80" s="154" t="str">
        <f t="shared" si="9"/>
        <v>ei sovellettavissa</v>
      </c>
      <c r="AB80" s="154" t="str">
        <f t="shared" si="10"/>
        <v>ei sovellettavissa</v>
      </c>
      <c r="AC80" s="154" t="b">
        <f>IF(AA80=EUconst_NA,FALSE,COUNTIF($AA$66:AA80,AA80)&gt;1)</f>
        <v>0</v>
      </c>
      <c r="AD80" s="31"/>
    </row>
    <row r="81" spans="1:30" s="4" customFormat="1" ht="12.75" customHeight="1" x14ac:dyDescent="0.25">
      <c r="A81" s="31"/>
      <c r="C81" s="43"/>
      <c r="D81" s="45" t="s">
        <v>80</v>
      </c>
      <c r="E81" s="1064"/>
      <c r="F81" s="1064"/>
      <c r="G81" s="1064"/>
      <c r="H81" s="1064"/>
      <c r="I81" s="1062"/>
      <c r="J81" s="1062"/>
      <c r="K81" s="1062"/>
      <c r="L81" s="1063"/>
      <c r="M81" s="1063"/>
      <c r="N81" s="667" t="str">
        <f t="shared" si="4"/>
        <v/>
      </c>
      <c r="O81" s="292"/>
      <c r="Q81" s="31"/>
      <c r="R81" s="31"/>
      <c r="S81" s="31"/>
      <c r="T81" s="154" t="str">
        <f t="shared" si="5"/>
        <v>SourceStreamName_</v>
      </c>
      <c r="U81" s="154" t="str">
        <f t="shared" si="6"/>
        <v>SourceStreamClass_</v>
      </c>
      <c r="V81" s="31"/>
      <c r="W81" s="31"/>
      <c r="X81" s="154" t="b">
        <f t="shared" si="7"/>
        <v>0</v>
      </c>
      <c r="Y81" s="154" t="str">
        <f t="shared" si="8"/>
        <v/>
      </c>
      <c r="Z81" s="154" t="str">
        <f t="shared" si="11"/>
        <v/>
      </c>
      <c r="AA81" s="154" t="str">
        <f t="shared" si="9"/>
        <v>ei sovellettavissa</v>
      </c>
      <c r="AB81" s="154" t="str">
        <f t="shared" si="10"/>
        <v>ei sovellettavissa</v>
      </c>
      <c r="AC81" s="154" t="b">
        <f>IF(AA81=EUconst_NA,FALSE,COUNTIF($AA$66:AA81,AA81)&gt;1)</f>
        <v>0</v>
      </c>
      <c r="AD81" s="31"/>
    </row>
    <row r="82" spans="1:30" s="4" customFormat="1" ht="12.75" customHeight="1" x14ac:dyDescent="0.25">
      <c r="A82" s="31"/>
      <c r="C82" s="43"/>
      <c r="D82" s="45" t="s">
        <v>81</v>
      </c>
      <c r="E82" s="1064"/>
      <c r="F82" s="1064"/>
      <c r="G82" s="1064"/>
      <c r="H82" s="1064"/>
      <c r="I82" s="1062"/>
      <c r="J82" s="1062"/>
      <c r="K82" s="1062"/>
      <c r="L82" s="1063"/>
      <c r="M82" s="1063"/>
      <c r="N82" s="667" t="str">
        <f t="shared" si="4"/>
        <v/>
      </c>
      <c r="O82" s="292"/>
      <c r="Q82" s="31"/>
      <c r="R82" s="31"/>
      <c r="S82" s="31"/>
      <c r="T82" s="154" t="str">
        <f t="shared" si="5"/>
        <v>SourceStreamName_</v>
      </c>
      <c r="U82" s="154" t="str">
        <f t="shared" si="6"/>
        <v>SourceStreamClass_</v>
      </c>
      <c r="V82" s="31"/>
      <c r="W82" s="31"/>
      <c r="X82" s="154" t="b">
        <f t="shared" si="7"/>
        <v>0</v>
      </c>
      <c r="Y82" s="154" t="str">
        <f t="shared" si="8"/>
        <v/>
      </c>
      <c r="Z82" s="154" t="str">
        <f t="shared" si="11"/>
        <v/>
      </c>
      <c r="AA82" s="154" t="str">
        <f t="shared" si="9"/>
        <v>ei sovellettavissa</v>
      </c>
      <c r="AB82" s="154" t="str">
        <f t="shared" si="10"/>
        <v>ei sovellettavissa</v>
      </c>
      <c r="AC82" s="154" t="b">
        <f>IF(AA82=EUconst_NA,FALSE,COUNTIF($AA$66:AA82,AA82)&gt;1)</f>
        <v>0</v>
      </c>
      <c r="AD82" s="31"/>
    </row>
    <row r="83" spans="1:30" s="4" customFormat="1" ht="12.75" customHeight="1" x14ac:dyDescent="0.25">
      <c r="A83" s="31"/>
      <c r="C83" s="43"/>
      <c r="D83" s="45" t="s">
        <v>82</v>
      </c>
      <c r="E83" s="1064"/>
      <c r="F83" s="1064"/>
      <c r="G83" s="1064"/>
      <c r="H83" s="1064"/>
      <c r="I83" s="1062"/>
      <c r="J83" s="1062"/>
      <c r="K83" s="1062"/>
      <c r="L83" s="1063"/>
      <c r="M83" s="1063"/>
      <c r="N83" s="667" t="str">
        <f t="shared" si="4"/>
        <v/>
      </c>
      <c r="O83" s="292"/>
      <c r="Q83" s="31"/>
      <c r="R83" s="31"/>
      <c r="S83" s="31"/>
      <c r="T83" s="154" t="str">
        <f t="shared" si="5"/>
        <v>SourceStreamName_</v>
      </c>
      <c r="U83" s="154" t="str">
        <f t="shared" si="6"/>
        <v>SourceStreamClass_</v>
      </c>
      <c r="V83" s="31"/>
      <c r="W83" s="31"/>
      <c r="X83" s="154" t="b">
        <f t="shared" si="7"/>
        <v>0</v>
      </c>
      <c r="Y83" s="154" t="str">
        <f t="shared" si="8"/>
        <v/>
      </c>
      <c r="Z83" s="154" t="str">
        <f t="shared" si="11"/>
        <v/>
      </c>
      <c r="AA83" s="154" t="str">
        <f t="shared" si="9"/>
        <v>ei sovellettavissa</v>
      </c>
      <c r="AB83" s="154" t="str">
        <f t="shared" si="10"/>
        <v>ei sovellettavissa</v>
      </c>
      <c r="AC83" s="154" t="b">
        <f>IF(AA83=EUconst_NA,FALSE,COUNTIF($AA$66:AA83,AA83)&gt;1)</f>
        <v>0</v>
      </c>
      <c r="AD83" s="31"/>
    </row>
    <row r="84" spans="1:30" s="4" customFormat="1" ht="12.75" customHeight="1" x14ac:dyDescent="0.25">
      <c r="A84" s="31"/>
      <c r="C84" s="43"/>
      <c r="D84" s="45" t="s">
        <v>83</v>
      </c>
      <c r="E84" s="1064"/>
      <c r="F84" s="1064"/>
      <c r="G84" s="1064"/>
      <c r="H84" s="1064"/>
      <c r="I84" s="1062"/>
      <c r="J84" s="1062"/>
      <c r="K84" s="1062"/>
      <c r="L84" s="1063"/>
      <c r="M84" s="1063"/>
      <c r="N84" s="667" t="str">
        <f t="shared" si="4"/>
        <v/>
      </c>
      <c r="O84" s="292"/>
      <c r="Q84" s="31"/>
      <c r="R84" s="31"/>
      <c r="S84" s="31"/>
      <c r="T84" s="154" t="str">
        <f t="shared" si="5"/>
        <v>SourceStreamName_</v>
      </c>
      <c r="U84" s="154" t="str">
        <f t="shared" si="6"/>
        <v>SourceStreamClass_</v>
      </c>
      <c r="V84" s="31"/>
      <c r="W84" s="31"/>
      <c r="X84" s="154" t="b">
        <f t="shared" si="7"/>
        <v>0</v>
      </c>
      <c r="Y84" s="154" t="str">
        <f t="shared" si="8"/>
        <v/>
      </c>
      <c r="Z84" s="154" t="str">
        <f t="shared" si="11"/>
        <v/>
      </c>
      <c r="AA84" s="154" t="str">
        <f t="shared" si="9"/>
        <v>ei sovellettavissa</v>
      </c>
      <c r="AB84" s="154" t="str">
        <f t="shared" si="10"/>
        <v>ei sovellettavissa</v>
      </c>
      <c r="AC84" s="154" t="b">
        <f>IF(AA84=EUconst_NA,FALSE,COUNTIF($AA$66:AA84,AA84)&gt;1)</f>
        <v>0</v>
      </c>
      <c r="AD84" s="31"/>
    </row>
    <row r="85" spans="1:30" s="4" customFormat="1" ht="12.75" customHeight="1" x14ac:dyDescent="0.25">
      <c r="A85" s="31"/>
      <c r="C85" s="43"/>
      <c r="D85" s="45" t="s">
        <v>84</v>
      </c>
      <c r="E85" s="1064"/>
      <c r="F85" s="1064"/>
      <c r="G85" s="1064"/>
      <c r="H85" s="1064"/>
      <c r="I85" s="1062"/>
      <c r="J85" s="1062"/>
      <c r="K85" s="1062"/>
      <c r="L85" s="1063"/>
      <c r="M85" s="1063"/>
      <c r="N85" s="667" t="str">
        <f t="shared" si="4"/>
        <v/>
      </c>
      <c r="O85" s="292"/>
      <c r="Q85" s="31"/>
      <c r="R85" s="31"/>
      <c r="S85" s="31"/>
      <c r="T85" s="154" t="str">
        <f t="shared" si="5"/>
        <v>SourceStreamName_</v>
      </c>
      <c r="U85" s="154" t="str">
        <f t="shared" si="6"/>
        <v>SourceStreamClass_</v>
      </c>
      <c r="V85" s="31"/>
      <c r="W85" s="31"/>
      <c r="X85" s="154" t="b">
        <f t="shared" si="7"/>
        <v>0</v>
      </c>
      <c r="Y85" s="154" t="str">
        <f t="shared" si="8"/>
        <v/>
      </c>
      <c r="Z85" s="154" t="str">
        <f t="shared" si="11"/>
        <v/>
      </c>
      <c r="AA85" s="154" t="str">
        <f t="shared" si="9"/>
        <v>ei sovellettavissa</v>
      </c>
      <c r="AB85" s="154" t="str">
        <f t="shared" si="10"/>
        <v>ei sovellettavissa</v>
      </c>
      <c r="AC85" s="154" t="b">
        <f>IF(AA85=EUconst_NA,FALSE,COUNTIF($AA$66:AA85,AA85)&gt;1)</f>
        <v>0</v>
      </c>
      <c r="AD85" s="31"/>
    </row>
    <row r="86" spans="1:30" s="4" customFormat="1" ht="12.75" customHeight="1" x14ac:dyDescent="0.25">
      <c r="A86" s="31"/>
      <c r="C86" s="43"/>
      <c r="D86" s="45" t="s">
        <v>85</v>
      </c>
      <c r="E86" s="1064"/>
      <c r="F86" s="1064"/>
      <c r="G86" s="1064"/>
      <c r="H86" s="1064"/>
      <c r="I86" s="1062"/>
      <c r="J86" s="1062"/>
      <c r="K86" s="1062"/>
      <c r="L86" s="1063"/>
      <c r="M86" s="1063"/>
      <c r="N86" s="667" t="str">
        <f t="shared" si="4"/>
        <v/>
      </c>
      <c r="O86" s="292"/>
      <c r="Q86" s="31"/>
      <c r="R86" s="31"/>
      <c r="S86" s="31"/>
      <c r="T86" s="154" t="str">
        <f t="shared" si="5"/>
        <v>SourceStreamName_</v>
      </c>
      <c r="U86" s="154" t="str">
        <f t="shared" si="6"/>
        <v>SourceStreamClass_</v>
      </c>
      <c r="V86" s="31"/>
      <c r="W86" s="31"/>
      <c r="X86" s="154" t="b">
        <f t="shared" si="7"/>
        <v>0</v>
      </c>
      <c r="Y86" s="154" t="str">
        <f t="shared" si="8"/>
        <v/>
      </c>
      <c r="Z86" s="154" t="str">
        <f t="shared" si="11"/>
        <v/>
      </c>
      <c r="AA86" s="154" t="str">
        <f t="shared" si="9"/>
        <v>ei sovellettavissa</v>
      </c>
      <c r="AB86" s="154" t="str">
        <f t="shared" si="10"/>
        <v>ei sovellettavissa</v>
      </c>
      <c r="AC86" s="154" t="b">
        <f>IF(AA86=EUconst_NA,FALSE,COUNTIF($AA$66:AA86,AA86)&gt;1)</f>
        <v>0</v>
      </c>
      <c r="AD86" s="31"/>
    </row>
    <row r="87" spans="1:30" s="4" customFormat="1" ht="12.75" customHeight="1" x14ac:dyDescent="0.25">
      <c r="A87" s="31"/>
      <c r="C87" s="43"/>
      <c r="D87" s="45" t="s">
        <v>86</v>
      </c>
      <c r="E87" s="1064"/>
      <c r="F87" s="1064"/>
      <c r="G87" s="1064"/>
      <c r="H87" s="1064"/>
      <c r="I87" s="1062"/>
      <c r="J87" s="1062"/>
      <c r="K87" s="1062"/>
      <c r="L87" s="1063"/>
      <c r="M87" s="1063"/>
      <c r="N87" s="667" t="str">
        <f t="shared" si="4"/>
        <v/>
      </c>
      <c r="O87" s="292"/>
      <c r="Q87" s="31"/>
      <c r="R87" s="31"/>
      <c r="S87" s="31"/>
      <c r="T87" s="154" t="str">
        <f t="shared" si="5"/>
        <v>SourceStreamName_</v>
      </c>
      <c r="U87" s="154" t="str">
        <f t="shared" si="6"/>
        <v>SourceStreamClass_</v>
      </c>
      <c r="V87" s="31"/>
      <c r="W87" s="31"/>
      <c r="X87" s="154" t="b">
        <f t="shared" si="7"/>
        <v>0</v>
      </c>
      <c r="Y87" s="154" t="str">
        <f t="shared" si="8"/>
        <v/>
      </c>
      <c r="Z87" s="154" t="str">
        <f t="shared" si="11"/>
        <v/>
      </c>
      <c r="AA87" s="154" t="str">
        <f t="shared" si="9"/>
        <v>ei sovellettavissa</v>
      </c>
      <c r="AB87" s="154" t="str">
        <f t="shared" si="10"/>
        <v>ei sovellettavissa</v>
      </c>
      <c r="AC87" s="154" t="b">
        <f>IF(AA87=EUconst_NA,FALSE,COUNTIF($AA$66:AA87,AA87)&gt;1)</f>
        <v>0</v>
      </c>
      <c r="AD87" s="31"/>
    </row>
    <row r="88" spans="1:30" s="4" customFormat="1" ht="12.75" customHeight="1" x14ac:dyDescent="0.25">
      <c r="A88" s="31"/>
      <c r="C88" s="43"/>
      <c r="D88" s="45" t="s">
        <v>87</v>
      </c>
      <c r="E88" s="1064"/>
      <c r="F88" s="1064"/>
      <c r="G88" s="1064"/>
      <c r="H88" s="1064"/>
      <c r="I88" s="1062"/>
      <c r="J88" s="1062"/>
      <c r="K88" s="1062"/>
      <c r="L88" s="1063"/>
      <c r="M88" s="1063"/>
      <c r="N88" s="667" t="str">
        <f t="shared" si="4"/>
        <v/>
      </c>
      <c r="O88" s="292"/>
      <c r="Q88" s="31"/>
      <c r="R88" s="31"/>
      <c r="S88" s="31"/>
      <c r="T88" s="154" t="str">
        <f t="shared" si="5"/>
        <v>SourceStreamName_</v>
      </c>
      <c r="U88" s="154" t="str">
        <f t="shared" si="6"/>
        <v>SourceStreamClass_</v>
      </c>
      <c r="V88" s="31"/>
      <c r="W88" s="31"/>
      <c r="X88" s="154" t="b">
        <f t="shared" si="7"/>
        <v>0</v>
      </c>
      <c r="Y88" s="154" t="str">
        <f t="shared" si="8"/>
        <v/>
      </c>
      <c r="Z88" s="154" t="str">
        <f t="shared" si="11"/>
        <v/>
      </c>
      <c r="AA88" s="154" t="str">
        <f t="shared" si="9"/>
        <v>ei sovellettavissa</v>
      </c>
      <c r="AB88" s="154" t="str">
        <f t="shared" si="10"/>
        <v>ei sovellettavissa</v>
      </c>
      <c r="AC88" s="154" t="b">
        <f>IF(AA88=EUconst_NA,FALSE,COUNTIF($AA$66:AA88,AA88)&gt;1)</f>
        <v>0</v>
      </c>
      <c r="AD88" s="31"/>
    </row>
    <row r="89" spans="1:30" s="4" customFormat="1" ht="12.75" customHeight="1" x14ac:dyDescent="0.25">
      <c r="A89" s="31"/>
      <c r="C89" s="43"/>
      <c r="D89" s="45" t="s">
        <v>88</v>
      </c>
      <c r="E89" s="1064"/>
      <c r="F89" s="1064"/>
      <c r="G89" s="1064"/>
      <c r="H89" s="1064"/>
      <c r="I89" s="1062"/>
      <c r="J89" s="1062"/>
      <c r="K89" s="1062"/>
      <c r="L89" s="1063"/>
      <c r="M89" s="1063"/>
      <c r="N89" s="667" t="str">
        <f t="shared" si="4"/>
        <v/>
      </c>
      <c r="O89" s="292"/>
      <c r="Q89" s="31"/>
      <c r="R89" s="31"/>
      <c r="S89" s="31"/>
      <c r="T89" s="154" t="str">
        <f t="shared" si="5"/>
        <v>SourceStreamName_</v>
      </c>
      <c r="U89" s="154" t="str">
        <f t="shared" si="6"/>
        <v>SourceStreamClass_</v>
      </c>
      <c r="V89" s="31"/>
      <c r="W89" s="31"/>
      <c r="X89" s="154" t="b">
        <f t="shared" si="7"/>
        <v>0</v>
      </c>
      <c r="Y89" s="154" t="str">
        <f t="shared" si="8"/>
        <v/>
      </c>
      <c r="Z89" s="154" t="str">
        <f t="shared" si="11"/>
        <v/>
      </c>
      <c r="AA89" s="154" t="str">
        <f t="shared" si="9"/>
        <v>ei sovellettavissa</v>
      </c>
      <c r="AB89" s="154" t="str">
        <f t="shared" si="10"/>
        <v>ei sovellettavissa</v>
      </c>
      <c r="AC89" s="154" t="b">
        <f>IF(AA89=EUconst_NA,FALSE,COUNTIF($AA$66:AA89,AA89)&gt;1)</f>
        <v>0</v>
      </c>
      <c r="AD89" s="31"/>
    </row>
    <row r="90" spans="1:30" s="4" customFormat="1" ht="12.75" customHeight="1" x14ac:dyDescent="0.25">
      <c r="A90" s="31"/>
      <c r="C90" s="43"/>
      <c r="D90" s="45" t="s">
        <v>89</v>
      </c>
      <c r="E90" s="1064"/>
      <c r="F90" s="1064"/>
      <c r="G90" s="1064"/>
      <c r="H90" s="1064"/>
      <c r="I90" s="1062"/>
      <c r="J90" s="1062"/>
      <c r="K90" s="1062"/>
      <c r="L90" s="1063"/>
      <c r="M90" s="1063"/>
      <c r="N90" s="667" t="str">
        <f t="shared" si="4"/>
        <v/>
      </c>
      <c r="O90" s="292"/>
      <c r="Q90" s="31"/>
      <c r="R90" s="31"/>
      <c r="S90" s="31"/>
      <c r="T90" s="154" t="str">
        <f t="shared" si="5"/>
        <v>SourceStreamName_</v>
      </c>
      <c r="U90" s="154" t="str">
        <f t="shared" si="6"/>
        <v>SourceStreamClass_</v>
      </c>
      <c r="V90" s="31"/>
      <c r="W90" s="31"/>
      <c r="X90" s="154" t="b">
        <f t="shared" si="7"/>
        <v>0</v>
      </c>
      <c r="Y90" s="154" t="str">
        <f t="shared" si="8"/>
        <v/>
      </c>
      <c r="Z90" s="154" t="str">
        <f t="shared" si="11"/>
        <v/>
      </c>
      <c r="AA90" s="154" t="str">
        <f t="shared" si="9"/>
        <v>ei sovellettavissa</v>
      </c>
      <c r="AB90" s="154" t="str">
        <f t="shared" si="10"/>
        <v>ei sovellettavissa</v>
      </c>
      <c r="AC90" s="154" t="b">
        <f>IF(AA90=EUconst_NA,FALSE,COUNTIF($AA$66:AA90,AA90)&gt;1)</f>
        <v>0</v>
      </c>
      <c r="AD90" s="31"/>
    </row>
    <row r="91" spans="1:30" s="4" customFormat="1" ht="12.75" customHeight="1" x14ac:dyDescent="0.25">
      <c r="A91" s="31"/>
      <c r="C91" s="43"/>
      <c r="D91" s="45" t="s">
        <v>90</v>
      </c>
      <c r="E91" s="1064"/>
      <c r="F91" s="1064"/>
      <c r="G91" s="1064"/>
      <c r="H91" s="1064"/>
      <c r="I91" s="1062"/>
      <c r="J91" s="1062"/>
      <c r="K91" s="1062"/>
      <c r="L91" s="1063"/>
      <c r="M91" s="1063"/>
      <c r="N91" s="667" t="str">
        <f t="shared" si="4"/>
        <v/>
      </c>
      <c r="O91" s="292"/>
      <c r="Q91" s="31"/>
      <c r="R91" s="31"/>
      <c r="S91" s="31"/>
      <c r="T91" s="154" t="str">
        <f t="shared" si="5"/>
        <v>SourceStreamName_</v>
      </c>
      <c r="U91" s="154" t="str">
        <f t="shared" si="6"/>
        <v>SourceStreamClass_</v>
      </c>
      <c r="V91" s="31"/>
      <c r="W91" s="31"/>
      <c r="X91" s="154" t="b">
        <f t="shared" si="7"/>
        <v>0</v>
      </c>
      <c r="Y91" s="154" t="str">
        <f t="shared" si="8"/>
        <v/>
      </c>
      <c r="Z91" s="154" t="str">
        <f t="shared" si="11"/>
        <v/>
      </c>
      <c r="AA91" s="154" t="str">
        <f t="shared" si="9"/>
        <v>ei sovellettavissa</v>
      </c>
      <c r="AB91" s="154" t="str">
        <f t="shared" si="10"/>
        <v>ei sovellettavissa</v>
      </c>
      <c r="AC91" s="154" t="b">
        <f>IF(AA91=EUconst_NA,FALSE,COUNTIF($AA$66:AA91,AA91)&gt;1)</f>
        <v>0</v>
      </c>
      <c r="AD91" s="31"/>
    </row>
    <row r="92" spans="1:30" s="4" customFormat="1" ht="5.15" customHeight="1" x14ac:dyDescent="0.3">
      <c r="A92" s="32"/>
      <c r="C92" s="43"/>
      <c r="D92" s="19"/>
      <c r="M92" s="146"/>
      <c r="O92" s="292"/>
      <c r="Q92" s="31"/>
      <c r="R92" s="31"/>
      <c r="S92" s="31"/>
      <c r="T92" s="31"/>
      <c r="U92" s="31"/>
      <c r="V92" s="801"/>
      <c r="W92" s="31"/>
      <c r="X92" s="31"/>
      <c r="Y92" s="31"/>
      <c r="Z92" s="31"/>
      <c r="AA92" s="31"/>
      <c r="AB92" s="31"/>
      <c r="AC92" s="31"/>
      <c r="AD92" s="31"/>
    </row>
    <row r="93" spans="1:30" s="21" customFormat="1" ht="12.75" customHeight="1" x14ac:dyDescent="0.25">
      <c r="A93" s="114"/>
      <c r="C93" s="147"/>
      <c r="D93" s="50" t="s">
        <v>6</v>
      </c>
      <c r="E93" s="1111" t="str">
        <f>Translations!$B$346</f>
        <v>Polttoainevirtojen kulutukseen luovutuksen tavat:</v>
      </c>
      <c r="F93" s="1111"/>
      <c r="G93" s="1111"/>
      <c r="H93" s="1111"/>
      <c r="I93" s="1111"/>
      <c r="J93" s="1111"/>
      <c r="K93" s="1111"/>
      <c r="L93" s="1111"/>
      <c r="M93" s="1111"/>
      <c r="N93" s="1111"/>
      <c r="O93" s="288"/>
      <c r="Q93" s="157"/>
      <c r="R93" s="157"/>
      <c r="S93" s="114"/>
      <c r="T93" s="114"/>
      <c r="U93" s="114"/>
      <c r="V93" s="114"/>
      <c r="W93" s="31"/>
      <c r="X93" s="31"/>
      <c r="Y93" s="31"/>
      <c r="Z93" s="31"/>
      <c r="AA93" s="31"/>
      <c r="AB93" s="114"/>
      <c r="AC93" s="114"/>
      <c r="AD93" s="114"/>
    </row>
    <row r="94" spans="1:30" s="4" customFormat="1" ht="25.5" customHeight="1" x14ac:dyDescent="0.25">
      <c r="A94" s="31"/>
      <c r="C94" s="827"/>
      <c r="D94" s="19"/>
      <c r="E94" s="972" t="str">
        <f>Translations!$B$347</f>
        <v xml:space="preserve">Valitse pudotusvalikoista kullekin polttoainevirralle tapa, jolla se luovutetaan kulutukseen: fyysiset keinot (putket, säiliöautot jne.) sekä mahdolliset välittäjäosapuolet polttoaineketjussa (polttoainekauppiaat jne.). Jos soveltuvia kulutukseen luovutuksen tapoja tai välittäjäosapuolia on useampi kuin yksi, merkitse esimerkiksi ”LT1, LT2”, ”VO3, VO5”. </v>
      </c>
      <c r="F94" s="972"/>
      <c r="G94" s="972"/>
      <c r="H94" s="972"/>
      <c r="I94" s="972"/>
      <c r="J94" s="972"/>
      <c r="K94" s="972"/>
      <c r="L94" s="972"/>
      <c r="M94" s="972"/>
      <c r="N94" s="972"/>
      <c r="O94" s="292"/>
      <c r="Q94" s="151"/>
      <c r="R94" s="151"/>
      <c r="S94" s="31"/>
      <c r="T94" s="31"/>
      <c r="U94" s="31"/>
      <c r="V94" s="31"/>
      <c r="W94" s="31"/>
      <c r="X94" s="31"/>
      <c r="Y94" s="31"/>
      <c r="Z94" s="31"/>
      <c r="AA94" s="31"/>
      <c r="AB94" s="31"/>
      <c r="AC94" s="31"/>
      <c r="AD94" s="31"/>
    </row>
    <row r="95" spans="1:30" s="4" customFormat="1" ht="12.75" customHeight="1" x14ac:dyDescent="0.25">
      <c r="A95" s="31"/>
      <c r="C95" s="827"/>
      <c r="D95" s="19"/>
      <c r="E95" s="1066" t="str">
        <f>Translations!$B$325</f>
        <v>Kahdella ensimmäisellä rivillä on esimerkkejä siitä, miten tämä osa täytetään.</v>
      </c>
      <c r="F95" s="1067"/>
      <c r="G95" s="1067"/>
      <c r="H95" s="1067"/>
      <c r="I95" s="1067"/>
      <c r="J95" s="1067"/>
      <c r="K95" s="1067"/>
      <c r="L95" s="1067"/>
      <c r="M95" s="1067"/>
      <c r="N95" s="1067"/>
      <c r="O95" s="292"/>
      <c r="Q95" s="151"/>
      <c r="R95" s="151"/>
      <c r="S95" s="31"/>
      <c r="T95" s="31"/>
      <c r="U95" s="31"/>
      <c r="V95" s="31"/>
      <c r="W95" s="31"/>
      <c r="X95" s="31"/>
      <c r="Y95" s="31"/>
      <c r="Z95" s="31"/>
      <c r="AA95" s="31"/>
      <c r="AB95" s="31"/>
      <c r="AC95" s="31"/>
      <c r="AD95" s="31"/>
    </row>
    <row r="96" spans="1:30" s="4" customFormat="1" ht="5.15" customHeight="1" x14ac:dyDescent="0.25">
      <c r="A96" s="31"/>
      <c r="C96" s="43"/>
      <c r="D96" s="19"/>
      <c r="E96" s="53"/>
      <c r="F96" s="54"/>
      <c r="G96" s="54"/>
      <c r="H96" s="54"/>
      <c r="I96" s="54"/>
      <c r="J96" s="3"/>
      <c r="K96" s="55"/>
      <c r="L96" s="55"/>
      <c r="M96" s="55"/>
      <c r="N96" s="3"/>
      <c r="O96" s="292"/>
      <c r="Q96" s="151"/>
      <c r="R96" s="151"/>
      <c r="S96" s="31"/>
      <c r="T96" s="31"/>
      <c r="U96" s="31"/>
      <c r="V96" s="31"/>
      <c r="W96" s="31"/>
      <c r="X96" s="31"/>
      <c r="Y96" s="31"/>
      <c r="Z96" s="31"/>
      <c r="AA96" s="31"/>
      <c r="AB96" s="31"/>
      <c r="AC96" s="31"/>
      <c r="AD96" s="31"/>
    </row>
    <row r="97" spans="1:30" s="4" customFormat="1" ht="27" customHeight="1" x14ac:dyDescent="0.25">
      <c r="A97" s="31"/>
      <c r="C97" s="43"/>
      <c r="D97" s="57" t="s">
        <v>53</v>
      </c>
      <c r="E97" s="1068" t="str">
        <f>Translations!$B$212</f>
        <v>Polttoainevirran koko nimi (nimi + tyyppi)</v>
      </c>
      <c r="F97" s="1069"/>
      <c r="G97" s="1069"/>
      <c r="H97" s="1069"/>
      <c r="I97" s="1069"/>
      <c r="J97" s="1070"/>
      <c r="K97" s="1096" t="str">
        <f>Translations!$B$208</f>
        <v>Kulutukseen luovutuksen tapa</v>
      </c>
      <c r="L97" s="1108"/>
      <c r="M97" s="1096" t="str">
        <f>Translations!$B$209</f>
        <v>Kulutukseen luovutuksen välittäjäosapuoli</v>
      </c>
      <c r="N97" s="1096"/>
      <c r="O97" s="292"/>
      <c r="Q97" s="31"/>
      <c r="R97" s="31"/>
      <c r="S97" s="31"/>
      <c r="T97" s="32" t="s">
        <v>91</v>
      </c>
      <c r="U97" s="31"/>
      <c r="V97" s="31"/>
      <c r="W97" s="31"/>
      <c r="X97" s="31"/>
      <c r="Y97" s="31"/>
      <c r="Z97" s="162"/>
      <c r="AA97" s="162"/>
      <c r="AB97" s="162"/>
      <c r="AC97" s="162"/>
      <c r="AD97" s="31"/>
    </row>
    <row r="98" spans="1:30" s="4" customFormat="1" ht="12.75" customHeight="1" x14ac:dyDescent="0.25">
      <c r="A98" s="32"/>
      <c r="C98" s="43"/>
      <c r="D98" s="256" t="s">
        <v>54</v>
      </c>
      <c r="E98" s="1102" t="str">
        <f>Translations!$B$348</f>
        <v>P1. Kaasumainen – Maakaasu</v>
      </c>
      <c r="F98" s="1103"/>
      <c r="G98" s="1103"/>
      <c r="H98" s="1103"/>
      <c r="I98" s="1103"/>
      <c r="J98" s="1104"/>
      <c r="K98" s="1109" t="str">
        <f>Translations!$B$210</f>
        <v>LT1: Putket</v>
      </c>
      <c r="L98" s="1110"/>
      <c r="M98" s="1109" t="str">
        <f>Translations!$B$349</f>
        <v>VO6: Suora yhteys loppukuluttajiin</v>
      </c>
      <c r="N98" s="1110"/>
      <c r="O98" s="292"/>
      <c r="Q98" s="802"/>
      <c r="R98" s="31"/>
      <c r="S98" s="31"/>
      <c r="T98" s="32"/>
      <c r="U98" s="31"/>
      <c r="V98" s="31"/>
      <c r="W98" s="31"/>
      <c r="X98" s="31"/>
      <c r="Y98" s="31"/>
      <c r="Z98" s="162"/>
      <c r="AA98" s="162"/>
      <c r="AB98" s="162"/>
      <c r="AC98" s="162"/>
      <c r="AD98" s="31"/>
    </row>
    <row r="99" spans="1:30" s="4" customFormat="1" ht="13.5" customHeight="1" thickBot="1" x14ac:dyDescent="0.3">
      <c r="A99" s="32"/>
      <c r="C99" s="43"/>
      <c r="D99" s="257" t="s">
        <v>55</v>
      </c>
      <c r="E99" s="1105" t="str">
        <f>Translations!$B$350</f>
        <v>P3. Nestemäinen – Moottoribensiini</v>
      </c>
      <c r="F99" s="1106"/>
      <c r="G99" s="1106"/>
      <c r="H99" s="1106"/>
      <c r="I99" s="1106"/>
      <c r="J99" s="1107"/>
      <c r="K99" s="1100" t="str">
        <f>Translations!$B$211</f>
        <v>LT2: Säiliöautot</v>
      </c>
      <c r="L99" s="1101"/>
      <c r="M99" s="1100" t="str">
        <f>Translations!$B$351</f>
        <v>VO1, VO2</v>
      </c>
      <c r="N99" s="1101"/>
      <c r="O99" s="292"/>
      <c r="Q99" s="802"/>
      <c r="R99" s="31"/>
      <c r="S99" s="31"/>
      <c r="T99" s="32"/>
      <c r="U99" s="31"/>
      <c r="V99" s="31"/>
      <c r="W99" s="31"/>
      <c r="X99" s="31"/>
      <c r="Y99" s="162"/>
      <c r="Z99" s="162"/>
      <c r="AA99" s="162"/>
      <c r="AB99" s="162"/>
      <c r="AC99" s="162"/>
      <c r="AD99" s="31"/>
    </row>
    <row r="100" spans="1:30" s="4" customFormat="1" ht="12.75" customHeight="1" x14ac:dyDescent="0.25">
      <c r="A100" s="31"/>
      <c r="C100" s="43"/>
      <c r="D100" s="46" t="str">
        <f t="shared" ref="D100:D124" si="12">IF(ISBLANK(I67),"",D67)</f>
        <v/>
      </c>
      <c r="E100" s="1059" t="str">
        <f t="shared" ref="E100:E124" si="13">IF(AB67=EUconst_NA,"",AB67)</f>
        <v/>
      </c>
      <c r="F100" s="1060"/>
      <c r="G100" s="1060"/>
      <c r="H100" s="1060"/>
      <c r="I100" s="1060"/>
      <c r="J100" s="1061"/>
      <c r="K100" s="1057"/>
      <c r="L100" s="1058"/>
      <c r="M100" s="1057"/>
      <c r="N100" s="1058"/>
      <c r="O100" s="292"/>
      <c r="Q100" s="31"/>
      <c r="R100" s="163" t="str">
        <f t="shared" ref="R100:R124" si="14">EUconst_CNTR_SourceCategory&amp;D67</f>
        <v>SourceCategory_P1</v>
      </c>
      <c r="S100" s="31"/>
      <c r="T100" s="154" t="b">
        <f t="shared" ref="T100:T124" si="15">(E100&lt;&gt;"")</f>
        <v>0</v>
      </c>
      <c r="U100" s="163" t="str">
        <f t="shared" ref="U100:U124" si="16">EUconst_CNTR_SourceCategory&amp;N100</f>
        <v>SourceCategory_</v>
      </c>
      <c r="V100" s="31"/>
      <c r="W100" s="31"/>
      <c r="X100" s="155" t="str">
        <f t="shared" ref="X100:X124" si="17">IF(ISBLANK(L100),"",ABS(L100))</f>
        <v/>
      </c>
      <c r="Y100" s="162"/>
      <c r="Z100" s="162"/>
      <c r="AA100" s="162"/>
      <c r="AB100" s="162"/>
      <c r="AC100" s="162"/>
      <c r="AD100" s="154" t="b">
        <f>AND(COUNTA($E$67:$H$91)&gt;0,T100=FALSE)</f>
        <v>0</v>
      </c>
    </row>
    <row r="101" spans="1:30" s="4" customFormat="1" ht="12.75" customHeight="1" x14ac:dyDescent="0.25">
      <c r="A101" s="31"/>
      <c r="C101" s="43"/>
      <c r="D101" s="46" t="str">
        <f t="shared" si="12"/>
        <v/>
      </c>
      <c r="E101" s="1059" t="str">
        <f t="shared" si="13"/>
        <v/>
      </c>
      <c r="F101" s="1060"/>
      <c r="G101" s="1060"/>
      <c r="H101" s="1060"/>
      <c r="I101" s="1060"/>
      <c r="J101" s="1061"/>
      <c r="K101" s="1057"/>
      <c r="L101" s="1058"/>
      <c r="M101" s="1057"/>
      <c r="N101" s="1058"/>
      <c r="O101" s="292"/>
      <c r="Q101" s="31"/>
      <c r="R101" s="163" t="str">
        <f t="shared" si="14"/>
        <v>SourceCategory_P2</v>
      </c>
      <c r="S101" s="31"/>
      <c r="T101" s="154" t="b">
        <f t="shared" si="15"/>
        <v>0</v>
      </c>
      <c r="U101" s="163" t="str">
        <f t="shared" si="16"/>
        <v>SourceCategory_</v>
      </c>
      <c r="V101" s="31"/>
      <c r="W101" s="31"/>
      <c r="X101" s="156" t="str">
        <f t="shared" si="17"/>
        <v/>
      </c>
      <c r="Y101" s="162"/>
      <c r="Z101" s="162"/>
      <c r="AA101" s="162"/>
      <c r="AB101" s="162"/>
      <c r="AC101" s="162"/>
      <c r="AD101" s="154" t="b">
        <f t="shared" ref="AD101:AD124" si="18">AND(COUNTA($E$67:$H$91)&gt;0,T101=FALSE)</f>
        <v>0</v>
      </c>
    </row>
    <row r="102" spans="1:30" s="4" customFormat="1" ht="12.75" customHeight="1" x14ac:dyDescent="0.25">
      <c r="A102" s="31"/>
      <c r="C102" s="43"/>
      <c r="D102" s="46" t="str">
        <f t="shared" si="12"/>
        <v/>
      </c>
      <c r="E102" s="1059" t="str">
        <f t="shared" si="13"/>
        <v/>
      </c>
      <c r="F102" s="1060"/>
      <c r="G102" s="1060"/>
      <c r="H102" s="1060"/>
      <c r="I102" s="1060"/>
      <c r="J102" s="1061"/>
      <c r="K102" s="1057"/>
      <c r="L102" s="1058"/>
      <c r="M102" s="1057"/>
      <c r="N102" s="1058"/>
      <c r="O102" s="292"/>
      <c r="Q102" s="31"/>
      <c r="R102" s="163" t="str">
        <f t="shared" si="14"/>
        <v>SourceCategory_P3</v>
      </c>
      <c r="S102" s="31"/>
      <c r="T102" s="154" t="b">
        <f t="shared" si="15"/>
        <v>0</v>
      </c>
      <c r="U102" s="163" t="str">
        <f t="shared" si="16"/>
        <v>SourceCategory_</v>
      </c>
      <c r="V102" s="31"/>
      <c r="W102" s="31"/>
      <c r="X102" s="156" t="str">
        <f t="shared" si="17"/>
        <v/>
      </c>
      <c r="Y102" s="162"/>
      <c r="Z102" s="162"/>
      <c r="AA102" s="162"/>
      <c r="AB102" s="162"/>
      <c r="AC102" s="162"/>
      <c r="AD102" s="154" t="b">
        <f t="shared" si="18"/>
        <v>0</v>
      </c>
    </row>
    <row r="103" spans="1:30" s="4" customFormat="1" ht="12.75" customHeight="1" x14ac:dyDescent="0.25">
      <c r="A103" s="31"/>
      <c r="C103" s="43"/>
      <c r="D103" s="46" t="str">
        <f t="shared" si="12"/>
        <v/>
      </c>
      <c r="E103" s="1059" t="str">
        <f t="shared" si="13"/>
        <v/>
      </c>
      <c r="F103" s="1060"/>
      <c r="G103" s="1060"/>
      <c r="H103" s="1060"/>
      <c r="I103" s="1060"/>
      <c r="J103" s="1061"/>
      <c r="K103" s="1057"/>
      <c r="L103" s="1058"/>
      <c r="M103" s="1057"/>
      <c r="N103" s="1058"/>
      <c r="O103" s="292"/>
      <c r="Q103" s="164"/>
      <c r="R103" s="163" t="str">
        <f t="shared" si="14"/>
        <v>SourceCategory_P4</v>
      </c>
      <c r="S103" s="31"/>
      <c r="T103" s="154" t="b">
        <f t="shared" si="15"/>
        <v>0</v>
      </c>
      <c r="U103" s="163" t="str">
        <f t="shared" si="16"/>
        <v>SourceCategory_</v>
      </c>
      <c r="V103" s="31"/>
      <c r="W103" s="31"/>
      <c r="X103" s="156" t="str">
        <f t="shared" si="17"/>
        <v/>
      </c>
      <c r="Y103" s="31"/>
      <c r="Z103" s="162"/>
      <c r="AA103" s="162"/>
      <c r="AB103" s="162"/>
      <c r="AC103" s="162"/>
      <c r="AD103" s="154" t="b">
        <f t="shared" si="18"/>
        <v>0</v>
      </c>
    </row>
    <row r="104" spans="1:30" s="4" customFormat="1" ht="12.75" customHeight="1" x14ac:dyDescent="0.25">
      <c r="A104" s="31"/>
      <c r="C104" s="43"/>
      <c r="D104" s="46" t="str">
        <f t="shared" si="12"/>
        <v/>
      </c>
      <c r="E104" s="1059" t="str">
        <f t="shared" si="13"/>
        <v/>
      </c>
      <c r="F104" s="1060"/>
      <c r="G104" s="1060"/>
      <c r="H104" s="1060"/>
      <c r="I104" s="1060"/>
      <c r="J104" s="1061"/>
      <c r="K104" s="1057"/>
      <c r="L104" s="1058"/>
      <c r="M104" s="1057"/>
      <c r="N104" s="1058"/>
      <c r="O104" s="292"/>
      <c r="Q104" s="164"/>
      <c r="R104" s="163" t="str">
        <f t="shared" si="14"/>
        <v>SourceCategory_P5</v>
      </c>
      <c r="S104" s="31"/>
      <c r="T104" s="154" t="b">
        <f t="shared" si="15"/>
        <v>0</v>
      </c>
      <c r="U104" s="163" t="str">
        <f t="shared" si="16"/>
        <v>SourceCategory_</v>
      </c>
      <c r="V104" s="31"/>
      <c r="W104" s="31"/>
      <c r="X104" s="156" t="str">
        <f t="shared" si="17"/>
        <v/>
      </c>
      <c r="Y104" s="31"/>
      <c r="Z104" s="162"/>
      <c r="AA104" s="162"/>
      <c r="AB104" s="162"/>
      <c r="AC104" s="162"/>
      <c r="AD104" s="154" t="b">
        <f t="shared" si="18"/>
        <v>0</v>
      </c>
    </row>
    <row r="105" spans="1:30" s="4" customFormat="1" ht="12.75" customHeight="1" x14ac:dyDescent="0.25">
      <c r="A105" s="31"/>
      <c r="C105" s="43"/>
      <c r="D105" s="46" t="str">
        <f t="shared" si="12"/>
        <v/>
      </c>
      <c r="E105" s="1059" t="str">
        <f t="shared" si="13"/>
        <v/>
      </c>
      <c r="F105" s="1060"/>
      <c r="G105" s="1060"/>
      <c r="H105" s="1060"/>
      <c r="I105" s="1060"/>
      <c r="J105" s="1061"/>
      <c r="K105" s="1057"/>
      <c r="L105" s="1058"/>
      <c r="M105" s="1057"/>
      <c r="N105" s="1058"/>
      <c r="O105" s="292"/>
      <c r="Q105" s="164"/>
      <c r="R105" s="163" t="str">
        <f t="shared" si="14"/>
        <v>SourceCategory_P6</v>
      </c>
      <c r="S105" s="31"/>
      <c r="T105" s="154" t="b">
        <f t="shared" si="15"/>
        <v>0</v>
      </c>
      <c r="U105" s="163" t="str">
        <f t="shared" si="16"/>
        <v>SourceCategory_</v>
      </c>
      <c r="V105" s="31"/>
      <c r="W105" s="31"/>
      <c r="X105" s="156" t="str">
        <f t="shared" si="17"/>
        <v/>
      </c>
      <c r="Y105" s="31"/>
      <c r="Z105" s="162"/>
      <c r="AA105" s="162"/>
      <c r="AB105" s="162"/>
      <c r="AC105" s="162"/>
      <c r="AD105" s="154" t="b">
        <f t="shared" si="18"/>
        <v>0</v>
      </c>
    </row>
    <row r="106" spans="1:30" s="4" customFormat="1" ht="12.75" customHeight="1" x14ac:dyDescent="0.25">
      <c r="A106" s="31"/>
      <c r="C106" s="43"/>
      <c r="D106" s="46" t="str">
        <f t="shared" si="12"/>
        <v/>
      </c>
      <c r="E106" s="1059" t="str">
        <f t="shared" si="13"/>
        <v/>
      </c>
      <c r="F106" s="1060"/>
      <c r="G106" s="1060"/>
      <c r="H106" s="1060"/>
      <c r="I106" s="1060"/>
      <c r="J106" s="1061"/>
      <c r="K106" s="1057"/>
      <c r="L106" s="1058"/>
      <c r="M106" s="1057"/>
      <c r="N106" s="1058"/>
      <c r="O106" s="292"/>
      <c r="Q106" s="164"/>
      <c r="R106" s="163" t="str">
        <f t="shared" si="14"/>
        <v>SourceCategory_P7</v>
      </c>
      <c r="S106" s="31"/>
      <c r="T106" s="154" t="b">
        <f t="shared" si="15"/>
        <v>0</v>
      </c>
      <c r="U106" s="163" t="str">
        <f t="shared" si="16"/>
        <v>SourceCategory_</v>
      </c>
      <c r="V106" s="31"/>
      <c r="W106" s="31"/>
      <c r="X106" s="156" t="str">
        <f t="shared" si="17"/>
        <v/>
      </c>
      <c r="Y106" s="31"/>
      <c r="Z106" s="31"/>
      <c r="AA106" s="31"/>
      <c r="AB106" s="31"/>
      <c r="AC106" s="31"/>
      <c r="AD106" s="154" t="b">
        <f t="shared" si="18"/>
        <v>0</v>
      </c>
    </row>
    <row r="107" spans="1:30" s="4" customFormat="1" ht="12.75" customHeight="1" x14ac:dyDescent="0.25">
      <c r="A107" s="31"/>
      <c r="C107" s="43"/>
      <c r="D107" s="46" t="str">
        <f t="shared" si="12"/>
        <v/>
      </c>
      <c r="E107" s="1059" t="str">
        <f t="shared" si="13"/>
        <v/>
      </c>
      <c r="F107" s="1060"/>
      <c r="G107" s="1060"/>
      <c r="H107" s="1060"/>
      <c r="I107" s="1060"/>
      <c r="J107" s="1061"/>
      <c r="K107" s="1057"/>
      <c r="L107" s="1058"/>
      <c r="M107" s="1057"/>
      <c r="N107" s="1058"/>
      <c r="O107" s="292"/>
      <c r="Q107" s="164"/>
      <c r="R107" s="163" t="str">
        <f t="shared" si="14"/>
        <v>SourceCategory_P8</v>
      </c>
      <c r="S107" s="31"/>
      <c r="T107" s="154" t="b">
        <f t="shared" si="15"/>
        <v>0</v>
      </c>
      <c r="U107" s="163" t="str">
        <f t="shared" si="16"/>
        <v>SourceCategory_</v>
      </c>
      <c r="V107" s="31"/>
      <c r="W107" s="31"/>
      <c r="X107" s="156" t="str">
        <f t="shared" si="17"/>
        <v/>
      </c>
      <c r="Y107" s="31"/>
      <c r="Z107" s="31"/>
      <c r="AA107" s="31"/>
      <c r="AB107" s="31"/>
      <c r="AC107" s="31"/>
      <c r="AD107" s="154" t="b">
        <f t="shared" si="18"/>
        <v>0</v>
      </c>
    </row>
    <row r="108" spans="1:30" s="4" customFormat="1" ht="12.75" customHeight="1" x14ac:dyDescent="0.25">
      <c r="A108" s="31"/>
      <c r="C108" s="43"/>
      <c r="D108" s="46" t="str">
        <f t="shared" si="12"/>
        <v/>
      </c>
      <c r="E108" s="1059" t="str">
        <f t="shared" si="13"/>
        <v/>
      </c>
      <c r="F108" s="1060"/>
      <c r="G108" s="1060"/>
      <c r="H108" s="1060"/>
      <c r="I108" s="1060"/>
      <c r="J108" s="1061"/>
      <c r="K108" s="1057"/>
      <c r="L108" s="1058"/>
      <c r="M108" s="1057"/>
      <c r="N108" s="1058"/>
      <c r="O108" s="292"/>
      <c r="Q108" s="164"/>
      <c r="R108" s="163" t="str">
        <f t="shared" si="14"/>
        <v>SourceCategory_P9</v>
      </c>
      <c r="S108" s="31"/>
      <c r="T108" s="154" t="b">
        <f t="shared" si="15"/>
        <v>0</v>
      </c>
      <c r="U108" s="163" t="str">
        <f t="shared" si="16"/>
        <v>SourceCategory_</v>
      </c>
      <c r="V108" s="31"/>
      <c r="W108" s="31"/>
      <c r="X108" s="156" t="str">
        <f t="shared" si="17"/>
        <v/>
      </c>
      <c r="Y108" s="31"/>
      <c r="Z108" s="31"/>
      <c r="AA108" s="31"/>
      <c r="AB108" s="31"/>
      <c r="AC108" s="31"/>
      <c r="AD108" s="154" t="b">
        <f t="shared" si="18"/>
        <v>0</v>
      </c>
    </row>
    <row r="109" spans="1:30" s="4" customFormat="1" ht="12.75" customHeight="1" x14ac:dyDescent="0.25">
      <c r="A109" s="31"/>
      <c r="C109" s="43"/>
      <c r="D109" s="46" t="str">
        <f t="shared" si="12"/>
        <v/>
      </c>
      <c r="E109" s="1059" t="str">
        <f t="shared" si="13"/>
        <v/>
      </c>
      <c r="F109" s="1060"/>
      <c r="G109" s="1060"/>
      <c r="H109" s="1060"/>
      <c r="I109" s="1060"/>
      <c r="J109" s="1061"/>
      <c r="K109" s="1057"/>
      <c r="L109" s="1058"/>
      <c r="M109" s="1057"/>
      <c r="N109" s="1058"/>
      <c r="O109" s="292"/>
      <c r="Q109" s="164"/>
      <c r="R109" s="163" t="str">
        <f t="shared" si="14"/>
        <v>SourceCategory_P10</v>
      </c>
      <c r="S109" s="31"/>
      <c r="T109" s="154" t="b">
        <f t="shared" si="15"/>
        <v>0</v>
      </c>
      <c r="U109" s="163" t="str">
        <f t="shared" si="16"/>
        <v>SourceCategory_</v>
      </c>
      <c r="V109" s="31"/>
      <c r="W109" s="31"/>
      <c r="X109" s="156" t="str">
        <f t="shared" si="17"/>
        <v/>
      </c>
      <c r="Y109" s="31"/>
      <c r="Z109" s="31"/>
      <c r="AA109" s="31"/>
      <c r="AB109" s="31"/>
      <c r="AC109" s="31"/>
      <c r="AD109" s="154" t="b">
        <f t="shared" si="18"/>
        <v>0</v>
      </c>
    </row>
    <row r="110" spans="1:30" s="4" customFormat="1" ht="12.75" customHeight="1" x14ac:dyDescent="0.25">
      <c r="A110" s="31"/>
      <c r="C110" s="43"/>
      <c r="D110" s="46" t="str">
        <f t="shared" si="12"/>
        <v/>
      </c>
      <c r="E110" s="1059" t="str">
        <f t="shared" si="13"/>
        <v/>
      </c>
      <c r="F110" s="1060"/>
      <c r="G110" s="1060"/>
      <c r="H110" s="1060"/>
      <c r="I110" s="1060"/>
      <c r="J110" s="1061"/>
      <c r="K110" s="1057"/>
      <c r="L110" s="1058"/>
      <c r="M110" s="1057"/>
      <c r="N110" s="1058"/>
      <c r="O110" s="292"/>
      <c r="Q110" s="164"/>
      <c r="R110" s="163" t="str">
        <f t="shared" si="14"/>
        <v>SourceCategory_P11</v>
      </c>
      <c r="S110" s="31"/>
      <c r="T110" s="154" t="b">
        <f t="shared" si="15"/>
        <v>0</v>
      </c>
      <c r="U110" s="163" t="str">
        <f t="shared" si="16"/>
        <v>SourceCategory_</v>
      </c>
      <c r="V110" s="31"/>
      <c r="W110" s="31"/>
      <c r="X110" s="156" t="str">
        <f t="shared" si="17"/>
        <v/>
      </c>
      <c r="Y110" s="31"/>
      <c r="Z110" s="31"/>
      <c r="AA110" s="31"/>
      <c r="AB110" s="31"/>
      <c r="AC110" s="31"/>
      <c r="AD110" s="154" t="b">
        <f t="shared" si="18"/>
        <v>0</v>
      </c>
    </row>
    <row r="111" spans="1:30" s="4" customFormat="1" ht="12.75" customHeight="1" x14ac:dyDescent="0.25">
      <c r="A111" s="31"/>
      <c r="C111" s="43"/>
      <c r="D111" s="46" t="str">
        <f t="shared" si="12"/>
        <v/>
      </c>
      <c r="E111" s="1059" t="str">
        <f t="shared" si="13"/>
        <v/>
      </c>
      <c r="F111" s="1060"/>
      <c r="G111" s="1060"/>
      <c r="H111" s="1060"/>
      <c r="I111" s="1060"/>
      <c r="J111" s="1061"/>
      <c r="K111" s="1057"/>
      <c r="L111" s="1058"/>
      <c r="M111" s="1057"/>
      <c r="N111" s="1058"/>
      <c r="O111" s="292"/>
      <c r="Q111" s="164"/>
      <c r="R111" s="163" t="str">
        <f t="shared" si="14"/>
        <v>SourceCategory_P12</v>
      </c>
      <c r="S111" s="31"/>
      <c r="T111" s="154" t="b">
        <f t="shared" si="15"/>
        <v>0</v>
      </c>
      <c r="U111" s="163" t="str">
        <f t="shared" si="16"/>
        <v>SourceCategory_</v>
      </c>
      <c r="V111" s="31"/>
      <c r="W111" s="31"/>
      <c r="X111" s="156" t="str">
        <f t="shared" si="17"/>
        <v/>
      </c>
      <c r="Y111" s="31"/>
      <c r="Z111" s="31"/>
      <c r="AA111" s="31"/>
      <c r="AB111" s="31"/>
      <c r="AC111" s="31"/>
      <c r="AD111" s="154" t="b">
        <f t="shared" si="18"/>
        <v>0</v>
      </c>
    </row>
    <row r="112" spans="1:30" s="4" customFormat="1" ht="12.75" customHeight="1" x14ac:dyDescent="0.25">
      <c r="A112" s="31"/>
      <c r="C112" s="43"/>
      <c r="D112" s="46" t="str">
        <f t="shared" si="12"/>
        <v/>
      </c>
      <c r="E112" s="1059" t="str">
        <f t="shared" si="13"/>
        <v/>
      </c>
      <c r="F112" s="1060"/>
      <c r="G112" s="1060"/>
      <c r="H112" s="1060"/>
      <c r="I112" s="1060"/>
      <c r="J112" s="1061"/>
      <c r="K112" s="1057"/>
      <c r="L112" s="1058"/>
      <c r="M112" s="1057"/>
      <c r="N112" s="1058"/>
      <c r="O112" s="292"/>
      <c r="Q112" s="164"/>
      <c r="R112" s="163" t="str">
        <f t="shared" si="14"/>
        <v>SourceCategory_P13</v>
      </c>
      <c r="S112" s="31"/>
      <c r="T112" s="154" t="b">
        <f t="shared" si="15"/>
        <v>0</v>
      </c>
      <c r="U112" s="163" t="str">
        <f t="shared" si="16"/>
        <v>SourceCategory_</v>
      </c>
      <c r="V112" s="31"/>
      <c r="W112" s="31"/>
      <c r="X112" s="156" t="str">
        <f t="shared" si="17"/>
        <v/>
      </c>
      <c r="Y112" s="31"/>
      <c r="Z112" s="31"/>
      <c r="AA112" s="31"/>
      <c r="AB112" s="31"/>
      <c r="AC112" s="31"/>
      <c r="AD112" s="154" t="b">
        <f t="shared" si="18"/>
        <v>0</v>
      </c>
    </row>
    <row r="113" spans="1:30" s="4" customFormat="1" ht="12.75" customHeight="1" x14ac:dyDescent="0.25">
      <c r="A113" s="31"/>
      <c r="C113" s="43"/>
      <c r="D113" s="46" t="str">
        <f t="shared" si="12"/>
        <v/>
      </c>
      <c r="E113" s="1059" t="str">
        <f t="shared" si="13"/>
        <v/>
      </c>
      <c r="F113" s="1060"/>
      <c r="G113" s="1060"/>
      <c r="H113" s="1060"/>
      <c r="I113" s="1060"/>
      <c r="J113" s="1061"/>
      <c r="K113" s="1057"/>
      <c r="L113" s="1058"/>
      <c r="M113" s="1057"/>
      <c r="N113" s="1058"/>
      <c r="O113" s="292"/>
      <c r="Q113" s="164"/>
      <c r="R113" s="163" t="str">
        <f t="shared" si="14"/>
        <v>SourceCategory_P14</v>
      </c>
      <c r="S113" s="31"/>
      <c r="T113" s="154" t="b">
        <f t="shared" si="15"/>
        <v>0</v>
      </c>
      <c r="U113" s="163" t="str">
        <f t="shared" si="16"/>
        <v>SourceCategory_</v>
      </c>
      <c r="V113" s="31"/>
      <c r="W113" s="31"/>
      <c r="X113" s="156" t="str">
        <f t="shared" si="17"/>
        <v/>
      </c>
      <c r="Y113" s="31"/>
      <c r="Z113" s="31"/>
      <c r="AA113" s="31"/>
      <c r="AB113" s="31"/>
      <c r="AC113" s="31"/>
      <c r="AD113" s="154" t="b">
        <f t="shared" si="18"/>
        <v>0</v>
      </c>
    </row>
    <row r="114" spans="1:30" s="4" customFormat="1" ht="12.75" customHeight="1" x14ac:dyDescent="0.25">
      <c r="A114" s="31"/>
      <c r="C114" s="43"/>
      <c r="D114" s="46" t="str">
        <f t="shared" si="12"/>
        <v/>
      </c>
      <c r="E114" s="1059" t="str">
        <f t="shared" si="13"/>
        <v/>
      </c>
      <c r="F114" s="1060"/>
      <c r="G114" s="1060"/>
      <c r="H114" s="1060"/>
      <c r="I114" s="1060"/>
      <c r="J114" s="1061"/>
      <c r="K114" s="1057"/>
      <c r="L114" s="1058"/>
      <c r="M114" s="1057"/>
      <c r="N114" s="1058"/>
      <c r="O114" s="292"/>
      <c r="Q114" s="164"/>
      <c r="R114" s="163" t="str">
        <f t="shared" si="14"/>
        <v>SourceCategory_P15</v>
      </c>
      <c r="S114" s="31"/>
      <c r="T114" s="154" t="b">
        <f t="shared" si="15"/>
        <v>0</v>
      </c>
      <c r="U114" s="163" t="str">
        <f t="shared" si="16"/>
        <v>SourceCategory_</v>
      </c>
      <c r="V114" s="31"/>
      <c r="W114" s="31"/>
      <c r="X114" s="156" t="str">
        <f t="shared" si="17"/>
        <v/>
      </c>
      <c r="Y114" s="31"/>
      <c r="Z114" s="31"/>
      <c r="AA114" s="31"/>
      <c r="AB114" s="31"/>
      <c r="AC114" s="31"/>
      <c r="AD114" s="154" t="b">
        <f t="shared" si="18"/>
        <v>0</v>
      </c>
    </row>
    <row r="115" spans="1:30" s="4" customFormat="1" ht="12.75" customHeight="1" x14ac:dyDescent="0.25">
      <c r="A115" s="31"/>
      <c r="C115" s="43"/>
      <c r="D115" s="46" t="str">
        <f t="shared" si="12"/>
        <v/>
      </c>
      <c r="E115" s="1059" t="str">
        <f t="shared" si="13"/>
        <v/>
      </c>
      <c r="F115" s="1060"/>
      <c r="G115" s="1060"/>
      <c r="H115" s="1060"/>
      <c r="I115" s="1060"/>
      <c r="J115" s="1061"/>
      <c r="K115" s="1057"/>
      <c r="L115" s="1058"/>
      <c r="M115" s="1057"/>
      <c r="N115" s="1058"/>
      <c r="O115" s="292"/>
      <c r="Q115" s="164"/>
      <c r="R115" s="163" t="str">
        <f t="shared" si="14"/>
        <v>SourceCategory_P16</v>
      </c>
      <c r="S115" s="31"/>
      <c r="T115" s="154" t="b">
        <f t="shared" si="15"/>
        <v>0</v>
      </c>
      <c r="U115" s="163" t="str">
        <f t="shared" si="16"/>
        <v>SourceCategory_</v>
      </c>
      <c r="V115" s="31"/>
      <c r="W115" s="31"/>
      <c r="X115" s="156" t="str">
        <f t="shared" si="17"/>
        <v/>
      </c>
      <c r="Y115" s="31"/>
      <c r="Z115" s="31"/>
      <c r="AA115" s="31"/>
      <c r="AB115" s="31"/>
      <c r="AC115" s="31"/>
      <c r="AD115" s="154" t="b">
        <f t="shared" si="18"/>
        <v>0</v>
      </c>
    </row>
    <row r="116" spans="1:30" s="4" customFormat="1" ht="12.75" customHeight="1" x14ac:dyDescent="0.25">
      <c r="A116" s="31"/>
      <c r="C116" s="43"/>
      <c r="D116" s="46" t="str">
        <f t="shared" si="12"/>
        <v/>
      </c>
      <c r="E116" s="1059" t="str">
        <f t="shared" si="13"/>
        <v/>
      </c>
      <c r="F116" s="1060"/>
      <c r="G116" s="1060"/>
      <c r="H116" s="1060"/>
      <c r="I116" s="1060"/>
      <c r="J116" s="1061"/>
      <c r="K116" s="1057"/>
      <c r="L116" s="1058"/>
      <c r="M116" s="1057"/>
      <c r="N116" s="1058"/>
      <c r="O116" s="292"/>
      <c r="Q116" s="164"/>
      <c r="R116" s="163" t="str">
        <f t="shared" si="14"/>
        <v>SourceCategory_P17</v>
      </c>
      <c r="S116" s="31"/>
      <c r="T116" s="154" t="b">
        <f t="shared" si="15"/>
        <v>0</v>
      </c>
      <c r="U116" s="163" t="str">
        <f t="shared" si="16"/>
        <v>SourceCategory_</v>
      </c>
      <c r="V116" s="31"/>
      <c r="W116" s="31"/>
      <c r="X116" s="156" t="str">
        <f t="shared" si="17"/>
        <v/>
      </c>
      <c r="Y116" s="31"/>
      <c r="Z116" s="31"/>
      <c r="AA116" s="31"/>
      <c r="AB116" s="31"/>
      <c r="AC116" s="31"/>
      <c r="AD116" s="154" t="b">
        <f t="shared" si="18"/>
        <v>0</v>
      </c>
    </row>
    <row r="117" spans="1:30" s="4" customFormat="1" ht="12.75" customHeight="1" x14ac:dyDescent="0.25">
      <c r="A117" s="31"/>
      <c r="C117" s="43"/>
      <c r="D117" s="46" t="str">
        <f t="shared" si="12"/>
        <v/>
      </c>
      <c r="E117" s="1059" t="str">
        <f t="shared" si="13"/>
        <v/>
      </c>
      <c r="F117" s="1060"/>
      <c r="G117" s="1060"/>
      <c r="H117" s="1060"/>
      <c r="I117" s="1060"/>
      <c r="J117" s="1061"/>
      <c r="K117" s="1057"/>
      <c r="L117" s="1058"/>
      <c r="M117" s="1057"/>
      <c r="N117" s="1058"/>
      <c r="O117" s="292"/>
      <c r="Q117" s="164"/>
      <c r="R117" s="163" t="str">
        <f t="shared" si="14"/>
        <v>SourceCategory_P18</v>
      </c>
      <c r="S117" s="31"/>
      <c r="T117" s="154" t="b">
        <f t="shared" si="15"/>
        <v>0</v>
      </c>
      <c r="U117" s="163" t="str">
        <f t="shared" si="16"/>
        <v>SourceCategory_</v>
      </c>
      <c r="V117" s="31"/>
      <c r="W117" s="31"/>
      <c r="X117" s="156" t="str">
        <f t="shared" si="17"/>
        <v/>
      </c>
      <c r="Y117" s="31"/>
      <c r="Z117" s="31"/>
      <c r="AA117" s="31"/>
      <c r="AB117" s="31"/>
      <c r="AC117" s="31"/>
      <c r="AD117" s="154" t="b">
        <f t="shared" si="18"/>
        <v>0</v>
      </c>
    </row>
    <row r="118" spans="1:30" s="4" customFormat="1" ht="12.75" customHeight="1" x14ac:dyDescent="0.25">
      <c r="A118" s="31"/>
      <c r="C118" s="43"/>
      <c r="D118" s="46" t="str">
        <f t="shared" si="12"/>
        <v/>
      </c>
      <c r="E118" s="1059" t="str">
        <f t="shared" si="13"/>
        <v/>
      </c>
      <c r="F118" s="1060"/>
      <c r="G118" s="1060"/>
      <c r="H118" s="1060"/>
      <c r="I118" s="1060"/>
      <c r="J118" s="1061"/>
      <c r="K118" s="1057"/>
      <c r="L118" s="1058"/>
      <c r="M118" s="1057"/>
      <c r="N118" s="1058"/>
      <c r="O118" s="292"/>
      <c r="Q118" s="164"/>
      <c r="R118" s="163" t="str">
        <f t="shared" si="14"/>
        <v>SourceCategory_P19</v>
      </c>
      <c r="S118" s="31"/>
      <c r="T118" s="154" t="b">
        <f t="shared" si="15"/>
        <v>0</v>
      </c>
      <c r="U118" s="163" t="str">
        <f t="shared" si="16"/>
        <v>SourceCategory_</v>
      </c>
      <c r="V118" s="31"/>
      <c r="W118" s="31"/>
      <c r="X118" s="156" t="str">
        <f t="shared" si="17"/>
        <v/>
      </c>
      <c r="Y118" s="31"/>
      <c r="Z118" s="31"/>
      <c r="AA118" s="31"/>
      <c r="AB118" s="31"/>
      <c r="AC118" s="31"/>
      <c r="AD118" s="154" t="b">
        <f t="shared" si="18"/>
        <v>0</v>
      </c>
    </row>
    <row r="119" spans="1:30" s="4" customFormat="1" ht="12.75" customHeight="1" x14ac:dyDescent="0.25">
      <c r="A119" s="31"/>
      <c r="C119" s="43"/>
      <c r="D119" s="46" t="str">
        <f t="shared" si="12"/>
        <v/>
      </c>
      <c r="E119" s="1059" t="str">
        <f t="shared" si="13"/>
        <v/>
      </c>
      <c r="F119" s="1060"/>
      <c r="G119" s="1060"/>
      <c r="H119" s="1060"/>
      <c r="I119" s="1060"/>
      <c r="J119" s="1061"/>
      <c r="K119" s="1057"/>
      <c r="L119" s="1058"/>
      <c r="M119" s="1057"/>
      <c r="N119" s="1058"/>
      <c r="O119" s="292"/>
      <c r="Q119" s="31"/>
      <c r="R119" s="163" t="str">
        <f t="shared" si="14"/>
        <v>SourceCategory_P20</v>
      </c>
      <c r="S119" s="31"/>
      <c r="T119" s="154" t="b">
        <f t="shared" si="15"/>
        <v>0</v>
      </c>
      <c r="U119" s="163" t="str">
        <f t="shared" si="16"/>
        <v>SourceCategory_</v>
      </c>
      <c r="V119" s="31"/>
      <c r="W119" s="31"/>
      <c r="X119" s="156" t="str">
        <f t="shared" si="17"/>
        <v/>
      </c>
      <c r="Y119" s="31"/>
      <c r="Z119" s="31"/>
      <c r="AA119" s="31"/>
      <c r="AB119" s="31"/>
      <c r="AC119" s="31"/>
      <c r="AD119" s="154" t="b">
        <f t="shared" si="18"/>
        <v>0</v>
      </c>
    </row>
    <row r="120" spans="1:30" s="4" customFormat="1" ht="12.75" customHeight="1" x14ac:dyDescent="0.25">
      <c r="A120" s="31"/>
      <c r="C120" s="43"/>
      <c r="D120" s="46" t="str">
        <f t="shared" si="12"/>
        <v/>
      </c>
      <c r="E120" s="1059" t="str">
        <f t="shared" si="13"/>
        <v/>
      </c>
      <c r="F120" s="1060"/>
      <c r="G120" s="1060"/>
      <c r="H120" s="1060"/>
      <c r="I120" s="1060"/>
      <c r="J120" s="1061"/>
      <c r="K120" s="1057"/>
      <c r="L120" s="1058"/>
      <c r="M120" s="1057"/>
      <c r="N120" s="1058"/>
      <c r="O120" s="292"/>
      <c r="Q120" s="31"/>
      <c r="R120" s="163" t="str">
        <f t="shared" si="14"/>
        <v>SourceCategory_P21</v>
      </c>
      <c r="S120" s="31"/>
      <c r="T120" s="154" t="b">
        <f t="shared" si="15"/>
        <v>0</v>
      </c>
      <c r="U120" s="163" t="str">
        <f t="shared" si="16"/>
        <v>SourceCategory_</v>
      </c>
      <c r="V120" s="31"/>
      <c r="W120" s="31"/>
      <c r="X120" s="156" t="str">
        <f t="shared" si="17"/>
        <v/>
      </c>
      <c r="Y120" s="31"/>
      <c r="Z120" s="31"/>
      <c r="AA120" s="31"/>
      <c r="AB120" s="31"/>
      <c r="AC120" s="31"/>
      <c r="AD120" s="154" t="b">
        <f t="shared" si="18"/>
        <v>0</v>
      </c>
    </row>
    <row r="121" spans="1:30" s="4" customFormat="1" ht="12.75" customHeight="1" x14ac:dyDescent="0.25">
      <c r="A121" s="31"/>
      <c r="C121" s="43"/>
      <c r="D121" s="46" t="str">
        <f t="shared" si="12"/>
        <v/>
      </c>
      <c r="E121" s="1059" t="str">
        <f t="shared" si="13"/>
        <v/>
      </c>
      <c r="F121" s="1060"/>
      <c r="G121" s="1060"/>
      <c r="H121" s="1060"/>
      <c r="I121" s="1060"/>
      <c r="J121" s="1061"/>
      <c r="K121" s="1057"/>
      <c r="L121" s="1058"/>
      <c r="M121" s="1057"/>
      <c r="N121" s="1058"/>
      <c r="O121" s="292"/>
      <c r="Q121" s="31"/>
      <c r="R121" s="163" t="str">
        <f t="shared" si="14"/>
        <v>SourceCategory_P22</v>
      </c>
      <c r="S121" s="31"/>
      <c r="T121" s="154" t="b">
        <f t="shared" si="15"/>
        <v>0</v>
      </c>
      <c r="U121" s="163" t="str">
        <f t="shared" si="16"/>
        <v>SourceCategory_</v>
      </c>
      <c r="V121" s="31"/>
      <c r="W121" s="31"/>
      <c r="X121" s="156" t="str">
        <f t="shared" si="17"/>
        <v/>
      </c>
      <c r="Y121" s="31"/>
      <c r="Z121" s="31"/>
      <c r="AA121" s="31"/>
      <c r="AB121" s="31"/>
      <c r="AC121" s="31"/>
      <c r="AD121" s="154" t="b">
        <f t="shared" si="18"/>
        <v>0</v>
      </c>
    </row>
    <row r="122" spans="1:30" s="4" customFormat="1" ht="12.75" customHeight="1" x14ac:dyDescent="0.25">
      <c r="A122" s="31"/>
      <c r="C122" s="43"/>
      <c r="D122" s="46" t="str">
        <f t="shared" si="12"/>
        <v/>
      </c>
      <c r="E122" s="1059" t="str">
        <f t="shared" si="13"/>
        <v/>
      </c>
      <c r="F122" s="1060"/>
      <c r="G122" s="1060"/>
      <c r="H122" s="1060"/>
      <c r="I122" s="1060"/>
      <c r="J122" s="1061"/>
      <c r="K122" s="1057"/>
      <c r="L122" s="1058"/>
      <c r="M122" s="1057"/>
      <c r="N122" s="1058"/>
      <c r="O122" s="292"/>
      <c r="Q122" s="31"/>
      <c r="R122" s="163" t="str">
        <f t="shared" si="14"/>
        <v>SourceCategory_P23</v>
      </c>
      <c r="S122" s="31"/>
      <c r="T122" s="154" t="b">
        <f t="shared" si="15"/>
        <v>0</v>
      </c>
      <c r="U122" s="163" t="str">
        <f t="shared" si="16"/>
        <v>SourceCategory_</v>
      </c>
      <c r="V122" s="31"/>
      <c r="W122" s="31"/>
      <c r="X122" s="156" t="str">
        <f t="shared" si="17"/>
        <v/>
      </c>
      <c r="Y122" s="31"/>
      <c r="Z122" s="31"/>
      <c r="AA122" s="31"/>
      <c r="AB122" s="31"/>
      <c r="AC122" s="31"/>
      <c r="AD122" s="154" t="b">
        <f t="shared" si="18"/>
        <v>0</v>
      </c>
    </row>
    <row r="123" spans="1:30" s="4" customFormat="1" ht="12.75" customHeight="1" x14ac:dyDescent="0.25">
      <c r="A123" s="31"/>
      <c r="C123" s="43"/>
      <c r="D123" s="46" t="str">
        <f t="shared" si="12"/>
        <v/>
      </c>
      <c r="E123" s="1059" t="str">
        <f t="shared" si="13"/>
        <v/>
      </c>
      <c r="F123" s="1060"/>
      <c r="G123" s="1060"/>
      <c r="H123" s="1060"/>
      <c r="I123" s="1060"/>
      <c r="J123" s="1061"/>
      <c r="K123" s="1057"/>
      <c r="L123" s="1058"/>
      <c r="M123" s="1057"/>
      <c r="N123" s="1058"/>
      <c r="O123" s="292"/>
      <c r="Q123" s="31"/>
      <c r="R123" s="163" t="str">
        <f t="shared" si="14"/>
        <v>SourceCategory_P24</v>
      </c>
      <c r="S123" s="31"/>
      <c r="T123" s="154" t="b">
        <f t="shared" si="15"/>
        <v>0</v>
      </c>
      <c r="U123" s="163" t="str">
        <f t="shared" si="16"/>
        <v>SourceCategory_</v>
      </c>
      <c r="V123" s="31"/>
      <c r="W123" s="31"/>
      <c r="X123" s="156" t="str">
        <f t="shared" si="17"/>
        <v/>
      </c>
      <c r="Y123" s="31"/>
      <c r="Z123" s="31"/>
      <c r="AA123" s="31"/>
      <c r="AB123" s="31"/>
      <c r="AC123" s="31"/>
      <c r="AD123" s="154" t="b">
        <f t="shared" si="18"/>
        <v>0</v>
      </c>
    </row>
    <row r="124" spans="1:30" s="4" customFormat="1" ht="12.75" customHeight="1" thickBot="1" x14ac:dyDescent="0.3">
      <c r="A124" s="31"/>
      <c r="C124" s="43"/>
      <c r="D124" s="46" t="str">
        <f t="shared" si="12"/>
        <v/>
      </c>
      <c r="E124" s="1059" t="str">
        <f t="shared" si="13"/>
        <v/>
      </c>
      <c r="F124" s="1060"/>
      <c r="G124" s="1060"/>
      <c r="H124" s="1060"/>
      <c r="I124" s="1060"/>
      <c r="J124" s="1061"/>
      <c r="K124" s="1057"/>
      <c r="L124" s="1058"/>
      <c r="M124" s="1057"/>
      <c r="N124" s="1058"/>
      <c r="O124" s="292"/>
      <c r="Q124" s="31"/>
      <c r="R124" s="163" t="str">
        <f t="shared" si="14"/>
        <v>SourceCategory_P25</v>
      </c>
      <c r="S124" s="31"/>
      <c r="T124" s="154" t="b">
        <f t="shared" si="15"/>
        <v>0</v>
      </c>
      <c r="U124" s="163" t="str">
        <f t="shared" si="16"/>
        <v>SourceCategory_</v>
      </c>
      <c r="V124" s="31"/>
      <c r="W124" s="31"/>
      <c r="X124" s="159" t="str">
        <f t="shared" si="17"/>
        <v/>
      </c>
      <c r="Y124" s="31"/>
      <c r="Z124" s="31"/>
      <c r="AA124" s="31"/>
      <c r="AB124" s="31"/>
      <c r="AC124" s="31"/>
      <c r="AD124" s="154" t="b">
        <f t="shared" si="18"/>
        <v>0</v>
      </c>
    </row>
    <row r="125" spans="1:30" s="4" customFormat="1" ht="12.75" customHeight="1" x14ac:dyDescent="0.25">
      <c r="A125" s="31"/>
      <c r="C125" s="43"/>
      <c r="E125" s="306"/>
      <c r="F125" s="306"/>
      <c r="G125" s="306"/>
      <c r="H125" s="306"/>
      <c r="I125" s="306"/>
      <c r="O125" s="292"/>
      <c r="Q125" s="31"/>
      <c r="R125" s="31"/>
      <c r="S125" s="31"/>
      <c r="T125" s="31"/>
      <c r="U125" s="31"/>
      <c r="V125" s="31"/>
      <c r="W125" s="31"/>
      <c r="X125" s="31"/>
      <c r="Y125" s="31"/>
      <c r="Z125" s="31"/>
      <c r="AA125" s="31"/>
      <c r="AB125" s="31"/>
      <c r="AC125" s="31"/>
      <c r="AD125" s="31"/>
    </row>
    <row r="126" spans="1:30" s="4" customFormat="1" ht="12.75" hidden="1" customHeight="1" x14ac:dyDescent="0.25">
      <c r="A126" s="32" t="s">
        <v>0</v>
      </c>
      <c r="B126" s="32" t="s">
        <v>21</v>
      </c>
      <c r="C126" s="32" t="s">
        <v>21</v>
      </c>
      <c r="D126" s="32" t="s">
        <v>21</v>
      </c>
      <c r="E126" s="32" t="s">
        <v>21</v>
      </c>
      <c r="F126" s="32" t="s">
        <v>21</v>
      </c>
      <c r="G126" s="32" t="s">
        <v>21</v>
      </c>
      <c r="H126" s="32" t="s">
        <v>21</v>
      </c>
      <c r="I126" s="32" t="s">
        <v>21</v>
      </c>
      <c r="J126" s="32" t="s">
        <v>21</v>
      </c>
      <c r="K126" s="32" t="s">
        <v>21</v>
      </c>
      <c r="L126" s="32" t="s">
        <v>21</v>
      </c>
      <c r="M126" s="32" t="s">
        <v>21</v>
      </c>
      <c r="N126" s="32" t="s">
        <v>21</v>
      </c>
      <c r="O126" s="297" t="s">
        <v>21</v>
      </c>
      <c r="P126" s="32" t="s">
        <v>21</v>
      </c>
      <c r="Q126" s="32" t="s">
        <v>21</v>
      </c>
      <c r="R126" s="32" t="s">
        <v>21</v>
      </c>
      <c r="S126" s="32" t="s">
        <v>21</v>
      </c>
      <c r="T126" s="32" t="s">
        <v>21</v>
      </c>
      <c r="U126" s="32" t="s">
        <v>21</v>
      </c>
      <c r="V126" s="32" t="s">
        <v>21</v>
      </c>
      <c r="W126" s="32" t="s">
        <v>21</v>
      </c>
      <c r="X126" s="32" t="s">
        <v>21</v>
      </c>
      <c r="Y126" s="32" t="s">
        <v>21</v>
      </c>
      <c r="Z126" s="32" t="s">
        <v>21</v>
      </c>
      <c r="AA126" s="32"/>
      <c r="AB126" s="32" t="s">
        <v>21</v>
      </c>
      <c r="AC126" s="32" t="s">
        <v>21</v>
      </c>
      <c r="AD126" s="32" t="s">
        <v>21</v>
      </c>
    </row>
    <row r="127" spans="1:30" s="254" customFormat="1" ht="12.75" hidden="1" customHeight="1" thickBot="1" x14ac:dyDescent="0.3">
      <c r="A127" s="232" t="s">
        <v>0</v>
      </c>
      <c r="B127" s="232"/>
      <c r="C127" s="232"/>
      <c r="D127" s="232"/>
      <c r="E127" s="259"/>
      <c r="F127" s="279"/>
      <c r="G127" s="259"/>
      <c r="H127" s="259"/>
      <c r="I127" s="259"/>
      <c r="J127" s="259"/>
      <c r="K127" s="259"/>
      <c r="L127" s="259"/>
      <c r="M127" s="259"/>
      <c r="N127" s="259"/>
      <c r="O127" s="296"/>
      <c r="P127" s="254" t="s">
        <v>12</v>
      </c>
    </row>
    <row r="128" spans="1:30" s="4" customFormat="1" ht="12.75" hidden="1" customHeight="1" thickBot="1" x14ac:dyDescent="0.3">
      <c r="A128" s="32" t="s">
        <v>0</v>
      </c>
      <c r="B128" s="3"/>
      <c r="C128" s="3"/>
      <c r="D128" s="3"/>
      <c r="E128" s="7"/>
      <c r="F128" s="168"/>
      <c r="G128" s="169"/>
      <c r="H128" s="169"/>
      <c r="I128" s="169" t="str">
        <f>Translations!$B$213</f>
        <v>polttoainevirta</v>
      </c>
      <c r="J128" s="169"/>
      <c r="K128" s="169" t="str">
        <f>Translations!$B$214</f>
        <v>polttoainevirran nimi</v>
      </c>
      <c r="L128" s="169"/>
      <c r="M128" s="170"/>
      <c r="N128" s="7"/>
      <c r="O128" s="292"/>
      <c r="Q128" s="31"/>
      <c r="R128" s="31"/>
      <c r="S128" s="31"/>
      <c r="T128" s="31"/>
      <c r="U128" s="31"/>
      <c r="V128" s="31"/>
      <c r="W128" s="31"/>
      <c r="X128" s="31"/>
      <c r="Y128" s="31"/>
      <c r="Z128" s="31"/>
      <c r="AA128" s="31"/>
      <c r="AB128" s="31"/>
      <c r="AC128" s="31"/>
      <c r="AD128" s="31"/>
    </row>
    <row r="129" spans="1:30" s="4" customFormat="1" ht="12.75" hidden="1" customHeight="1" x14ac:dyDescent="0.25">
      <c r="A129" s="32" t="s">
        <v>0</v>
      </c>
      <c r="B129" s="3"/>
      <c r="C129" s="3"/>
      <c r="D129" s="3"/>
      <c r="E129" s="7"/>
      <c r="F129" s="171">
        <v>1</v>
      </c>
      <c r="G129" s="172" t="str">
        <f t="shared" ref="G129:G136" si="19">IFERROR(INDEX(EUConst_TierActivityListNames,F129),"")</f>
        <v>Kaupalliset peruspolttoaineet</v>
      </c>
      <c r="H129" s="172">
        <f t="shared" ref="H129:H136" si="20">F129</f>
        <v>1</v>
      </c>
      <c r="I129" s="13" t="str">
        <f t="shared" ref="I129:I136" si="21">IF(ISERROR(INDEX(EUConst_TierActivityListNames,MATCH(F129,$H$129:$H$136,0))),"",INDEX(EUConst_TierActivityListNames,MATCH(F129,$H$129:$H$136,0)))</f>
        <v>Kaupalliset peruspolttoaineet</v>
      </c>
      <c r="J129" s="172"/>
      <c r="K129" s="172"/>
      <c r="L129" s="172"/>
      <c r="M129" s="173"/>
      <c r="N129" s="7"/>
      <c r="O129" s="292"/>
      <c r="Q129" s="31"/>
      <c r="R129" s="31"/>
      <c r="S129" s="31"/>
      <c r="T129" s="31"/>
      <c r="U129" s="31"/>
      <c r="V129" s="31"/>
      <c r="W129" s="31"/>
      <c r="X129" s="31"/>
      <c r="Y129" s="31"/>
      <c r="Z129" s="31"/>
      <c r="AA129" s="31"/>
      <c r="AB129" s="31"/>
      <c r="AC129" s="31"/>
      <c r="AD129" s="31"/>
    </row>
    <row r="130" spans="1:30" s="4" customFormat="1" ht="12.75" hidden="1" customHeight="1" x14ac:dyDescent="0.25">
      <c r="A130" s="32" t="s">
        <v>0</v>
      </c>
      <c r="B130" s="3"/>
      <c r="C130" s="3"/>
      <c r="D130" s="3"/>
      <c r="E130" s="7"/>
      <c r="F130" s="174">
        <v>2</v>
      </c>
      <c r="G130" s="175" t="str">
        <f t="shared" si="19"/>
        <v>Muut kaasumaiset ja nestemäiset polttoaineet</v>
      </c>
      <c r="H130" s="175">
        <f t="shared" si="20"/>
        <v>2</v>
      </c>
      <c r="I130" s="14" t="str">
        <f t="shared" si="21"/>
        <v>Muut kaasumaiset ja nestemäiset polttoaineet</v>
      </c>
      <c r="J130" s="175"/>
      <c r="K130" s="175"/>
      <c r="L130" s="175"/>
      <c r="M130" s="176"/>
      <c r="N130" s="7"/>
      <c r="O130" s="292"/>
      <c r="Q130" s="31"/>
      <c r="R130" s="31"/>
      <c r="S130" s="31"/>
      <c r="T130" s="31"/>
      <c r="U130" s="31"/>
      <c r="V130" s="31"/>
      <c r="W130" s="31"/>
      <c r="X130" s="31"/>
      <c r="Y130" s="31"/>
      <c r="Z130" s="31"/>
      <c r="AA130" s="31"/>
      <c r="AB130" s="31"/>
      <c r="AC130" s="31"/>
      <c r="AD130" s="31"/>
    </row>
    <row r="131" spans="1:30" s="4" customFormat="1" ht="12.75" hidden="1" customHeight="1" x14ac:dyDescent="0.25">
      <c r="A131" s="32" t="s">
        <v>0</v>
      </c>
      <c r="B131" s="3"/>
      <c r="C131" s="3"/>
      <c r="D131" s="3"/>
      <c r="E131" s="7"/>
      <c r="F131" s="174">
        <v>3</v>
      </c>
      <c r="G131" s="175" t="str">
        <f t="shared" si="19"/>
        <v>Kiinteät polttoaineet</v>
      </c>
      <c r="H131" s="175">
        <f t="shared" si="20"/>
        <v>3</v>
      </c>
      <c r="I131" s="14" t="str">
        <f t="shared" si="21"/>
        <v>Kiinteät polttoaineet</v>
      </c>
      <c r="J131" s="175"/>
      <c r="K131" s="175"/>
      <c r="L131" s="175"/>
      <c r="M131" s="176"/>
      <c r="N131" s="7"/>
      <c r="O131" s="292"/>
      <c r="Q131" s="31"/>
      <c r="R131" s="31"/>
      <c r="S131" s="31"/>
      <c r="T131" s="31"/>
      <c r="U131" s="31"/>
      <c r="V131" s="31"/>
      <c r="W131" s="31"/>
      <c r="X131" s="31"/>
      <c r="Y131" s="31"/>
      <c r="Z131" s="31"/>
      <c r="AA131" s="31"/>
      <c r="AB131" s="31"/>
      <c r="AC131" s="31"/>
      <c r="AD131" s="31"/>
    </row>
    <row r="132" spans="1:30" s="4" customFormat="1" ht="12.75" hidden="1" customHeight="1" x14ac:dyDescent="0.25">
      <c r="A132" s="32" t="s">
        <v>0</v>
      </c>
      <c r="B132" s="3"/>
      <c r="C132" s="3"/>
      <c r="D132" s="3"/>
      <c r="E132" s="7"/>
      <c r="F132" s="174">
        <v>4</v>
      </c>
      <c r="G132" s="175" t="str">
        <f t="shared" si="19"/>
        <v>Kaupallisia peruspolttoaineita vastaavat polttoaineet (75 k artiklan 2 kohta)</v>
      </c>
      <c r="H132" s="175">
        <f t="shared" si="20"/>
        <v>4</v>
      </c>
      <c r="I132" s="14" t="str">
        <f t="shared" si="21"/>
        <v>Kaupallisia peruspolttoaineita vastaavat polttoaineet (75 k artiklan 2 kohta)</v>
      </c>
      <c r="J132" s="175"/>
      <c r="K132" s="175"/>
      <c r="L132" s="175"/>
      <c r="M132" s="176"/>
      <c r="N132" s="7"/>
      <c r="O132" s="292"/>
      <c r="Q132" s="31"/>
      <c r="R132" s="31"/>
      <c r="S132" s="31"/>
      <c r="T132" s="31"/>
      <c r="U132" s="31"/>
      <c r="V132" s="31"/>
      <c r="W132" s="31"/>
      <c r="X132" s="31"/>
      <c r="Y132" s="31"/>
      <c r="Z132" s="31"/>
      <c r="AA132" s="31"/>
      <c r="AB132" s="31"/>
      <c r="AC132" s="31"/>
      <c r="AD132" s="31"/>
    </row>
    <row r="133" spans="1:30" s="4" customFormat="1" ht="12.75" hidden="1" customHeight="1" x14ac:dyDescent="0.25">
      <c r="A133" s="32" t="s">
        <v>0</v>
      </c>
      <c r="B133" s="3"/>
      <c r="C133" s="3"/>
      <c r="D133" s="3"/>
      <c r="E133" s="7"/>
      <c r="F133" s="174">
        <v>5</v>
      </c>
      <c r="G133" s="175" t="str">
        <f t="shared" si="19"/>
        <v/>
      </c>
      <c r="H133" s="175">
        <f t="shared" si="20"/>
        <v>5</v>
      </c>
      <c r="I133" s="14" t="str">
        <f t="shared" si="21"/>
        <v/>
      </c>
      <c r="J133" s="175"/>
      <c r="K133" s="175"/>
      <c r="L133" s="175"/>
      <c r="M133" s="176"/>
      <c r="N133" s="7"/>
      <c r="O133" s="292"/>
      <c r="Q133" s="31"/>
      <c r="R133" s="31"/>
      <c r="S133" s="31"/>
      <c r="T133" s="31"/>
      <c r="U133" s="31"/>
      <c r="V133" s="31"/>
      <c r="W133" s="31"/>
      <c r="X133" s="31"/>
      <c r="Y133" s="31"/>
      <c r="Z133" s="31"/>
      <c r="AA133" s="31"/>
      <c r="AB133" s="31"/>
      <c r="AC133" s="31"/>
      <c r="AD133" s="31"/>
    </row>
    <row r="134" spans="1:30" s="4" customFormat="1" ht="12.75" hidden="1" customHeight="1" x14ac:dyDescent="0.25">
      <c r="A134" s="32" t="s">
        <v>0</v>
      </c>
      <c r="B134" s="3"/>
      <c r="C134" s="3"/>
      <c r="D134" s="3"/>
      <c r="E134" s="7"/>
      <c r="F134" s="174">
        <v>6</v>
      </c>
      <c r="G134" s="175" t="str">
        <f t="shared" si="19"/>
        <v/>
      </c>
      <c r="H134" s="175">
        <f t="shared" si="20"/>
        <v>6</v>
      </c>
      <c r="I134" s="14" t="str">
        <f t="shared" si="21"/>
        <v/>
      </c>
      <c r="J134" s="175"/>
      <c r="K134" s="175"/>
      <c r="L134" s="175"/>
      <c r="M134" s="176"/>
      <c r="N134" s="7"/>
      <c r="O134" s="292"/>
      <c r="Q134" s="31"/>
      <c r="R134" s="31"/>
      <c r="S134" s="31"/>
      <c r="T134" s="31"/>
      <c r="U134" s="31"/>
      <c r="V134" s="31"/>
      <c r="W134" s="31"/>
      <c r="X134" s="31"/>
      <c r="Y134" s="31"/>
      <c r="Z134" s="31"/>
      <c r="AA134" s="31"/>
      <c r="AB134" s="31"/>
      <c r="AC134" s="31"/>
      <c r="AD134" s="31"/>
    </row>
    <row r="135" spans="1:30" s="4" customFormat="1" ht="12.75" hidden="1" customHeight="1" x14ac:dyDescent="0.25">
      <c r="A135" s="32" t="s">
        <v>0</v>
      </c>
      <c r="B135" s="3"/>
      <c r="C135" s="3"/>
      <c r="D135" s="3"/>
      <c r="E135" s="7"/>
      <c r="F135" s="227">
        <v>7</v>
      </c>
      <c r="G135" s="228" t="str">
        <f t="shared" si="19"/>
        <v/>
      </c>
      <c r="H135" s="228">
        <f t="shared" si="20"/>
        <v>7</v>
      </c>
      <c r="I135" s="229" t="str">
        <f t="shared" si="21"/>
        <v/>
      </c>
      <c r="J135" s="228"/>
      <c r="K135" s="228"/>
      <c r="L135" s="228"/>
      <c r="M135" s="230"/>
      <c r="N135" s="7"/>
      <c r="O135" s="292"/>
      <c r="Q135" s="31"/>
      <c r="R135" s="31"/>
      <c r="S135" s="31"/>
      <c r="T135" s="31"/>
      <c r="U135" s="31"/>
      <c r="V135" s="31"/>
      <c r="W135" s="31"/>
      <c r="X135" s="31"/>
      <c r="Y135" s="31"/>
      <c r="Z135" s="31"/>
      <c r="AA135" s="31"/>
      <c r="AB135" s="31"/>
      <c r="AC135" s="31"/>
      <c r="AD135" s="31"/>
    </row>
    <row r="136" spans="1:30" s="4" customFormat="1" ht="12.75" hidden="1" customHeight="1" thickBot="1" x14ac:dyDescent="0.3">
      <c r="A136" s="32" t="s">
        <v>0</v>
      </c>
      <c r="B136" s="3"/>
      <c r="C136" s="3"/>
      <c r="D136" s="3"/>
      <c r="E136" s="7"/>
      <c r="F136" s="177">
        <v>8</v>
      </c>
      <c r="G136" s="178" t="str">
        <f t="shared" si="19"/>
        <v/>
      </c>
      <c r="H136" s="178">
        <f t="shared" si="20"/>
        <v>8</v>
      </c>
      <c r="I136" s="15" t="str">
        <f t="shared" si="21"/>
        <v/>
      </c>
      <c r="J136" s="178"/>
      <c r="K136" s="178"/>
      <c r="L136" s="178"/>
      <c r="M136" s="179"/>
      <c r="N136" s="7"/>
      <c r="O136" s="292"/>
      <c r="Q136" s="31"/>
      <c r="R136" s="31"/>
      <c r="S136" s="31"/>
      <c r="T136" s="31"/>
      <c r="U136" s="31"/>
      <c r="V136" s="31"/>
      <c r="W136" s="31"/>
      <c r="X136" s="31"/>
      <c r="Y136" s="31"/>
      <c r="Z136" s="31"/>
      <c r="AA136" s="31"/>
      <c r="AB136" s="31"/>
      <c r="AC136" s="31"/>
      <c r="AD136" s="31"/>
    </row>
    <row r="137" spans="1:30" hidden="1" x14ac:dyDescent="0.25">
      <c r="A137" s="32" t="s">
        <v>0</v>
      </c>
      <c r="B137" s="7"/>
      <c r="C137" s="7"/>
      <c r="D137" s="7"/>
      <c r="E137" s="7"/>
      <c r="F137" s="7"/>
      <c r="G137" s="7"/>
      <c r="H137" s="7"/>
      <c r="I137" s="7"/>
      <c r="J137" s="7"/>
      <c r="K137" s="7"/>
      <c r="L137" s="7"/>
      <c r="M137" s="7"/>
      <c r="N137" s="7"/>
      <c r="O137" s="291"/>
      <c r="P137" s="7"/>
      <c r="Q137" s="2"/>
      <c r="R137" s="2"/>
      <c r="S137" s="2"/>
      <c r="T137" s="2"/>
      <c r="U137" s="2"/>
      <c r="V137" s="2"/>
      <c r="W137" s="2"/>
      <c r="X137" s="2"/>
      <c r="Y137" s="2"/>
      <c r="Z137" s="2"/>
      <c r="AA137" s="2"/>
      <c r="AB137" s="2"/>
      <c r="AC137" s="2"/>
      <c r="AD137" s="2"/>
    </row>
  </sheetData>
  <sheetProtection sheet="1" formatCells="0" formatColumns="0" formatRows="0"/>
  <mergeCells count="264">
    <mergeCell ref="E10:N10"/>
    <mergeCell ref="E93:N93"/>
    <mergeCell ref="F55:N55"/>
    <mergeCell ref="F56:N56"/>
    <mergeCell ref="F57:N57"/>
    <mergeCell ref="F58:N58"/>
    <mergeCell ref="F59:N59"/>
    <mergeCell ref="E65:H65"/>
    <mergeCell ref="I65:K65"/>
    <mergeCell ref="L65:M65"/>
    <mergeCell ref="F60:N60"/>
    <mergeCell ref="L63:M63"/>
    <mergeCell ref="E52:N52"/>
    <mergeCell ref="F53:N53"/>
    <mergeCell ref="F54:N54"/>
    <mergeCell ref="E83:H83"/>
    <mergeCell ref="E86:H86"/>
    <mergeCell ref="E87:H87"/>
    <mergeCell ref="E88:H88"/>
    <mergeCell ref="E76:H76"/>
    <mergeCell ref="E89:H89"/>
    <mergeCell ref="E90:H90"/>
    <mergeCell ref="E77:H77"/>
    <mergeCell ref="E78:H78"/>
    <mergeCell ref="E123:J123"/>
    <mergeCell ref="K123:L123"/>
    <mergeCell ref="M123:N123"/>
    <mergeCell ref="K121:L121"/>
    <mergeCell ref="M121:N121"/>
    <mergeCell ref="K124:L124"/>
    <mergeCell ref="M124:N124"/>
    <mergeCell ref="E111:J111"/>
    <mergeCell ref="E112:J112"/>
    <mergeCell ref="E113:J113"/>
    <mergeCell ref="E114:J114"/>
    <mergeCell ref="E115:J115"/>
    <mergeCell ref="E116:J116"/>
    <mergeCell ref="K120:L120"/>
    <mergeCell ref="M120:N120"/>
    <mergeCell ref="E124:J124"/>
    <mergeCell ref="E117:J117"/>
    <mergeCell ref="E118:J118"/>
    <mergeCell ref="E119:J119"/>
    <mergeCell ref="E120:J120"/>
    <mergeCell ref="E121:J121"/>
    <mergeCell ref="E122:J122"/>
    <mergeCell ref="K114:L114"/>
    <mergeCell ref="M114:N114"/>
    <mergeCell ref="K115:L115"/>
    <mergeCell ref="M115:N115"/>
    <mergeCell ref="K116:L116"/>
    <mergeCell ref="M116:N116"/>
    <mergeCell ref="K122:L122"/>
    <mergeCell ref="M122:N122"/>
    <mergeCell ref="K117:L117"/>
    <mergeCell ref="M117:N117"/>
    <mergeCell ref="K118:L118"/>
    <mergeCell ref="M118:N118"/>
    <mergeCell ref="K119:L119"/>
    <mergeCell ref="M119:N119"/>
    <mergeCell ref="I81:K81"/>
    <mergeCell ref="I82:K82"/>
    <mergeCell ref="K99:L99"/>
    <mergeCell ref="M99:N99"/>
    <mergeCell ref="E97:J97"/>
    <mergeCell ref="E98:J98"/>
    <mergeCell ref="E99:J99"/>
    <mergeCell ref="K113:L113"/>
    <mergeCell ref="M113:N113"/>
    <mergeCell ref="K105:L105"/>
    <mergeCell ref="M105:N105"/>
    <mergeCell ref="K104:L104"/>
    <mergeCell ref="K97:L97"/>
    <mergeCell ref="M97:N97"/>
    <mergeCell ref="K98:L98"/>
    <mergeCell ref="M98:N98"/>
    <mergeCell ref="K106:L106"/>
    <mergeCell ref="M106:N106"/>
    <mergeCell ref="M104:N104"/>
    <mergeCell ref="E104:J104"/>
    <mergeCell ref="E105:J105"/>
    <mergeCell ref="E106:J106"/>
    <mergeCell ref="K107:L107"/>
    <mergeCell ref="M107:N107"/>
    <mergeCell ref="L72:M72"/>
    <mergeCell ref="L73:M73"/>
    <mergeCell ref="L74:M74"/>
    <mergeCell ref="L75:M75"/>
    <mergeCell ref="L76:M76"/>
    <mergeCell ref="L77:M77"/>
    <mergeCell ref="L78:M78"/>
    <mergeCell ref="L79:M79"/>
    <mergeCell ref="I80:K80"/>
    <mergeCell ref="L85:M85"/>
    <mergeCell ref="L86:M86"/>
    <mergeCell ref="L87:M87"/>
    <mergeCell ref="E63:H63"/>
    <mergeCell ref="E64:H64"/>
    <mergeCell ref="E66:H66"/>
    <mergeCell ref="E67:H67"/>
    <mergeCell ref="E68:H68"/>
    <mergeCell ref="E69:H69"/>
    <mergeCell ref="E70:H70"/>
    <mergeCell ref="E71:H71"/>
    <mergeCell ref="E72:H72"/>
    <mergeCell ref="E73:H73"/>
    <mergeCell ref="E74:H74"/>
    <mergeCell ref="E75:H75"/>
    <mergeCell ref="L64:M64"/>
    <mergeCell ref="L66:M66"/>
    <mergeCell ref="L67:M67"/>
    <mergeCell ref="L68:M68"/>
    <mergeCell ref="L69:M69"/>
    <mergeCell ref="I79:K79"/>
    <mergeCell ref="I71:K71"/>
    <mergeCell ref="I67:K67"/>
    <mergeCell ref="E79:H79"/>
    <mergeCell ref="I83:K83"/>
    <mergeCell ref="I84:K84"/>
    <mergeCell ref="I64:K64"/>
    <mergeCell ref="I66:K66"/>
    <mergeCell ref="I68:K68"/>
    <mergeCell ref="I69:K69"/>
    <mergeCell ref="I70:K70"/>
    <mergeCell ref="H43:M43"/>
    <mergeCell ref="H44:M44"/>
    <mergeCell ref="H45:M45"/>
    <mergeCell ref="H46:M46"/>
    <mergeCell ref="L84:M84"/>
    <mergeCell ref="E80:H80"/>
    <mergeCell ref="E81:H81"/>
    <mergeCell ref="E82:H82"/>
    <mergeCell ref="I63:K63"/>
    <mergeCell ref="L80:M80"/>
    <mergeCell ref="L81:M81"/>
    <mergeCell ref="L82:M82"/>
    <mergeCell ref="L83:M83"/>
    <mergeCell ref="I72:K72"/>
    <mergeCell ref="I73:K73"/>
    <mergeCell ref="L70:M70"/>
    <mergeCell ref="L71:M71"/>
    <mergeCell ref="F45:G45"/>
    <mergeCell ref="F46:G46"/>
    <mergeCell ref="E103:J103"/>
    <mergeCell ref="I75:K75"/>
    <mergeCell ref="I76:K76"/>
    <mergeCell ref="I77:K77"/>
    <mergeCell ref="I78:K78"/>
    <mergeCell ref="E95:N95"/>
    <mergeCell ref="I85:K85"/>
    <mergeCell ref="E84:H84"/>
    <mergeCell ref="E85:H85"/>
    <mergeCell ref="K101:L101"/>
    <mergeCell ref="M101:N101"/>
    <mergeCell ref="K102:L102"/>
    <mergeCell ref="M102:N102"/>
    <mergeCell ref="E101:J101"/>
    <mergeCell ref="E102:J102"/>
    <mergeCell ref="I86:K86"/>
    <mergeCell ref="I87:K87"/>
    <mergeCell ref="I88:K88"/>
    <mergeCell ref="E61:N61"/>
    <mergeCell ref="I74:K74"/>
    <mergeCell ref="K103:L103"/>
    <mergeCell ref="M103:N103"/>
    <mergeCell ref="H42:M42"/>
    <mergeCell ref="F37:G37"/>
    <mergeCell ref="F38:G38"/>
    <mergeCell ref="F39:G39"/>
    <mergeCell ref="F40:G40"/>
    <mergeCell ref="F41:G41"/>
    <mergeCell ref="F42:G42"/>
    <mergeCell ref="H35:M35"/>
    <mergeCell ref="H36:M36"/>
    <mergeCell ref="H37:M37"/>
    <mergeCell ref="H38:M38"/>
    <mergeCell ref="H39:M39"/>
    <mergeCell ref="H40:M40"/>
    <mergeCell ref="F35:G35"/>
    <mergeCell ref="F36:G36"/>
    <mergeCell ref="H23:M23"/>
    <mergeCell ref="H24:M24"/>
    <mergeCell ref="H25:M25"/>
    <mergeCell ref="H26:M26"/>
    <mergeCell ref="H27:M27"/>
    <mergeCell ref="F23:G23"/>
    <mergeCell ref="H41:M41"/>
    <mergeCell ref="F17:G17"/>
    <mergeCell ref="F16:G16"/>
    <mergeCell ref="H22:M22"/>
    <mergeCell ref="F15:G15"/>
    <mergeCell ref="F20:G20"/>
    <mergeCell ref="F21:G21"/>
    <mergeCell ref="F22:G22"/>
    <mergeCell ref="F19:G19"/>
    <mergeCell ref="F18:G18"/>
    <mergeCell ref="H34:M34"/>
    <mergeCell ref="F34:G34"/>
    <mergeCell ref="E2:F2"/>
    <mergeCell ref="G2:H2"/>
    <mergeCell ref="I4:J4"/>
    <mergeCell ref="E3:F3"/>
    <mergeCell ref="C6:N6"/>
    <mergeCell ref="K2:L2"/>
    <mergeCell ref="M2:N2"/>
    <mergeCell ref="B2:D4"/>
    <mergeCell ref="I2:J2"/>
    <mergeCell ref="G4:H4"/>
    <mergeCell ref="I3:J3"/>
    <mergeCell ref="G3:H3"/>
    <mergeCell ref="E4:F4"/>
    <mergeCell ref="M3:N3"/>
    <mergeCell ref="M4:N4"/>
    <mergeCell ref="K3:L3"/>
    <mergeCell ref="K4:L4"/>
    <mergeCell ref="D8:N8"/>
    <mergeCell ref="F43:G43"/>
    <mergeCell ref="F44:G44"/>
    <mergeCell ref="E30:N30"/>
    <mergeCell ref="E51:N51"/>
    <mergeCell ref="E32:N32"/>
    <mergeCell ref="H15:M15"/>
    <mergeCell ref="E50:M50"/>
    <mergeCell ref="D48:N48"/>
    <mergeCell ref="H16:M16"/>
    <mergeCell ref="E31:N31"/>
    <mergeCell ref="F24:G24"/>
    <mergeCell ref="F25:G25"/>
    <mergeCell ref="E13:N13"/>
    <mergeCell ref="E11:N11"/>
    <mergeCell ref="E12:N12"/>
    <mergeCell ref="F26:G26"/>
    <mergeCell ref="F27:G27"/>
    <mergeCell ref="H17:M17"/>
    <mergeCell ref="H18:M18"/>
    <mergeCell ref="H19:M19"/>
    <mergeCell ref="H20:M20"/>
    <mergeCell ref="H21:M21"/>
    <mergeCell ref="I89:K89"/>
    <mergeCell ref="K100:L100"/>
    <mergeCell ref="M100:N100"/>
    <mergeCell ref="E100:J100"/>
    <mergeCell ref="E94:N94"/>
    <mergeCell ref="I90:K90"/>
    <mergeCell ref="I91:K91"/>
    <mergeCell ref="L88:M88"/>
    <mergeCell ref="L89:M89"/>
    <mergeCell ref="L90:M90"/>
    <mergeCell ref="L91:M91"/>
    <mergeCell ref="E91:H91"/>
    <mergeCell ref="K112:L112"/>
    <mergeCell ref="M112:N112"/>
    <mergeCell ref="E107:J107"/>
    <mergeCell ref="E108:J108"/>
    <mergeCell ref="E109:J109"/>
    <mergeCell ref="E110:J110"/>
    <mergeCell ref="K108:L108"/>
    <mergeCell ref="M108:N108"/>
    <mergeCell ref="K109:L109"/>
    <mergeCell ref="M109:N109"/>
    <mergeCell ref="K110:L110"/>
    <mergeCell ref="M110:N110"/>
    <mergeCell ref="K111:L111"/>
    <mergeCell ref="M111:N111"/>
  </mergeCells>
  <phoneticPr fontId="6" type="noConversion"/>
  <conditionalFormatting sqref="D100:N124">
    <cfRule type="expression" dxfId="434" priority="44" stopIfTrue="1">
      <formula>$AD100</formula>
    </cfRule>
  </conditionalFormatting>
  <conditionalFormatting sqref="L67:M91">
    <cfRule type="expression" dxfId="433" priority="1" stopIfTrue="1">
      <formula>$X67</formula>
    </cfRule>
  </conditionalFormatting>
  <dataValidations count="8">
    <dataValidation type="list" allowBlank="1" showInputMessage="1" sqref="F18:F27" xr:uid="{00000000-0002-0000-0300-000000000000}">
      <formula1>MeansReleased</formula1>
    </dataValidation>
    <dataValidation type="list" allowBlank="1" showInputMessage="1" showErrorMessage="1" sqref="E67:E91" xr:uid="{00000000-0002-0000-0300-000002000000}">
      <formula1>EUConst_TierActivityListNames</formula1>
    </dataValidation>
    <dataValidation type="list" allowBlank="1" showInputMessage="1" showErrorMessage="1" sqref="E64:E66" xr:uid="{00000000-0002-0000-0300-000003000000}">
      <formula1>INDIRECT("$i$" &amp; ROW($I$129) &amp; ":$i$" &amp; ROW($I$129)-1+MAX($H$129:$H$136))</formula1>
    </dataValidation>
    <dataValidation allowBlank="1" showInputMessage="1" sqref="H18:M27 H37:M46" xr:uid="{00000000-0002-0000-0300-000004000000}"/>
    <dataValidation type="list" allowBlank="1" showInputMessage="1" showErrorMessage="1" sqref="I67:K91" xr:uid="{00000000-0002-0000-0300-000005000000}">
      <formula1>INDIRECT($Y67)</formula1>
    </dataValidation>
    <dataValidation type="list" allowBlank="1" showInputMessage="1" sqref="M100:M124" xr:uid="{00000000-0002-0000-0300-000006000000}">
      <formula1>CNTR_ListIntermediaries</formula1>
    </dataValidation>
    <dataValidation type="list" allowBlank="1" showInputMessage="1" sqref="K100:K124" xr:uid="{00000000-0002-0000-0300-000007000000}">
      <formula1>CNTR_ListMeans</formula1>
    </dataValidation>
    <dataValidation type="list" allowBlank="1" showInputMessage="1" sqref="F37:G46" xr:uid="{3FA2386B-C45E-4562-A13F-AB04AC001943}">
      <formula1>MeansIntermediaries</formula1>
    </dataValidation>
  </dataValidations>
  <hyperlinks>
    <hyperlink ref="G3:H3" location="JUMP_C_5" display="Installation Activities" xr:uid="{00000000-0004-0000-0300-000000000000}"/>
    <hyperlink ref="I3:J3" location="JUMP_C_6a" display="Monitoring approaches" xr:uid="{00000000-0004-0000-0300-000001000000}"/>
    <hyperlink ref="K3:L3" location="JUMP_C_6b" display="Emission sources&amp;points" xr:uid="{00000000-0004-0000-0300-000002000000}"/>
    <hyperlink ref="G4:H4" location="JUMP_6d" display="Measurement points" xr:uid="{00000000-0004-0000-0300-000003000000}"/>
    <hyperlink ref="I4:J4" location="JUMP_C_6e" display="Source streams" xr:uid="{00000000-0004-0000-0300-000004000000}"/>
    <hyperlink ref="G2:H2" location="JUMP_a_Content" display="Table of contents" xr:uid="{00000000-0004-0000-0300-000005000000}"/>
  </hyperlinks>
  <pageMargins left="0.78740157480314965" right="0.78740157480314965" top="0.78740157480314965" bottom="0.78740157480314965" header="0.39370078740157483" footer="0.39370078740157483"/>
  <pageSetup paperSize="9" scale="62" fitToHeight="20" orientation="portrait" r:id="rId1"/>
  <headerFooter alignWithMargins="0">
    <oddHeader>&amp;L&amp;F, &amp;A&amp;R&amp;D, &amp;T</oddHeader>
    <oddFooter>&amp;C&amp;P /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tabColor indexed="11"/>
    <pageSetUpPr fitToPage="1"/>
  </sheetPr>
  <dimension ref="A1:CG680"/>
  <sheetViews>
    <sheetView topLeftCell="B1" zoomScaleNormal="100" workbookViewId="0">
      <pane ySplit="6" topLeftCell="A7" activePane="bottomLeft" state="frozen"/>
      <selection pane="bottomLeft" activeCell="F42" sqref="F42:N42"/>
    </sheetView>
  </sheetViews>
  <sheetFormatPr defaultColWidth="9.1796875" defaultRowHeight="12.5" x14ac:dyDescent="0.25"/>
  <cols>
    <col min="1" max="1" width="2.7265625" style="4" hidden="1" customWidth="1"/>
    <col min="2" max="2" width="2.7265625" style="7" customWidth="1"/>
    <col min="3" max="3" width="4.7265625" style="7" customWidth="1"/>
    <col min="4" max="4" width="7.54296875" style="100" customWidth="1"/>
    <col min="5" max="5" width="33.7265625" style="7" customWidth="1"/>
    <col min="6" max="6" width="17.453125" style="7" customWidth="1"/>
    <col min="7" max="7" width="12.26953125" style="7" customWidth="1"/>
    <col min="8" max="8" width="38.26953125" style="7" customWidth="1"/>
    <col min="9" max="11" width="12.26953125" style="7" customWidth="1"/>
    <col min="12" max="12" width="20.7265625" style="7" customWidth="1"/>
    <col min="13" max="13" width="15.81640625" style="7" customWidth="1"/>
    <col min="14" max="14" width="12" style="7" customWidth="1"/>
    <col min="15" max="15" width="5.7265625" style="298" customWidth="1"/>
    <col min="16" max="16" width="11.453125" style="258" hidden="1" customWidth="1"/>
    <col min="17" max="17" width="11.453125" style="7" hidden="1" customWidth="1"/>
    <col min="18" max="24" width="11.453125" style="4" hidden="1" customWidth="1"/>
    <col min="25" max="25" width="9.1796875" style="254" hidden="1" customWidth="1"/>
    <col min="26" max="26" width="42.08984375" style="254" hidden="1" customWidth="1"/>
    <col min="27" max="85" width="9.1796875" style="254" hidden="1" customWidth="1"/>
    <col min="86" max="86" width="9.1796875" style="4" customWidth="1"/>
    <col min="87" max="16384" width="9.1796875" style="4"/>
  </cols>
  <sheetData>
    <row r="1" spans="1:85" ht="13" hidden="1" thickBot="1" x14ac:dyDescent="0.3">
      <c r="A1" s="12" t="s">
        <v>0</v>
      </c>
      <c r="B1" s="2"/>
      <c r="C1" s="2"/>
      <c r="D1" s="11"/>
      <c r="E1" s="2"/>
      <c r="F1" s="2"/>
      <c r="G1" s="2"/>
      <c r="H1" s="2"/>
      <c r="I1" s="2"/>
      <c r="J1" s="2"/>
      <c r="K1" s="2"/>
      <c r="L1" s="2"/>
      <c r="M1" s="2"/>
      <c r="N1" s="2"/>
      <c r="O1" s="292"/>
      <c r="P1" s="232" t="s">
        <v>0</v>
      </c>
      <c r="Q1" s="12" t="s">
        <v>0</v>
      </c>
      <c r="R1" s="12" t="s">
        <v>0</v>
      </c>
      <c r="S1" s="12" t="s">
        <v>0</v>
      </c>
      <c r="T1" s="12" t="s">
        <v>0</v>
      </c>
      <c r="U1" s="12" t="s">
        <v>0</v>
      </c>
      <c r="V1" s="12" t="s">
        <v>0</v>
      </c>
      <c r="W1" s="12" t="s">
        <v>0</v>
      </c>
      <c r="X1" s="12" t="s">
        <v>0</v>
      </c>
      <c r="Y1" s="232" t="s">
        <v>0</v>
      </c>
      <c r="Z1" s="232" t="s">
        <v>0</v>
      </c>
      <c r="AA1" s="232" t="s">
        <v>0</v>
      </c>
      <c r="AB1" s="232" t="s">
        <v>0</v>
      </c>
      <c r="AC1" s="232" t="s">
        <v>0</v>
      </c>
      <c r="AD1" s="232" t="s">
        <v>0</v>
      </c>
      <c r="AE1" s="232" t="s">
        <v>0</v>
      </c>
      <c r="AF1" s="232" t="s">
        <v>0</v>
      </c>
      <c r="AG1" s="232" t="s">
        <v>0</v>
      </c>
      <c r="AH1" s="232" t="s">
        <v>0</v>
      </c>
      <c r="AI1" s="232" t="s">
        <v>0</v>
      </c>
      <c r="AJ1" s="232" t="s">
        <v>0</v>
      </c>
      <c r="AK1" s="232" t="s">
        <v>0</v>
      </c>
      <c r="AL1" s="232" t="s">
        <v>0</v>
      </c>
      <c r="AM1" s="232" t="s">
        <v>0</v>
      </c>
      <c r="AN1" s="232" t="s">
        <v>0</v>
      </c>
      <c r="AO1" s="232" t="s">
        <v>0</v>
      </c>
      <c r="AP1" s="232" t="s">
        <v>0</v>
      </c>
      <c r="AQ1" s="232" t="s">
        <v>0</v>
      </c>
      <c r="AR1" s="232" t="s">
        <v>0</v>
      </c>
      <c r="AS1" s="232" t="s">
        <v>0</v>
      </c>
      <c r="AT1" s="232" t="s">
        <v>0</v>
      </c>
      <c r="AU1" s="232" t="s">
        <v>0</v>
      </c>
      <c r="AV1" s="232" t="s">
        <v>0</v>
      </c>
      <c r="AW1" s="232" t="s">
        <v>0</v>
      </c>
      <c r="AX1" s="232" t="s">
        <v>0</v>
      </c>
      <c r="AY1" s="232" t="s">
        <v>0</v>
      </c>
      <c r="AZ1" s="232" t="s">
        <v>0</v>
      </c>
      <c r="BA1" s="232" t="s">
        <v>0</v>
      </c>
      <c r="BB1" s="232" t="s">
        <v>0</v>
      </c>
      <c r="BC1" s="232" t="s">
        <v>0</v>
      </c>
      <c r="BD1" s="232" t="s">
        <v>0</v>
      </c>
      <c r="BE1" s="232" t="s">
        <v>0</v>
      </c>
      <c r="BF1" s="232" t="s">
        <v>0</v>
      </c>
      <c r="BG1" s="232" t="s">
        <v>0</v>
      </c>
      <c r="BH1" s="232" t="s">
        <v>0</v>
      </c>
      <c r="BI1" s="232" t="s">
        <v>0</v>
      </c>
      <c r="BJ1" s="232" t="s">
        <v>0</v>
      </c>
      <c r="BK1" s="232" t="s">
        <v>0</v>
      </c>
      <c r="BL1" s="232" t="s">
        <v>0</v>
      </c>
      <c r="BM1" s="232" t="s">
        <v>0</v>
      </c>
      <c r="BN1" s="232" t="s">
        <v>0</v>
      </c>
      <c r="BO1" s="232" t="s">
        <v>0</v>
      </c>
      <c r="BP1" s="232" t="s">
        <v>0</v>
      </c>
      <c r="BQ1" s="232" t="s">
        <v>0</v>
      </c>
      <c r="BR1" s="232" t="s">
        <v>0</v>
      </c>
      <c r="BS1" s="232" t="s">
        <v>0</v>
      </c>
      <c r="BT1" s="232" t="s">
        <v>0</v>
      </c>
      <c r="BU1" s="232" t="s">
        <v>0</v>
      </c>
      <c r="BV1" s="232" t="s">
        <v>0</v>
      </c>
      <c r="BW1" s="232" t="s">
        <v>0</v>
      </c>
      <c r="BX1" s="232" t="s">
        <v>0</v>
      </c>
      <c r="BY1" s="232" t="s">
        <v>0</v>
      </c>
      <c r="BZ1" s="232" t="s">
        <v>0</v>
      </c>
      <c r="CA1" s="232" t="s">
        <v>0</v>
      </c>
      <c r="CB1" s="232" t="s">
        <v>0</v>
      </c>
      <c r="CC1" s="232" t="s">
        <v>0</v>
      </c>
      <c r="CD1" s="232" t="s">
        <v>0</v>
      </c>
      <c r="CE1" s="232" t="s">
        <v>0</v>
      </c>
      <c r="CF1" s="232" t="s">
        <v>0</v>
      </c>
      <c r="CG1" s="232" t="s">
        <v>0</v>
      </c>
    </row>
    <row r="2" spans="1:85" ht="13.5" customHeight="1" thickBot="1" x14ac:dyDescent="0.35">
      <c r="A2" s="12"/>
      <c r="B2" s="859" t="str">
        <f>Translations!$B$352</f>
        <v>C. Päästölaskenta</v>
      </c>
      <c r="C2" s="860"/>
      <c r="D2" s="861"/>
      <c r="E2" s="940" t="str">
        <f>Translations!$B$13</f>
        <v>Navigointialue:</v>
      </c>
      <c r="F2" s="874"/>
      <c r="G2" s="938" t="str">
        <f>Translations!$B$14</f>
        <v>Sisällysluettelo</v>
      </c>
      <c r="H2" s="939"/>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O2" s="292"/>
      <c r="P2" s="254"/>
      <c r="Q2" s="245" t="s">
        <v>1</v>
      </c>
      <c r="R2" s="246" t="str">
        <f>ADDRESS(ROW($B$8),COLUMN($B$8)) &amp; ":" &amp; ADDRESS(MATCH("PRINT",$P:$P,0),COLUMN($P$8))</f>
        <v>$B$8:$P$648</v>
      </c>
      <c r="S2" s="245" t="s">
        <v>2</v>
      </c>
      <c r="T2" s="247" t="str">
        <f ca="1">IF(ISERROR(CELL("filename",U2)),"E_FuelStreams",MID(CELL("filename",U2),FIND("]",CELL("filename",U2))+1,1024))</f>
        <v>C_Päästölaskenta</v>
      </c>
      <c r="U2" s="37"/>
      <c r="V2" s="37"/>
      <c r="W2" s="37"/>
      <c r="X2" s="37"/>
    </row>
    <row r="3" spans="1:85" ht="16.5" customHeight="1" x14ac:dyDescent="0.25">
      <c r="A3" s="12"/>
      <c r="B3" s="862"/>
      <c r="C3" s="863"/>
      <c r="D3" s="864"/>
      <c r="E3" s="950"/>
      <c r="F3" s="858"/>
      <c r="G3" s="1163" t="str">
        <f>IFERROR(HYPERLINK("#"&amp;ADDRESS(ROW($A$1)+MATCH(Q3,$A:$A,0)-1,3),INDEX($BI:$BI,MATCH(Q3,$A:$A,0))),"")</f>
        <v/>
      </c>
      <c r="H3" s="1164"/>
      <c r="I3" s="1163" t="str">
        <f>IFERROR(HYPERLINK("#"&amp;ADDRESS(ROW($A$1)+MATCH(S3,$A:$A,0)-1,3),INDEX($BI:$BI,MATCH(S3,$A:$A,0))),"")</f>
        <v/>
      </c>
      <c r="J3" s="1164"/>
      <c r="K3" s="1163" t="str">
        <f>IFERROR(HYPERLINK("#"&amp;ADDRESS(ROW($A$1)+MATCH(U3,$A:$A,0)-1,3),INDEX($BI:$BI,MATCH(U3,$A:$A,0))),"")</f>
        <v/>
      </c>
      <c r="L3" s="1164"/>
      <c r="M3" s="1163" t="str">
        <f>IFERROR(HYPERLINK("#"&amp;ADDRESS(ROW($A$1)+MATCH(W3,$A:$A,0)-1,3),INDEX($BI:$BI,MATCH(W3,$A:$A,0))),"")</f>
        <v/>
      </c>
      <c r="N3" s="1164"/>
      <c r="O3" s="292"/>
      <c r="P3" s="254"/>
      <c r="Q3" s="260">
        <v>1</v>
      </c>
      <c r="R3" s="261"/>
      <c r="S3" s="261">
        <f>Q3+1</f>
        <v>2</v>
      </c>
      <c r="T3" s="261"/>
      <c r="U3" s="261">
        <f>S3+1</f>
        <v>3</v>
      </c>
      <c r="V3" s="261"/>
      <c r="W3" s="262">
        <f>U3+1</f>
        <v>4</v>
      </c>
      <c r="X3" s="37"/>
    </row>
    <row r="4" spans="1:85" ht="13.5" customHeight="1" x14ac:dyDescent="0.25">
      <c r="A4" s="12"/>
      <c r="B4" s="862"/>
      <c r="C4" s="863"/>
      <c r="D4" s="864"/>
      <c r="E4" s="950"/>
      <c r="F4" s="858"/>
      <c r="G4" s="1161" t="str">
        <f>IFERROR(HYPERLINK("#"&amp;ADDRESS(ROW($A$1)+MATCH(Q4,$A:$A,0)-1,3),INDEX($BI:$BI,MATCH(Q4,$A:$A,0))),"")</f>
        <v/>
      </c>
      <c r="H4" s="1165"/>
      <c r="I4" s="1161" t="str">
        <f>IFERROR(HYPERLINK("#"&amp;ADDRESS(ROW($A$1)+MATCH(S4,$A:$A,0)-1,3),INDEX($BI:$BI,MATCH(S4,$A:$A,0))),"")</f>
        <v/>
      </c>
      <c r="J4" s="1162"/>
      <c r="K4" s="1161" t="str">
        <f>IFERROR(HYPERLINK("#"&amp;ADDRESS(ROW($A$1)+MATCH(U4,$A:$A,0)-1,3),INDEX($BI:$BI,MATCH(U4,$A:$A,0))),"")</f>
        <v/>
      </c>
      <c r="L4" s="1162"/>
      <c r="M4" s="1161" t="str">
        <f>IFERROR(HYPERLINK("#"&amp;ADDRESS(ROW($A$1)+MATCH(W4,$A:$A,0)-1,3),INDEX($BI:$BI,MATCH(W4,$A:$A,0))),"")</f>
        <v/>
      </c>
      <c r="N4" s="1162"/>
      <c r="O4" s="292"/>
      <c r="P4" s="254"/>
      <c r="Q4" s="263">
        <f>W3+1</f>
        <v>5</v>
      </c>
      <c r="R4" s="264"/>
      <c r="S4" s="264">
        <f>Q4+1</f>
        <v>6</v>
      </c>
      <c r="T4" s="264"/>
      <c r="U4" s="264">
        <f>S4+1</f>
        <v>7</v>
      </c>
      <c r="V4" s="264"/>
      <c r="W4" s="265">
        <f>U4+1</f>
        <v>8</v>
      </c>
      <c r="X4" s="255" t="s">
        <v>93</v>
      </c>
    </row>
    <row r="5" spans="1:85" ht="13.5" customHeight="1" x14ac:dyDescent="0.25">
      <c r="A5" s="12"/>
      <c r="B5" s="862"/>
      <c r="C5" s="863"/>
      <c r="D5" s="864"/>
      <c r="E5" s="950"/>
      <c r="F5" s="858"/>
      <c r="G5" s="1161" t="str">
        <f>IFERROR(HYPERLINK("#"&amp;ADDRESS(ROW($A$1)+MATCH(Q5,$A:$A,0)-1,3),INDEX($BI:$BI,MATCH(Q5,$A:$A,0))),"")</f>
        <v/>
      </c>
      <c r="H5" s="1165"/>
      <c r="I5" s="1161" t="str">
        <f>IFERROR(HYPERLINK("#"&amp;ADDRESS(ROW($A$1)+MATCH(S5,$A:$A,0)-1,3),INDEX($BI:$BI,MATCH(S5,$A:$A,0))),"")</f>
        <v/>
      </c>
      <c r="J5" s="1162"/>
      <c r="K5" s="1161" t="str">
        <f>IFERROR(HYPERLINK("#"&amp;ADDRESS(ROW($A$1)+MATCH(U5,$A:$A,0)-1,3),INDEX($BI:$BI,MATCH(U5,$A:$A,0))),"")</f>
        <v/>
      </c>
      <c r="L5" s="1162"/>
      <c r="M5" s="1161" t="str">
        <f>IFERROR(HYPERLINK("#"&amp;ADDRESS(ROW($A$1)+MATCH(W5,$A:$A,0)-1,3),INDEX($BI:$BI,MATCH(W5,$A:$A,0))),"")</f>
        <v/>
      </c>
      <c r="N5" s="1162"/>
      <c r="O5" s="292"/>
      <c r="P5" s="254"/>
      <c r="Q5" s="263">
        <f>W4+1</f>
        <v>9</v>
      </c>
      <c r="R5" s="264"/>
      <c r="S5" s="264">
        <f>Q5+1</f>
        <v>10</v>
      </c>
      <c r="T5" s="264"/>
      <c r="U5" s="264">
        <f>S5+1</f>
        <v>11</v>
      </c>
      <c r="V5" s="264"/>
      <c r="W5" s="265">
        <f>U5+1</f>
        <v>12</v>
      </c>
      <c r="X5" s="255"/>
    </row>
    <row r="6" spans="1:85" ht="13.5" customHeight="1" thickBot="1" x14ac:dyDescent="0.3">
      <c r="A6" s="12"/>
      <c r="B6" s="865"/>
      <c r="C6" s="866"/>
      <c r="D6" s="867"/>
      <c r="E6" s="950"/>
      <c r="F6" s="858"/>
      <c r="G6" s="1161" t="str">
        <f>IFERROR(HYPERLINK("#"&amp;ADDRESS(ROW($A$1)+MATCH(Q6,$A:$A,0)-1,3),INDEX($BI:$BI,MATCH(Q6,$A:$A,0))),"")</f>
        <v/>
      </c>
      <c r="H6" s="1165"/>
      <c r="I6" s="1161" t="str">
        <f>IFERROR(HYPERLINK("#"&amp;ADDRESS(ROW($A$1)+MATCH(S6,$A:$A,0)-1,3),INDEX($BI:$BI,MATCH(S6,$A:$A,0))),"")</f>
        <v/>
      </c>
      <c r="J6" s="1162"/>
      <c r="K6" s="1161" t="str">
        <f>IFERROR(HYPERLINK("#"&amp;ADDRESS(ROW($A$1)+MATCH(U6,$A:$A,0)-1,3),INDEX($BI:$BI,MATCH(U6,$A:$A,0))),"")</f>
        <v/>
      </c>
      <c r="L6" s="1162"/>
      <c r="M6" s="1161" t="str">
        <f>IFERROR(HYPERLINK("#"&amp;ADDRESS(ROW($A$1)+MATCH(W6,$A:$A,0)-1,3),INDEX($BI:$BI,MATCH(W6,$A:$A,0))),"")</f>
        <v/>
      </c>
      <c r="N6" s="1162"/>
      <c r="O6" s="292"/>
      <c r="P6" s="254"/>
      <c r="Q6" s="668">
        <f>W5+1</f>
        <v>13</v>
      </c>
      <c r="R6" s="669"/>
      <c r="S6" s="669">
        <f>Q6+1</f>
        <v>14</v>
      </c>
      <c r="T6" s="669"/>
      <c r="U6" s="669">
        <f>S6+1</f>
        <v>15</v>
      </c>
      <c r="V6" s="669"/>
      <c r="W6" s="670">
        <f>U6+1</f>
        <v>16</v>
      </c>
      <c r="X6" s="255"/>
    </row>
    <row r="7" spans="1:85" ht="12.75" customHeight="1" x14ac:dyDescent="0.25">
      <c r="A7" s="37"/>
      <c r="B7" s="4"/>
      <c r="C7" s="5"/>
      <c r="D7" s="6"/>
      <c r="E7" s="4"/>
      <c r="F7" s="6"/>
      <c r="G7" s="6"/>
      <c r="H7" s="6"/>
      <c r="I7" s="4"/>
      <c r="J7" s="4"/>
      <c r="K7" s="4"/>
      <c r="L7" s="4"/>
      <c r="M7" s="4"/>
      <c r="N7" s="4"/>
      <c r="O7" s="292"/>
      <c r="P7" s="254"/>
      <c r="Q7" s="12"/>
      <c r="R7" s="37"/>
      <c r="S7" s="37"/>
      <c r="T7" s="37"/>
      <c r="U7" s="37"/>
      <c r="V7" s="37"/>
      <c r="W7" s="37"/>
      <c r="X7" s="37"/>
    </row>
    <row r="8" spans="1:85" s="99" customFormat="1" ht="25.5" customHeight="1" x14ac:dyDescent="0.25">
      <c r="A8" s="41"/>
      <c r="B8" s="21"/>
      <c r="C8" s="1081" t="str">
        <f>Translations!$B$353</f>
        <v>C. Päästölaskenta</v>
      </c>
      <c r="D8" s="1081"/>
      <c r="E8" s="1081"/>
      <c r="F8" s="1081"/>
      <c r="G8" s="1081"/>
      <c r="H8" s="1081"/>
      <c r="I8" s="1081"/>
      <c r="J8" s="1081"/>
      <c r="K8" s="1081"/>
      <c r="L8" s="4"/>
      <c r="M8" s="4"/>
      <c r="N8" s="4"/>
      <c r="O8" s="288"/>
      <c r="P8" s="254"/>
      <c r="Q8" s="41"/>
      <c r="R8" s="41"/>
      <c r="S8" s="41"/>
      <c r="T8" s="10"/>
      <c r="U8" s="10"/>
      <c r="V8" s="10"/>
      <c r="W8" s="41"/>
      <c r="X8" s="41"/>
      <c r="Y8" s="698"/>
      <c r="Z8" s="698"/>
      <c r="AA8" s="698"/>
      <c r="AB8" s="698"/>
      <c r="AC8" s="698"/>
      <c r="AD8" s="698"/>
      <c r="AE8" s="698"/>
      <c r="AF8" s="698"/>
      <c r="AG8" s="698"/>
      <c r="AH8" s="698"/>
      <c r="AI8" s="698"/>
      <c r="AJ8" s="698"/>
      <c r="AK8" s="698"/>
      <c r="AL8" s="698"/>
      <c r="AM8" s="698"/>
      <c r="AN8" s="698"/>
      <c r="AO8" s="698"/>
      <c r="AP8" s="698"/>
      <c r="AQ8" s="698"/>
      <c r="AR8" s="698"/>
      <c r="AS8" s="698"/>
      <c r="AT8" s="698"/>
      <c r="AU8" s="698"/>
      <c r="AV8" s="698"/>
      <c r="AW8" s="698"/>
      <c r="AX8" s="698"/>
      <c r="AY8" s="698"/>
      <c r="AZ8" s="698"/>
      <c r="BA8" s="698"/>
      <c r="BB8" s="698"/>
      <c r="BC8" s="698"/>
      <c r="BD8" s="698"/>
      <c r="BE8" s="698"/>
      <c r="BF8" s="698"/>
      <c r="BG8" s="698"/>
      <c r="BH8" s="698"/>
      <c r="BI8" s="698"/>
      <c r="BJ8" s="698"/>
      <c r="BK8" s="698"/>
      <c r="BL8" s="698"/>
      <c r="BM8" s="698"/>
      <c r="BN8" s="698"/>
      <c r="BO8" s="698"/>
      <c r="BP8" s="698"/>
      <c r="BQ8" s="698"/>
      <c r="BR8" s="698"/>
      <c r="BS8" s="698"/>
      <c r="BT8" s="698"/>
      <c r="BU8" s="698"/>
      <c r="BV8" s="698"/>
      <c r="BW8" s="698"/>
      <c r="BX8" s="698"/>
      <c r="BY8" s="698"/>
      <c r="BZ8" s="698"/>
      <c r="CA8" s="698"/>
      <c r="CB8" s="698"/>
      <c r="CC8" s="698"/>
      <c r="CD8" s="698"/>
      <c r="CE8" s="698"/>
      <c r="CF8" s="698"/>
      <c r="CG8" s="698"/>
    </row>
    <row r="9" spans="1:85" ht="12.75" customHeight="1" x14ac:dyDescent="0.25">
      <c r="A9" s="31"/>
      <c r="B9" s="4"/>
      <c r="C9" s="43"/>
      <c r="D9" s="4"/>
      <c r="E9" s="4"/>
      <c r="F9" s="4"/>
      <c r="G9" s="4"/>
      <c r="H9" s="4"/>
      <c r="I9" s="4"/>
      <c r="J9" s="4"/>
      <c r="K9" s="4"/>
      <c r="L9" s="4"/>
      <c r="M9" s="4"/>
      <c r="N9" s="4"/>
      <c r="O9" s="292"/>
      <c r="P9" s="254"/>
      <c r="Q9" s="31"/>
      <c r="R9" s="31"/>
      <c r="S9" s="31"/>
      <c r="T9" s="31"/>
      <c r="U9" s="31"/>
      <c r="V9" s="31"/>
      <c r="W9" s="31"/>
      <c r="X9" s="31"/>
      <c r="Y9" s="31"/>
      <c r="Z9" s="31"/>
      <c r="AA9" s="31"/>
      <c r="AB9" s="31"/>
      <c r="AC9" s="31"/>
      <c r="AD9" s="698"/>
      <c r="AE9" s="698"/>
      <c r="AF9" s="698"/>
      <c r="AG9" s="698"/>
      <c r="AH9" s="698"/>
      <c r="AI9" s="698"/>
      <c r="AJ9" s="698"/>
      <c r="AK9" s="698"/>
      <c r="AL9" s="698"/>
      <c r="AM9" s="698"/>
      <c r="AN9" s="698"/>
      <c r="AO9" s="698"/>
      <c r="AP9" s="698"/>
      <c r="AQ9" s="698"/>
      <c r="AR9" s="698"/>
      <c r="AS9" s="698"/>
      <c r="AT9" s="698"/>
      <c r="AU9" s="698"/>
      <c r="AV9" s="698"/>
      <c r="AW9" s="698"/>
      <c r="AX9" s="698"/>
      <c r="AY9" s="698"/>
      <c r="AZ9" s="698"/>
      <c r="BA9" s="698"/>
      <c r="BB9" s="698"/>
      <c r="BC9" s="698"/>
      <c r="BD9" s="698"/>
      <c r="BE9" s="698"/>
      <c r="BF9" s="698"/>
      <c r="BG9" s="698"/>
      <c r="BH9" s="698"/>
      <c r="BI9" s="698"/>
      <c r="BJ9" s="698"/>
      <c r="BK9" s="698"/>
      <c r="BL9" s="698"/>
      <c r="BM9" s="698"/>
      <c r="BN9" s="698"/>
      <c r="BO9" s="698"/>
      <c r="BP9" s="698"/>
      <c r="BQ9" s="698"/>
      <c r="BR9" s="698"/>
      <c r="BS9" s="698"/>
      <c r="BT9" s="698"/>
      <c r="BU9" s="698"/>
      <c r="BV9" s="698"/>
      <c r="BW9" s="698"/>
      <c r="BX9" s="698"/>
      <c r="BY9" s="698"/>
      <c r="BZ9" s="698"/>
      <c r="CA9" s="698"/>
      <c r="CB9" s="698"/>
      <c r="CC9" s="698"/>
      <c r="CD9" s="698"/>
      <c r="CE9" s="698"/>
      <c r="CF9" s="698"/>
      <c r="CG9" s="698"/>
    </row>
    <row r="10" spans="1:85" s="21" customFormat="1" ht="18.75" customHeight="1" x14ac:dyDescent="0.25">
      <c r="A10" s="161"/>
      <c r="C10" s="24">
        <v>1</v>
      </c>
      <c r="D10" s="983" t="str">
        <f>Translations!$B$354</f>
        <v>Polttoainevirtojen päästöt</v>
      </c>
      <c r="E10" s="983"/>
      <c r="F10" s="983"/>
      <c r="G10" s="983"/>
      <c r="H10" s="983"/>
      <c r="I10" s="983"/>
      <c r="J10" s="983"/>
      <c r="K10" s="983"/>
      <c r="L10" s="983"/>
      <c r="M10" s="983"/>
      <c r="N10" s="983"/>
      <c r="O10" s="288"/>
      <c r="P10" s="254"/>
      <c r="Q10" s="31"/>
      <c r="R10" s="31"/>
      <c r="S10" s="31"/>
      <c r="T10" s="31"/>
      <c r="U10" s="31"/>
      <c r="V10" s="31"/>
      <c r="W10" s="31"/>
      <c r="X10" s="31"/>
      <c r="Y10" s="31"/>
      <c r="Z10" s="31"/>
      <c r="AA10" s="31"/>
      <c r="AB10" s="31"/>
      <c r="AC10" s="31"/>
      <c r="AD10" s="698"/>
      <c r="AE10" s="698"/>
      <c r="AF10" s="698"/>
      <c r="AG10" s="698"/>
      <c r="AH10" s="698"/>
      <c r="AI10" s="698"/>
      <c r="AJ10" s="698"/>
      <c r="AK10" s="698"/>
      <c r="AL10" s="698"/>
      <c r="AM10" s="698"/>
      <c r="AN10" s="698"/>
      <c r="AO10" s="698"/>
      <c r="AP10" s="698"/>
      <c r="AQ10" s="698"/>
      <c r="AR10" s="698"/>
      <c r="AS10" s="698"/>
      <c r="AT10" s="698"/>
      <c r="AU10" s="698"/>
      <c r="AV10" s="698"/>
      <c r="AW10" s="698"/>
      <c r="AX10" s="698"/>
      <c r="AY10" s="698"/>
      <c r="AZ10" s="698"/>
      <c r="BA10" s="698"/>
      <c r="BB10" s="698"/>
      <c r="BC10" s="698"/>
      <c r="BD10" s="698"/>
      <c r="BE10" s="698"/>
      <c r="BF10" s="698"/>
      <c r="BG10" s="698"/>
      <c r="BH10" s="698"/>
      <c r="BI10" s="698"/>
      <c r="BJ10" s="698"/>
      <c r="BK10" s="698"/>
      <c r="BL10" s="698"/>
      <c r="BM10" s="698"/>
      <c r="BN10" s="698"/>
      <c r="BO10" s="698"/>
      <c r="BP10" s="698"/>
      <c r="BQ10" s="698"/>
      <c r="BR10" s="698"/>
      <c r="BS10" s="698"/>
      <c r="BT10" s="698"/>
      <c r="BU10" s="698"/>
      <c r="BV10" s="698"/>
      <c r="BW10" s="698"/>
      <c r="BX10" s="698"/>
      <c r="BY10" s="698"/>
      <c r="BZ10" s="698"/>
      <c r="CA10" s="698"/>
      <c r="CB10" s="698"/>
      <c r="CC10" s="698"/>
      <c r="CD10" s="698"/>
      <c r="CE10" s="698"/>
      <c r="CF10" s="698"/>
      <c r="CG10" s="698"/>
    </row>
    <row r="11" spans="1:85" ht="12.75" customHeight="1" x14ac:dyDescent="0.25">
      <c r="A11" s="37"/>
      <c r="D11" s="8"/>
      <c r="E11" s="17"/>
      <c r="G11" s="9"/>
      <c r="H11" s="9"/>
      <c r="I11" s="9"/>
      <c r="J11" s="9"/>
      <c r="L11" s="9"/>
      <c r="M11" s="9"/>
      <c r="N11" s="9"/>
      <c r="O11" s="292"/>
      <c r="P11" s="254"/>
      <c r="Q11" s="10"/>
      <c r="R11" s="37"/>
      <c r="S11" s="37"/>
      <c r="T11" s="10"/>
      <c r="U11" s="10"/>
      <c r="V11" s="10"/>
      <c r="W11" s="37"/>
      <c r="X11" s="37"/>
      <c r="AD11" s="698"/>
      <c r="AE11" s="698"/>
      <c r="AF11" s="698"/>
      <c r="AG11" s="698"/>
      <c r="AH11" s="698"/>
      <c r="AI11" s="698"/>
      <c r="AJ11" s="698"/>
      <c r="AK11" s="698"/>
      <c r="AL11" s="698"/>
      <c r="AM11" s="698"/>
      <c r="AN11" s="698"/>
      <c r="AO11" s="698"/>
      <c r="AP11" s="698"/>
      <c r="AQ11" s="698"/>
      <c r="AR11" s="698"/>
      <c r="AS11" s="698"/>
      <c r="AT11" s="698"/>
      <c r="AU11" s="698"/>
      <c r="AV11" s="698"/>
      <c r="AW11" s="698"/>
      <c r="AX11" s="698"/>
      <c r="AY11" s="698"/>
      <c r="AZ11" s="698"/>
      <c r="BA11" s="698"/>
      <c r="BB11" s="698"/>
      <c r="BC11" s="698"/>
      <c r="BD11" s="698"/>
      <c r="BE11" s="698"/>
      <c r="BF11" s="698"/>
      <c r="BG11" s="698"/>
      <c r="BH11" s="698"/>
      <c r="BI11" s="698"/>
      <c r="BJ11" s="698"/>
      <c r="BK11" s="698"/>
      <c r="BL11" s="698"/>
      <c r="BM11" s="698"/>
      <c r="BN11" s="698"/>
      <c r="BO11" s="698"/>
      <c r="BP11" s="698"/>
      <c r="BQ11" s="698"/>
      <c r="BR11" s="698"/>
      <c r="BS11" s="698"/>
      <c r="BT11" s="698"/>
      <c r="BU11" s="698"/>
      <c r="BV11" s="698"/>
      <c r="BW11" s="698"/>
      <c r="BX11" s="698"/>
      <c r="BY11" s="698"/>
      <c r="BZ11" s="698"/>
      <c r="CA11" s="698"/>
      <c r="CB11" s="698"/>
      <c r="CC11" s="698"/>
      <c r="CD11" s="698"/>
      <c r="CE11" s="698"/>
      <c r="CF11" s="698"/>
      <c r="CG11" s="698"/>
    </row>
    <row r="12" spans="1:85" s="18" customFormat="1" ht="12.75" customHeight="1" x14ac:dyDescent="0.25">
      <c r="A12" s="2"/>
      <c r="B12" s="7"/>
      <c r="C12" s="615"/>
      <c r="D12" s="8"/>
      <c r="E12" s="1172" t="str">
        <f>Translations!$B$355</f>
        <v>Käsitteet ja ohjeet:</v>
      </c>
      <c r="F12" s="1172"/>
      <c r="G12" s="1172"/>
      <c r="H12" s="1172"/>
      <c r="I12" s="1172"/>
      <c r="J12" s="1172"/>
      <c r="K12" s="1172"/>
      <c r="L12" s="1172"/>
      <c r="M12" s="1172"/>
      <c r="N12" s="1172"/>
      <c r="O12" s="292"/>
      <c r="P12" s="254"/>
      <c r="Q12" s="10"/>
      <c r="R12" s="10"/>
      <c r="S12" s="10"/>
      <c r="T12" s="10"/>
      <c r="U12" s="10"/>
      <c r="V12" s="10"/>
      <c r="W12" s="2"/>
      <c r="X12" s="2"/>
      <c r="Y12" s="259"/>
      <c r="Z12" s="259"/>
      <c r="AA12" s="259"/>
      <c r="AB12" s="259"/>
      <c r="AC12" s="259"/>
      <c r="AD12" s="698"/>
      <c r="AE12" s="698"/>
      <c r="AF12" s="698"/>
      <c r="AG12" s="698"/>
      <c r="AH12" s="698"/>
      <c r="AI12" s="698"/>
      <c r="AJ12" s="698"/>
      <c r="AK12" s="698"/>
      <c r="AL12" s="698"/>
      <c r="AM12" s="698"/>
      <c r="AN12" s="698"/>
      <c r="AO12" s="698"/>
      <c r="AP12" s="698"/>
      <c r="AQ12" s="698"/>
      <c r="AR12" s="698"/>
      <c r="AS12" s="698"/>
      <c r="AT12" s="698"/>
      <c r="AU12" s="698"/>
      <c r="AV12" s="698"/>
      <c r="AW12" s="698"/>
      <c r="AX12" s="698"/>
      <c r="AY12" s="698"/>
      <c r="AZ12" s="698"/>
      <c r="BA12" s="698"/>
      <c r="BB12" s="698"/>
      <c r="BC12" s="698"/>
      <c r="BD12" s="698"/>
      <c r="BE12" s="698"/>
      <c r="BF12" s="698"/>
      <c r="BG12" s="698"/>
      <c r="BH12" s="698"/>
      <c r="BI12" s="698"/>
      <c r="BJ12" s="698"/>
      <c r="BK12" s="698"/>
      <c r="BL12" s="698"/>
      <c r="BM12" s="698"/>
      <c r="BN12" s="698"/>
      <c r="BO12" s="698"/>
      <c r="BP12" s="698"/>
      <c r="BQ12" s="698"/>
      <c r="BR12" s="698"/>
      <c r="BS12" s="698"/>
      <c r="BT12" s="698"/>
      <c r="BU12" s="698"/>
      <c r="BV12" s="698"/>
      <c r="BW12" s="698"/>
      <c r="BX12" s="698"/>
      <c r="BY12" s="698"/>
      <c r="BZ12" s="698"/>
      <c r="CA12" s="698"/>
      <c r="CB12" s="698"/>
      <c r="CC12" s="698"/>
      <c r="CD12" s="698"/>
      <c r="CE12" s="698"/>
      <c r="CF12" s="698"/>
      <c r="CG12" s="698"/>
    </row>
    <row r="13" spans="1:85" s="18" customFormat="1" ht="12.65" customHeight="1" x14ac:dyDescent="0.25">
      <c r="A13" s="2"/>
      <c r="B13" s="7"/>
      <c r="C13" s="615"/>
      <c r="D13" s="8"/>
      <c r="E13" s="838" t="str">
        <f>Translations!$B$356</f>
        <v>Polttoaineen määrä:</v>
      </c>
      <c r="F13" s="1152" t="str">
        <f>Translations!$B$357</f>
        <v>Kulutukseen luovutettu polttoainemäärä.</v>
      </c>
      <c r="G13" s="1152"/>
      <c r="H13" s="1152"/>
      <c r="I13" s="1152"/>
      <c r="J13" s="1152"/>
      <c r="K13" s="1152"/>
      <c r="L13" s="1152"/>
      <c r="M13" s="1152"/>
      <c r="N13" s="1152"/>
      <c r="O13" s="292"/>
      <c r="P13" s="254"/>
      <c r="Q13" s="10"/>
      <c r="R13" s="10"/>
      <c r="S13" s="10"/>
      <c r="T13" s="10"/>
      <c r="U13" s="10"/>
      <c r="V13" s="10"/>
      <c r="W13" s="2"/>
      <c r="X13" s="2"/>
      <c r="Y13" s="259"/>
      <c r="Z13" s="259"/>
      <c r="AA13" s="259"/>
      <c r="AB13" s="259"/>
      <c r="AC13" s="259"/>
      <c r="AD13" s="698"/>
      <c r="AE13" s="698"/>
      <c r="AF13" s="698"/>
      <c r="AG13" s="698"/>
      <c r="AH13" s="698"/>
      <c r="AI13" s="698"/>
      <c r="AJ13" s="698"/>
      <c r="AK13" s="698"/>
      <c r="AL13" s="698"/>
      <c r="AM13" s="698"/>
      <c r="AN13" s="698"/>
      <c r="AO13" s="698"/>
      <c r="AP13" s="698"/>
      <c r="AQ13" s="698"/>
      <c r="AR13" s="698"/>
      <c r="AS13" s="698"/>
      <c r="AT13" s="698"/>
      <c r="AU13" s="698"/>
      <c r="AV13" s="698"/>
      <c r="AW13" s="698"/>
      <c r="AX13" s="698"/>
      <c r="AY13" s="698"/>
      <c r="AZ13" s="698"/>
      <c r="BA13" s="698"/>
      <c r="BB13" s="698"/>
      <c r="BC13" s="698"/>
      <c r="BD13" s="698"/>
      <c r="BE13" s="698"/>
      <c r="BF13" s="698"/>
      <c r="BG13" s="698"/>
      <c r="BH13" s="698"/>
      <c r="BI13" s="698"/>
      <c r="BJ13" s="698"/>
      <c r="BK13" s="698"/>
      <c r="BL13" s="698"/>
      <c r="BM13" s="698"/>
      <c r="BN13" s="698"/>
      <c r="BO13" s="698"/>
      <c r="BP13" s="698"/>
      <c r="BQ13" s="698"/>
      <c r="BR13" s="698"/>
      <c r="BS13" s="698"/>
      <c r="BT13" s="698"/>
      <c r="BU13" s="698"/>
      <c r="BV13" s="698"/>
      <c r="BW13" s="698"/>
      <c r="BX13" s="698"/>
      <c r="BY13" s="698"/>
      <c r="BZ13" s="698"/>
      <c r="CA13" s="698"/>
      <c r="CB13" s="698"/>
      <c r="CC13" s="698"/>
      <c r="CD13" s="698"/>
      <c r="CE13" s="698"/>
      <c r="CF13" s="698"/>
      <c r="CG13" s="698"/>
    </row>
    <row r="14" spans="1:85" s="18" customFormat="1" ht="14.5" customHeight="1" x14ac:dyDescent="0.25">
      <c r="A14" s="2"/>
      <c r="B14" s="7"/>
      <c r="C14" s="615"/>
      <c r="D14" s="8"/>
      <c r="E14" s="843" t="str">
        <f>Translations!$B$358</f>
        <v>Päästökerroin (alustava):</v>
      </c>
      <c r="F14" s="1153" t="str">
        <f>Translations!$B$359</f>
        <v>Polttoaineen alustava päästökerroin sisältää sekä mahdollisen biomassaosuuden että fossiilisen osuuden kokonaishiilipitoisuuden.</v>
      </c>
      <c r="G14" s="1153"/>
      <c r="H14" s="1153"/>
      <c r="I14" s="1153"/>
      <c r="J14" s="1153"/>
      <c r="K14" s="1153"/>
      <c r="L14" s="1153"/>
      <c r="M14" s="1153"/>
      <c r="N14" s="1153"/>
      <c r="O14" s="292"/>
      <c r="P14" s="254"/>
      <c r="Q14" s="10"/>
      <c r="R14" s="10"/>
      <c r="S14" s="10"/>
      <c r="T14" s="10"/>
      <c r="U14" s="10"/>
      <c r="V14" s="10"/>
      <c r="W14" s="2"/>
      <c r="X14" s="2"/>
      <c r="Y14" s="259"/>
      <c r="Z14" s="259"/>
      <c r="AA14" s="259"/>
      <c r="AB14" s="259"/>
      <c r="AC14" s="259"/>
      <c r="AD14" s="698"/>
      <c r="AE14" s="698"/>
      <c r="AF14" s="698"/>
      <c r="AG14" s="698"/>
      <c r="AH14" s="698"/>
      <c r="AI14" s="698"/>
      <c r="AJ14" s="698"/>
      <c r="AK14" s="698"/>
      <c r="AL14" s="698"/>
      <c r="AM14" s="698"/>
      <c r="AN14" s="698"/>
      <c r="AO14" s="698"/>
      <c r="AP14" s="698"/>
      <c r="AQ14" s="698"/>
      <c r="AR14" s="698"/>
      <c r="AS14" s="698"/>
      <c r="AT14" s="698"/>
      <c r="AU14" s="698"/>
      <c r="AV14" s="698"/>
      <c r="AW14" s="698"/>
      <c r="AX14" s="698"/>
      <c r="AY14" s="698"/>
      <c r="AZ14" s="698"/>
      <c r="BA14" s="698"/>
      <c r="BB14" s="698"/>
      <c r="BC14" s="698"/>
      <c r="BD14" s="698"/>
      <c r="BE14" s="698"/>
      <c r="BF14" s="698"/>
      <c r="BG14" s="698"/>
      <c r="BH14" s="698"/>
      <c r="BI14" s="698"/>
      <c r="BJ14" s="698"/>
      <c r="BK14" s="698"/>
      <c r="BL14" s="698"/>
      <c r="BM14" s="698"/>
      <c r="BN14" s="698"/>
      <c r="BO14" s="698"/>
      <c r="BP14" s="698"/>
      <c r="BQ14" s="698"/>
      <c r="BR14" s="698"/>
      <c r="BS14" s="698"/>
      <c r="BT14" s="698"/>
      <c r="BU14" s="698"/>
      <c r="BV14" s="698"/>
      <c r="BW14" s="698"/>
      <c r="BX14" s="698"/>
      <c r="BY14" s="698"/>
      <c r="BZ14" s="698"/>
      <c r="CA14" s="698"/>
      <c r="CB14" s="698"/>
      <c r="CC14" s="698"/>
      <c r="CD14" s="698"/>
      <c r="CE14" s="698"/>
      <c r="CF14" s="698"/>
      <c r="CG14" s="698"/>
    </row>
    <row r="15" spans="1:85" s="18" customFormat="1" ht="21.65" customHeight="1" x14ac:dyDescent="0.25">
      <c r="A15" s="2"/>
      <c r="B15" s="7"/>
      <c r="C15" s="837"/>
      <c r="D15" s="8"/>
      <c r="E15" s="843" t="str">
        <f>Translations!$B$360</f>
        <v>Yksikön muuntokerroin:</v>
      </c>
      <c r="F15" s="1153" t="str">
        <f>Translations!$B$361</f>
        <v>Kerroin, jolla polttoaineen määrä muunnetaan tarvittaessa vastaavaksi energiamääräksi (TJ) päästölaskentaa varten.</v>
      </c>
      <c r="G15" s="1153"/>
      <c r="H15" s="1153"/>
      <c r="I15" s="1153"/>
      <c r="J15" s="1153"/>
      <c r="K15" s="1153"/>
      <c r="L15" s="1153"/>
      <c r="M15" s="1153"/>
      <c r="N15" s="1153"/>
      <c r="O15" s="292"/>
      <c r="P15" s="254"/>
      <c r="Q15" s="10"/>
      <c r="R15" s="10"/>
      <c r="S15" s="10"/>
      <c r="T15" s="10"/>
      <c r="U15" s="2"/>
      <c r="V15" s="2"/>
      <c r="W15" s="2"/>
      <c r="X15" s="2"/>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59"/>
      <c r="CB15" s="259"/>
      <c r="CC15" s="259"/>
      <c r="CD15" s="259"/>
      <c r="CE15" s="259"/>
      <c r="CF15" s="259"/>
      <c r="CG15" s="259"/>
    </row>
    <row r="16" spans="1:85" s="18" customFormat="1" ht="82" customHeight="1" x14ac:dyDescent="0.25">
      <c r="A16" s="2"/>
      <c r="B16" s="7"/>
      <c r="C16" s="615"/>
      <c r="D16" s="8"/>
      <c r="E16" s="843" t="str">
        <f>Translations!$B$362</f>
        <v>Biomassaosuus:</v>
      </c>
      <c r="F16" s="1153" t="str">
        <f>Translations!$B$363</f>
        <v>Kestävästä biomassasta, eli kestävyyslain (393/2013) kriteerit täyttävästä biomassasta peräisin olevan hiilen osuus polttoaineen kokonaishiilipitoisuudesta ilmaistuna suhteellisena osuutena. 
Hyväksytyt menetelmät biomassan kestävyyden osoittamiseksi: 
-säännellyllä yhteisöllä on Energiaviraston hyväksymä kestävyysjärjestelmä;
-säännellyllä yhteisöllä on EU:n komission hyväksymä vapaaehtoinen järjestelmä; 
-biomassatoimittajan antamilla kestävyystodistuksilla, joilla kestävä raaka-aine tai polttoaine voidaan siirtää kestävyysjärjestelmästä toiseen. Kestävyystodistuksen tulee olla annettu Energiaviraston hyväksymän kestävyysjärjestelmän tai komission hyväksymän vapaaehtoisen järjestelmän puitteissa. 
Yksityiskohtaisemmat ohjeet biomassan kestävyyden osoittamisesta osoitteessa: https://energiavirasto.fi/polttoaineen-paastokauppa#ohjeet_ja_lomakkeet</v>
      </c>
      <c r="G16" s="1153"/>
      <c r="H16" s="1153"/>
      <c r="I16" s="1153"/>
      <c r="J16" s="1153"/>
      <c r="K16" s="1153"/>
      <c r="L16" s="1153"/>
      <c r="M16" s="1153"/>
      <c r="N16" s="1153"/>
      <c r="O16" s="292"/>
      <c r="P16" s="254"/>
      <c r="Q16" s="10"/>
      <c r="R16" s="10"/>
      <c r="S16" s="10"/>
      <c r="T16" s="10"/>
      <c r="U16" s="2"/>
      <c r="V16" s="2"/>
      <c r="W16" s="2"/>
      <c r="X16" s="2"/>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59"/>
      <c r="CB16" s="259"/>
      <c r="CC16" s="259"/>
      <c r="CD16" s="259"/>
      <c r="CE16" s="259"/>
      <c r="CF16" s="259"/>
      <c r="CG16" s="259"/>
    </row>
    <row r="17" spans="1:85" s="18" customFormat="1" ht="10" customHeight="1" x14ac:dyDescent="0.25">
      <c r="A17" s="2"/>
      <c r="B17" s="7"/>
      <c r="C17" s="615"/>
      <c r="D17" s="8"/>
      <c r="E17" s="843"/>
      <c r="F17" s="1153"/>
      <c r="G17" s="1153"/>
      <c r="H17" s="1153"/>
      <c r="I17" s="1153"/>
      <c r="J17" s="1153"/>
      <c r="K17" s="1153"/>
      <c r="L17" s="1153"/>
      <c r="M17" s="1153"/>
      <c r="N17" s="1153"/>
      <c r="O17" s="292"/>
      <c r="P17" s="254"/>
      <c r="Q17" s="10"/>
      <c r="R17" s="10"/>
      <c r="S17" s="10"/>
      <c r="T17" s="10"/>
      <c r="U17" s="2"/>
      <c r="V17" s="2"/>
      <c r="W17" s="2"/>
      <c r="X17" s="2"/>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row>
    <row r="18" spans="1:85" s="18" customFormat="1" ht="2.5" customHeight="1" x14ac:dyDescent="0.25">
      <c r="A18" s="2"/>
      <c r="B18" s="7"/>
      <c r="C18" s="615"/>
      <c r="D18" s="8"/>
      <c r="E18" s="843"/>
      <c r="F18" s="842"/>
      <c r="G18" s="1153"/>
      <c r="H18" s="1153"/>
      <c r="I18" s="1153"/>
      <c r="J18" s="1153"/>
      <c r="K18" s="1153"/>
      <c r="L18" s="1153"/>
      <c r="M18" s="1153"/>
      <c r="N18" s="1153"/>
      <c r="O18" s="292"/>
      <c r="P18" s="254"/>
      <c r="Q18" s="10"/>
      <c r="R18" s="10"/>
      <c r="S18" s="10"/>
      <c r="T18" s="10"/>
      <c r="U18" s="2"/>
      <c r="V18" s="2"/>
      <c r="W18" s="2"/>
      <c r="X18" s="2"/>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row>
    <row r="19" spans="1:85" s="18" customFormat="1" ht="12.65" hidden="1" customHeight="1" x14ac:dyDescent="0.25">
      <c r="A19" s="2"/>
      <c r="B19" s="7"/>
      <c r="C19" s="615"/>
      <c r="D19" s="8"/>
      <c r="E19" s="843"/>
      <c r="F19" s="842"/>
      <c r="G19" s="1153"/>
      <c r="H19" s="1153"/>
      <c r="I19" s="1153"/>
      <c r="J19" s="1153"/>
      <c r="K19" s="1153"/>
      <c r="L19" s="1153"/>
      <c r="M19" s="1153"/>
      <c r="N19" s="1153"/>
      <c r="O19" s="292"/>
      <c r="P19" s="254"/>
      <c r="Q19" s="10"/>
      <c r="R19" s="10"/>
      <c r="S19" s="10"/>
      <c r="T19" s="10"/>
      <c r="U19" s="2"/>
      <c r="V19" s="2"/>
      <c r="W19" s="2"/>
      <c r="X19" s="2"/>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59"/>
      <c r="BZ19" s="259"/>
      <c r="CA19" s="259"/>
      <c r="CB19" s="259"/>
      <c r="CC19" s="259"/>
      <c r="CD19" s="259"/>
      <c r="CE19" s="259"/>
      <c r="CF19" s="259"/>
      <c r="CG19" s="259"/>
    </row>
    <row r="20" spans="1:85" s="18" customFormat="1" ht="12.65" hidden="1" customHeight="1" x14ac:dyDescent="0.25">
      <c r="A20" s="2"/>
      <c r="B20" s="7"/>
      <c r="C20" s="615"/>
      <c r="D20" s="8"/>
      <c r="E20" s="843"/>
      <c r="F20" s="1153"/>
      <c r="G20" s="1153"/>
      <c r="H20" s="1153"/>
      <c r="I20" s="1153"/>
      <c r="J20" s="1153"/>
      <c r="K20" s="1153"/>
      <c r="L20" s="1153"/>
      <c r="M20" s="1153"/>
      <c r="N20" s="1153"/>
      <c r="O20" s="292"/>
      <c r="P20" s="254"/>
      <c r="Q20" s="10"/>
      <c r="R20" s="10"/>
      <c r="S20" s="10"/>
      <c r="T20" s="10"/>
      <c r="U20" s="2"/>
      <c r="V20" s="2"/>
      <c r="W20" s="2"/>
      <c r="X20" s="2"/>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c r="BX20" s="259"/>
      <c r="BY20" s="259"/>
      <c r="BZ20" s="259"/>
      <c r="CA20" s="259"/>
      <c r="CB20" s="259"/>
      <c r="CC20" s="259"/>
      <c r="CD20" s="259"/>
      <c r="CE20" s="259"/>
      <c r="CF20" s="259"/>
      <c r="CG20" s="259"/>
    </row>
    <row r="21" spans="1:85" s="18" customFormat="1" ht="12.65" hidden="1" customHeight="1" x14ac:dyDescent="0.25">
      <c r="A21" s="2"/>
      <c r="B21" s="7"/>
      <c r="C21" s="615"/>
      <c r="D21" s="8"/>
      <c r="E21" s="843"/>
      <c r="F21" s="1169"/>
      <c r="G21" s="1153"/>
      <c r="H21" s="1153"/>
      <c r="I21" s="1153"/>
      <c r="J21" s="1153"/>
      <c r="K21" s="1153"/>
      <c r="L21" s="1153"/>
      <c r="M21" s="1153"/>
      <c r="N21" s="1153"/>
      <c r="O21" s="292"/>
      <c r="P21" s="254"/>
      <c r="Q21" s="10"/>
      <c r="R21" s="10"/>
      <c r="S21" s="10"/>
      <c r="T21" s="10"/>
      <c r="U21" s="2"/>
      <c r="V21" s="2"/>
      <c r="W21" s="2"/>
      <c r="X21" s="2"/>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c r="BX21" s="259"/>
      <c r="BY21" s="259"/>
      <c r="BZ21" s="259"/>
      <c r="CA21" s="259"/>
      <c r="CB21" s="259"/>
      <c r="CC21" s="259"/>
      <c r="CD21" s="259"/>
      <c r="CE21" s="259"/>
      <c r="CF21" s="259"/>
      <c r="CG21" s="259"/>
    </row>
    <row r="22" spans="1:85" s="18" customFormat="1" ht="16" customHeight="1" x14ac:dyDescent="0.25">
      <c r="A22" s="2"/>
      <c r="B22" s="7"/>
      <c r="C22" s="615"/>
      <c r="D22" s="8"/>
      <c r="E22" s="843" t="str">
        <f>Translations!$B$368</f>
        <v>Ei kestävä biomassaosuus:</v>
      </c>
      <c r="F22" s="1153" t="str">
        <f>Translations!$B$369</f>
        <v>Muusta biomassasta (joka ei täytä kestävyyslain (393/2013) kriteerejä) peräisin olevaa hiilen osuutta polttoaineen kokonaishiilipitoisuudesta ilmaistuna suhteellisena osuutena.</v>
      </c>
      <c r="G22" s="1153"/>
      <c r="H22" s="1153"/>
      <c r="I22" s="1153"/>
      <c r="J22" s="1153"/>
      <c r="K22" s="1153"/>
      <c r="L22" s="1153"/>
      <c r="M22" s="1153"/>
      <c r="N22" s="1153"/>
      <c r="O22" s="292"/>
      <c r="P22" s="254"/>
      <c r="Q22" s="10"/>
      <c r="R22" s="10"/>
      <c r="S22" s="10"/>
      <c r="T22" s="10"/>
      <c r="U22" s="2"/>
      <c r="V22" s="2"/>
      <c r="W22" s="2"/>
      <c r="X22" s="2"/>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row>
    <row r="23" spans="1:85" s="18" customFormat="1" ht="8.15" hidden="1" customHeight="1" x14ac:dyDescent="0.25">
      <c r="A23" s="2"/>
      <c r="B23" s="7"/>
      <c r="C23" s="615"/>
      <c r="D23" s="8"/>
      <c r="E23" s="402"/>
      <c r="F23" s="972"/>
      <c r="G23" s="972"/>
      <c r="H23" s="972"/>
      <c r="I23" s="972"/>
      <c r="J23" s="972"/>
      <c r="K23" s="972"/>
      <c r="L23" s="972"/>
      <c r="M23" s="972"/>
      <c r="N23" s="972"/>
      <c r="O23" s="292"/>
      <c r="P23" s="254"/>
      <c r="Q23" s="10"/>
      <c r="R23" s="10"/>
      <c r="S23" s="10"/>
      <c r="T23" s="10"/>
      <c r="U23" s="2"/>
      <c r="V23" s="2"/>
      <c r="W23" s="2"/>
      <c r="X23" s="2"/>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59"/>
      <c r="CB23" s="259"/>
      <c r="CC23" s="259"/>
      <c r="CD23" s="259"/>
      <c r="CE23" s="259"/>
      <c r="CF23" s="259"/>
      <c r="CG23" s="259"/>
    </row>
    <row r="24" spans="1:85" s="18" customFormat="1" ht="1" customHeight="1" x14ac:dyDescent="0.25">
      <c r="A24" s="2"/>
      <c r="B24" s="7"/>
      <c r="C24" s="615"/>
      <c r="D24" s="8"/>
      <c r="E24" s="402"/>
      <c r="F24" s="972"/>
      <c r="G24" s="972"/>
      <c r="H24" s="972"/>
      <c r="I24" s="972"/>
      <c r="J24" s="972"/>
      <c r="K24" s="972"/>
      <c r="L24" s="972"/>
      <c r="M24" s="972"/>
      <c r="N24" s="972"/>
      <c r="O24" s="292"/>
      <c r="P24" s="254"/>
      <c r="Q24" s="10"/>
      <c r="R24" s="10"/>
      <c r="S24" s="10"/>
      <c r="T24" s="10"/>
      <c r="U24" s="2"/>
      <c r="V24" s="2"/>
      <c r="W24" s="2"/>
      <c r="X24" s="2"/>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row>
    <row r="25" spans="1:85" s="18" customFormat="1" ht="2.15" customHeight="1" x14ac:dyDescent="0.25">
      <c r="A25" s="2"/>
      <c r="B25" s="7"/>
      <c r="C25" s="615"/>
      <c r="D25" s="8"/>
      <c r="E25" s="165"/>
      <c r="F25" s="1168"/>
      <c r="G25" s="1151"/>
      <c r="H25" s="1151"/>
      <c r="I25" s="1151"/>
      <c r="J25" s="1151"/>
      <c r="K25" s="1151"/>
      <c r="L25" s="1151"/>
      <c r="M25" s="1151"/>
      <c r="N25" s="1151"/>
      <c r="O25" s="292"/>
      <c r="P25" s="254"/>
      <c r="Q25" s="10"/>
      <c r="R25" s="10"/>
      <c r="S25" s="10"/>
      <c r="T25" s="10"/>
      <c r="U25" s="2"/>
      <c r="V25" s="2"/>
      <c r="W25" s="2"/>
      <c r="X25" s="2"/>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59"/>
      <c r="CB25" s="259"/>
      <c r="CC25" s="259"/>
      <c r="CD25" s="259"/>
      <c r="CE25" s="259"/>
      <c r="CF25" s="259"/>
      <c r="CG25" s="259"/>
    </row>
    <row r="26" spans="1:85" ht="22.5" customHeight="1" x14ac:dyDescent="0.25">
      <c r="A26" s="37"/>
      <c r="B26" s="4"/>
      <c r="C26" s="276"/>
      <c r="D26" s="4"/>
      <c r="E26" s="1166" t="str">
        <f>Translations!$B$145</f>
        <v>PÄÄSTÖKERROIN JA YKSIKÖN MUUNTOKERROIN
Määrittämistaso 1 (Tyypin I oletusarvot)</v>
      </c>
      <c r="F26" s="1152" t="str">
        <f>Translations!$B$146</f>
        <v xml:space="preserve">Kansainväliset vakioarvot. Tätä määrittämistasoa ei sovelleta vaan tulee käyttää Määrittämistasoa 2a, tarkoittaen Tilastokeskuksen tai Energiaviraston julkaisemia vakiokertoimia.  </v>
      </c>
      <c r="G26" s="1152"/>
      <c r="H26" s="1152"/>
      <c r="I26" s="1152"/>
      <c r="J26" s="1152"/>
      <c r="K26" s="1152"/>
      <c r="L26" s="1152"/>
      <c r="M26" s="1152"/>
      <c r="N26" s="1152"/>
      <c r="O26" s="292"/>
      <c r="P26" s="254"/>
      <c r="Q26" s="59"/>
      <c r="R26" s="60"/>
      <c r="S26" s="37"/>
      <c r="T26" s="37"/>
      <c r="U26" s="37"/>
      <c r="V26" s="37"/>
      <c r="W26" s="37"/>
      <c r="X26" s="37"/>
    </row>
    <row r="27" spans="1:85" ht="6.5" customHeight="1" x14ac:dyDescent="0.25">
      <c r="A27" s="37"/>
      <c r="B27" s="4"/>
      <c r="C27" s="276"/>
      <c r="D27" s="4"/>
      <c r="E27" s="1150"/>
      <c r="F27" s="167"/>
      <c r="G27" s="972"/>
      <c r="H27" s="972"/>
      <c r="I27" s="972"/>
      <c r="J27" s="972"/>
      <c r="K27" s="972"/>
      <c r="L27" s="972"/>
      <c r="M27" s="972"/>
      <c r="N27" s="972"/>
      <c r="O27" s="292"/>
      <c r="P27" s="254"/>
      <c r="Q27" s="59"/>
      <c r="R27" s="60"/>
      <c r="S27" s="37"/>
      <c r="T27" s="37"/>
      <c r="U27" s="37"/>
      <c r="V27" s="37"/>
      <c r="W27" s="37"/>
      <c r="X27" s="37"/>
    </row>
    <row r="28" spans="1:85" ht="25.5" hidden="1" customHeight="1" x14ac:dyDescent="0.25">
      <c r="A28" s="37"/>
      <c r="B28" s="4"/>
      <c r="C28" s="276"/>
      <c r="D28" s="4"/>
      <c r="E28" s="1167"/>
      <c r="F28" s="167"/>
      <c r="G28" s="1151"/>
      <c r="H28" s="1151"/>
      <c r="I28" s="1151"/>
      <c r="J28" s="1151"/>
      <c r="K28" s="1151"/>
      <c r="L28" s="1151"/>
      <c r="M28" s="1151"/>
      <c r="N28" s="1151"/>
      <c r="O28" s="292"/>
      <c r="P28" s="254"/>
      <c r="Q28" s="59"/>
      <c r="R28" s="60"/>
      <c r="S28" s="37"/>
      <c r="T28" s="37"/>
      <c r="U28" s="37"/>
      <c r="V28" s="37"/>
      <c r="W28" s="37"/>
      <c r="X28" s="37"/>
    </row>
    <row r="29" spans="1:85" ht="12.75" customHeight="1" x14ac:dyDescent="0.25">
      <c r="A29" s="37"/>
      <c r="B29" s="4"/>
      <c r="C29" s="276"/>
      <c r="D29" s="4"/>
      <c r="E29" s="1149" t="str">
        <f>Translations!$B$221</f>
        <v xml:space="preserve">PÄÄSTÖKERROIN JA YKSIKÖN MUUNTOKERROIN
Määrittämistaso 2a (Tyypin II oletusarvot) </v>
      </c>
      <c r="F29" s="1154" t="str">
        <f>Translations!$B$149</f>
        <v xml:space="preserve">Kansalliset vakioarvot. Tämä on yleisin menetelmä, jota sovelletaan vuoden 2024 päästöjen määrittämisessä. </v>
      </c>
      <c r="G29" s="1154"/>
      <c r="H29" s="1154"/>
      <c r="I29" s="1154"/>
      <c r="J29" s="1154"/>
      <c r="K29" s="1154"/>
      <c r="L29" s="1154"/>
      <c r="M29" s="1154"/>
      <c r="N29" s="1154"/>
      <c r="O29" s="292"/>
      <c r="P29" s="254"/>
      <c r="Q29" s="59"/>
      <c r="R29" s="60"/>
      <c r="S29" s="37"/>
      <c r="T29" s="37"/>
      <c r="U29" s="37"/>
      <c r="V29" s="37"/>
      <c r="W29" s="37"/>
      <c r="X29" s="37"/>
    </row>
    <row r="30" spans="1:85" ht="102.5" customHeight="1" x14ac:dyDescent="0.25">
      <c r="A30" s="37"/>
      <c r="B30" s="4"/>
      <c r="C30" s="276"/>
      <c r="D30" s="4"/>
      <c r="E30" s="1150"/>
      <c r="F30" s="972" t="str">
        <f>Translations!$B$150</f>
        <v>Mikäli analysointia ei edellytetä tai se ei ole mahdollista vuoden 2024 päästöjen määrittämisessä käytetään päästöjen määrittämisessä vakioarvoja seuraavasti:  
Tilastokeskuksen polttoaineluokitusta käytetään useimpien polttoaineiden kohdalla kuten raskas polttoöljy, maakaasu, nestekaasu ja kivihiili. Tilastokeskuksen polttoaineluokitus: https://stat.fi/tup/khkinv/khkaasut_polttoaineluokitus.html
Energiaviraston julkaisemia kertoimia sovelletaan seuraavissa tilanteissa: 
-Polttoaineet, joille ei ole julkaistu standardiarvoja Tilastokeskuksen polttoaineluokituksessa, esim. propaani, eetterit, lisäaineet ja 2T-moottoriöljy;
-Polttoaineet, joiden kohdalla polttoaineluokituksen mukaiset kertoimet ovat kansallisen keskimääräisen seospolttoaineen kertoimia eli sisältävät esimerkiksi bio-osuuden: moottoribensiini, dieselöljy ja kevyt polttoöljy. 
Valitessasi polttoainevirran laskentakertoimille määrittämistason 2a, antaa Excel-lomake automaattisesti polttoaineelle sovellettavat laskentakertoimet. Varmista kuitenkin sovellettavien kertoimien ja laskennan oikeellisuus. Seospolttoaineille käytetään painotetun päästökertoimen määrittämiseen päästöselvityksen liitettä.</v>
      </c>
      <c r="G30" s="972"/>
      <c r="H30" s="972"/>
      <c r="I30" s="972"/>
      <c r="J30" s="972"/>
      <c r="K30" s="972"/>
      <c r="L30" s="972"/>
      <c r="M30" s="972"/>
      <c r="N30" s="972"/>
      <c r="O30" s="292"/>
      <c r="P30" s="254"/>
      <c r="Q30" s="59"/>
      <c r="R30" s="60"/>
      <c r="S30" s="37"/>
      <c r="T30" s="37"/>
      <c r="U30" s="37"/>
      <c r="V30" s="37"/>
      <c r="W30" s="37"/>
      <c r="X30" s="37"/>
    </row>
    <row r="31" spans="1:85" ht="1.5" customHeight="1" x14ac:dyDescent="0.25">
      <c r="A31" s="37"/>
      <c r="B31" s="4"/>
      <c r="C31" s="276"/>
      <c r="D31" s="4"/>
      <c r="E31" s="1150"/>
      <c r="F31" s="167"/>
      <c r="G31" s="972"/>
      <c r="H31" s="972"/>
      <c r="I31" s="972"/>
      <c r="J31" s="972"/>
      <c r="K31" s="972"/>
      <c r="L31" s="972"/>
      <c r="M31" s="972"/>
      <c r="N31" s="972"/>
      <c r="O31" s="292"/>
      <c r="P31" s="254"/>
      <c r="Q31" s="59"/>
      <c r="R31" s="60"/>
      <c r="S31" s="37"/>
      <c r="T31" s="37"/>
      <c r="U31" s="37"/>
      <c r="V31" s="37"/>
      <c r="W31" s="37"/>
      <c r="X31" s="37"/>
    </row>
    <row r="32" spans="1:85" ht="5.5" customHeight="1" x14ac:dyDescent="0.25">
      <c r="A32" s="37"/>
      <c r="B32" s="4"/>
      <c r="C32" s="276"/>
      <c r="D32" s="4"/>
      <c r="E32" s="281"/>
      <c r="F32" s="1155"/>
      <c r="G32" s="1155"/>
      <c r="H32" s="1155"/>
      <c r="I32" s="1155"/>
      <c r="J32" s="1155"/>
      <c r="K32" s="1155"/>
      <c r="L32" s="1155"/>
      <c r="M32" s="1155"/>
      <c r="N32" s="1155"/>
      <c r="O32" s="292"/>
      <c r="P32" s="254"/>
      <c r="Q32" s="59"/>
      <c r="R32" s="60"/>
      <c r="S32" s="37"/>
      <c r="T32" s="37"/>
      <c r="U32" s="37"/>
      <c r="V32" s="37"/>
      <c r="W32" s="37"/>
      <c r="X32" s="37"/>
    </row>
    <row r="33" spans="1:85" ht="33.5" customHeight="1" x14ac:dyDescent="0.25">
      <c r="A33" s="37"/>
      <c r="B33" s="4"/>
      <c r="C33" s="276"/>
      <c r="D33" s="4"/>
      <c r="E33" s="834" t="str">
        <f>Translations!$B$151</f>
        <v>PÄÄSTÖKERROIN
Määrittämistaso 2b (Vakiintuneet mallit, jos sovellettavissa)</v>
      </c>
      <c r="F33" s="1152" t="str">
        <f>Translations!$B$224</f>
        <v>Tätä määrittämistasoa ei tyypillisesti sovelleta. Empiirisiin korrelaatiokertoimiin perustuva menetelmä, missä polttoaineen päästökertoimet johdetaan eri hiilityyppien tehollisen lämpöarvon perusteella. Empiirinen korrelaatiokerroin määritetään vähintään kerran vuodessa 32–35 artiklojen ja 75 m artiklan mukaisesti.</v>
      </c>
      <c r="G33" s="1152"/>
      <c r="H33" s="1152"/>
      <c r="I33" s="1152"/>
      <c r="J33" s="1152"/>
      <c r="K33" s="1152"/>
      <c r="L33" s="1152"/>
      <c r="M33" s="1152"/>
      <c r="N33" s="1152"/>
      <c r="O33" s="292"/>
      <c r="P33" s="254"/>
      <c r="Q33" s="59"/>
      <c r="R33" s="60"/>
      <c r="S33" s="37"/>
      <c r="T33" s="37"/>
      <c r="U33" s="37"/>
      <c r="V33" s="37"/>
      <c r="W33" s="37"/>
      <c r="X33" s="37"/>
    </row>
    <row r="34" spans="1:85" ht="28.5" customHeight="1" x14ac:dyDescent="0.25">
      <c r="A34" s="37"/>
      <c r="B34" s="4"/>
      <c r="C34" s="276"/>
      <c r="D34" s="4"/>
      <c r="E34" s="836" t="str">
        <f>Translations!$B$152</f>
        <v xml:space="preserve">YKSIKÖN MUUNTOKERROIN
Määrittämistaso 2b (Ostokirjanpito) </v>
      </c>
      <c r="F34" s="1156" t="str">
        <f>Translations!$B$225</f>
        <v>Tätä määrittämistasoa ei tyypillisesti sovelleta. Tehollinen lämpöarvo johdetaan polttoaineen kauppakumppanin toimittamasta ostokirjanpidosta edellyttäen, että se on määritetty hyväksyttyjen kansallisten tai kansainvälisten standardien mukaisesti.</v>
      </c>
      <c r="G34" s="1156"/>
      <c r="H34" s="1156"/>
      <c r="I34" s="1156"/>
      <c r="J34" s="1156"/>
      <c r="K34" s="1156"/>
      <c r="L34" s="1156"/>
      <c r="M34" s="1156"/>
      <c r="N34" s="1156"/>
      <c r="O34" s="292"/>
      <c r="P34" s="254"/>
      <c r="Q34" s="59"/>
      <c r="R34" s="60"/>
      <c r="S34" s="37"/>
      <c r="T34" s="37"/>
      <c r="U34" s="37"/>
      <c r="V34" s="37"/>
      <c r="W34" s="37"/>
      <c r="X34" s="37"/>
    </row>
    <row r="35" spans="1:85" ht="35" customHeight="1" x14ac:dyDescent="0.25">
      <c r="A35" s="37"/>
      <c r="B35" s="4"/>
      <c r="C35" s="276"/>
      <c r="D35" s="4"/>
      <c r="E35" s="244" t="str">
        <f>Translations!$B$153</f>
        <v xml:space="preserve">PÄÄSTÖKERROIN JA YKSIKÖN MUUNTOKERROIN
määrittämistaso 3 (Laboratorioanalyysit) </v>
      </c>
      <c r="F35" s="1156" t="str">
        <f>Translations!$B$226</f>
        <v>Määrittämistasoa sovelletaan polttoainevirtoihin, joiden laskentakertoimet tulee tarkkailuasetuksen mukaisesti määrittää analysoimalla. Mikäli laskentakertoimien määrittämiseen vuodelle 2024 on mahdollista soveltaa tarkkailuasetuksen 32–35 artiklojen mukaista analyysimenetelmää, tulee tätä menetelmää ensisijaisesti käyttää. Mikäli analyysimenetelmä ei ole sovellettavissa, tulee valita yhtä alempi määrittämistaso 2a eli vakiokertoimet.</v>
      </c>
      <c r="G35" s="1156"/>
      <c r="H35" s="1156"/>
      <c r="I35" s="1156"/>
      <c r="J35" s="1156"/>
      <c r="K35" s="1156"/>
      <c r="L35" s="1156"/>
      <c r="M35" s="1156"/>
      <c r="N35" s="1156"/>
      <c r="O35" s="292"/>
      <c r="P35" s="254"/>
      <c r="Q35" s="59"/>
      <c r="R35" s="60"/>
      <c r="S35" s="37"/>
      <c r="T35" s="37"/>
      <c r="U35" s="37"/>
      <c r="V35" s="37"/>
      <c r="W35" s="37"/>
      <c r="X35" s="37"/>
    </row>
    <row r="36" spans="1:85" s="18" customFormat="1" ht="17.5" customHeight="1" x14ac:dyDescent="0.25">
      <c r="A36" s="2"/>
      <c r="B36" s="4"/>
      <c r="C36" s="276"/>
      <c r="D36" s="7"/>
      <c r="E36" s="1149" t="str">
        <f>Translations!$B$154</f>
        <v>BIOMASSAOSUUDEN MÄÄRITTÄMINEN 
Ei määrittämistasoa 
Määrittämistaso 1 (Tyypin I biomassaosuus) (mahdollinen vain biokaasulle)</v>
      </c>
      <c r="F36" s="1066" t="str">
        <f>Translations!$B$155</f>
        <v xml:space="preserve">Valitse polttoainevirran biomassaosuuden määrittämiseen soveltuva määrittämistapa seuraavista: </v>
      </c>
      <c r="G36" s="1066"/>
      <c r="H36" s="1066"/>
      <c r="I36" s="1066"/>
      <c r="J36" s="1066"/>
      <c r="K36" s="1066"/>
      <c r="L36" s="1066"/>
      <c r="M36" s="1066"/>
      <c r="N36" s="1066"/>
      <c r="O36" s="292"/>
      <c r="P36" s="254"/>
      <c r="Q36" s="59"/>
      <c r="R36" s="60"/>
      <c r="S36" s="37"/>
      <c r="T36" s="37"/>
      <c r="U36" s="37"/>
      <c r="V36" s="37"/>
      <c r="W36" s="37"/>
      <c r="X36" s="37"/>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row>
    <row r="37" spans="1:85" ht="12.5" customHeight="1" x14ac:dyDescent="0.25">
      <c r="A37" s="37"/>
      <c r="B37" s="4"/>
      <c r="C37" s="276"/>
      <c r="D37" s="4"/>
      <c r="E37" s="1157"/>
      <c r="F37" s="1160" t="str">
        <f>Translations!$B$371</f>
        <v xml:space="preserve">Polttoainevirran biomassaosuus on 100 % tai ei-kestävän biomassan osuus on 100 %   </v>
      </c>
      <c r="G37" s="1160"/>
      <c r="H37" s="1160"/>
      <c r="I37" s="1160"/>
      <c r="J37" s="1160"/>
      <c r="K37" s="1160"/>
      <c r="L37" s="1160"/>
      <c r="M37" s="1160"/>
      <c r="N37" s="1160"/>
      <c r="O37" s="288"/>
      <c r="P37" s="277"/>
      <c r="Q37" s="59"/>
      <c r="R37" s="60"/>
      <c r="S37" s="37"/>
      <c r="T37" s="37"/>
      <c r="U37" s="37"/>
      <c r="V37" s="37"/>
      <c r="W37" s="37"/>
      <c r="X37" s="37"/>
    </row>
    <row r="38" spans="1:85" ht="33" customHeight="1" x14ac:dyDescent="0.25">
      <c r="A38" s="37"/>
      <c r="B38" s="4"/>
      <c r="C38" s="276"/>
      <c r="D38" s="4"/>
      <c r="E38" s="1157"/>
      <c r="F38" s="972" t="str">
        <f>Translations!$B$156</f>
        <v xml:space="preserve">Kun polttoainevirran biomassaosuus tai ei-kestävän biomassan osuus on 100 % valitse määrittämistasoksi "ei määrittämistasoa" ja arvo-kohtaan 100 %. Kerro polttoainevirran Lisätiedot-kentässä, miten varmistutaan, ettei polttoainevirrassa ole muuta seassa. </v>
      </c>
      <c r="G38" s="972"/>
      <c r="H38" s="972"/>
      <c r="I38" s="972"/>
      <c r="J38" s="972"/>
      <c r="K38" s="972"/>
      <c r="L38" s="972"/>
      <c r="M38" s="972"/>
      <c r="N38" s="972"/>
      <c r="O38" s="292"/>
      <c r="P38" s="254"/>
      <c r="Q38" s="59"/>
      <c r="R38" s="60"/>
      <c r="S38" s="37"/>
      <c r="T38" s="37"/>
      <c r="U38" s="37"/>
      <c r="V38" s="37"/>
      <c r="W38" s="37"/>
      <c r="X38" s="37"/>
    </row>
    <row r="39" spans="1:85" ht="12.5" customHeight="1" x14ac:dyDescent="0.25">
      <c r="A39" s="37"/>
      <c r="B39" s="4"/>
      <c r="C39" s="276"/>
      <c r="D39" s="4"/>
      <c r="E39" s="1157"/>
      <c r="F39" s="1160" t="str">
        <f>Translations!$B$227</f>
        <v xml:space="preserve">Polttoainevirrassa on biomassaosuus mutta se on alle 100% </v>
      </c>
      <c r="G39" s="1160"/>
      <c r="H39" s="1160"/>
      <c r="I39" s="1160"/>
      <c r="J39" s="1160"/>
      <c r="K39" s="1160"/>
      <c r="L39" s="1160"/>
      <c r="M39" s="1160"/>
      <c r="N39" s="1160"/>
      <c r="O39" s="292"/>
      <c r="P39" s="254"/>
      <c r="Q39" s="59"/>
      <c r="R39" s="60"/>
      <c r="S39" s="37"/>
      <c r="T39" s="37"/>
      <c r="U39" s="37"/>
      <c r="V39" s="37"/>
      <c r="W39" s="37"/>
      <c r="X39" s="37"/>
    </row>
    <row r="40" spans="1:85" ht="97" customHeight="1" x14ac:dyDescent="0.25">
      <c r="A40" s="37"/>
      <c r="B40" s="4"/>
      <c r="C40" s="276"/>
      <c r="D40" s="4"/>
      <c r="E40" s="1158"/>
      <c r="F40" s="972" t="str">
        <f>Translations!$B$157</f>
        <v xml:space="preserve">Kun on kyse seospolttoaineesta, valitse määrittämistaso sen mukaisesti, mikä kuvaa parhaiten polttoainevirtaan sovellettavaa määrittämismenetelmää. Anna tarvittaessa polttoainevirran Lisätiedot -kentässä lisätietoja valitusta määrittämistasosta. Seospolttoaineiden laskennassa  tulee käyttää Energiaviraston laatimaa laskentapohjaa, joka on ladattavissa osoitteesta: https://energiavirasto.fi/polttoaineen-paastokauppa#ohjeet_ja_lomakkeet
Liitä laskentapohja päästöselvityksen liitteeksi ETS2-asiointijärjestelmässä. 
Maakaasuverkkoon syötetyn kaasun biokaasuosuuden määrittäminen perustuen toteutuneisiin biokaasuostoihin. 
Menetelmään sovelletaan soveltuvilta osin Energiaviraston yleiseen päästökauppaan laatimaa ohjetta kaasun biomassaosuuden määrittämisen kriteereistä: 
https://energiavirasto.fi/documents/11120570/12803724/Energiaviraston%20ohje%20maakaasuverkkoon%20sy%C3%B6tetyst%C3%A4%20biokaasusta.pdf/35b454e0-28e5-514e-2943-51890f19894c/Energiaviraston%20ohje%20maakaasuverkkoon%20sy%C3%B6tetyst%C3%A4%20biokaasusta.pdf. 
Anna menetelmän soveltamisesta tarvittaessa lisätietoja polttoainevirran Lisätiedot -kentässä.   </v>
      </c>
      <c r="G40" s="972"/>
      <c r="H40" s="972"/>
      <c r="I40" s="972"/>
      <c r="J40" s="972"/>
      <c r="K40" s="972"/>
      <c r="L40" s="972"/>
      <c r="M40" s="972"/>
      <c r="N40" s="972"/>
      <c r="O40" s="292"/>
      <c r="P40" s="254"/>
      <c r="Q40" s="59"/>
      <c r="R40" s="60"/>
      <c r="S40" s="37"/>
      <c r="T40" s="37"/>
      <c r="U40" s="37"/>
      <c r="V40" s="37"/>
      <c r="W40" s="37"/>
      <c r="X40" s="37"/>
    </row>
    <row r="41" spans="1:85" s="18" customFormat="1" ht="13.5" customHeight="1" x14ac:dyDescent="0.25">
      <c r="A41" s="2"/>
      <c r="B41" s="7"/>
      <c r="C41" s="615"/>
      <c r="D41" s="8"/>
      <c r="E41" s="842" t="str">
        <f>Translations!$B$158</f>
        <v>Määrittämistaso 2 (Tyypin II biomassaosuus)</v>
      </c>
      <c r="F41" s="1153" t="str">
        <f>Translations!$B$228</f>
        <v>Tätä määrittämistasoa ei tyypillisesti sovelleta. Biomassaosuus määritetään arviointimenetelmällä 75 m artiklan 3 kohdan toisen alakohdan mukaisesti, ja se toimitetaan toimivaltaisen viranomaisen hyväksyttäväksi.</v>
      </c>
      <c r="G41" s="1153"/>
      <c r="H41" s="1153"/>
      <c r="I41" s="1153"/>
      <c r="J41" s="1153"/>
      <c r="K41" s="1153"/>
      <c r="L41" s="1153"/>
      <c r="M41" s="1153"/>
      <c r="N41" s="1153"/>
      <c r="O41" s="292"/>
      <c r="P41" s="254"/>
      <c r="Q41" s="59"/>
      <c r="R41" s="60"/>
      <c r="S41" s="37"/>
      <c r="T41" s="37"/>
      <c r="U41" s="37"/>
      <c r="V41" s="37"/>
      <c r="W41" s="37"/>
      <c r="X41" s="37"/>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59"/>
      <c r="BR41" s="259"/>
      <c r="BS41" s="259"/>
      <c r="BT41" s="259"/>
      <c r="BU41" s="259"/>
      <c r="BV41" s="259"/>
      <c r="BW41" s="259"/>
      <c r="BX41" s="259"/>
      <c r="BY41" s="259"/>
      <c r="BZ41" s="259"/>
      <c r="CA41" s="259"/>
      <c r="CB41" s="259"/>
      <c r="CC41" s="259"/>
      <c r="CD41" s="259"/>
      <c r="CE41" s="259"/>
      <c r="CF41" s="259"/>
      <c r="CG41" s="259"/>
    </row>
    <row r="42" spans="1:85" s="18" customFormat="1" ht="17.5" customHeight="1" x14ac:dyDescent="0.25">
      <c r="A42" s="2"/>
      <c r="B42" s="7"/>
      <c r="C42" s="615"/>
      <c r="D42" s="8"/>
      <c r="E42" s="842" t="str">
        <f>Translations!$B$159</f>
        <v>Määrittämistaso 3a (Laboratorioanalyysit)</v>
      </c>
      <c r="F42" s="1153" t="str">
        <f>Translations!$B$229</f>
        <v>Tätä määrittämistasoa ei tyypillisesti sovelleta. Biomassaosuus määritetään laboratorioanalyysilla 75 m artiklan 3 kohdan ensimmäisen alakohdan ja 32–35 artiklan mukaisesti.</v>
      </c>
      <c r="G42" s="1153"/>
      <c r="H42" s="1153"/>
      <c r="I42" s="1153"/>
      <c r="J42" s="1153"/>
      <c r="K42" s="1153"/>
      <c r="L42" s="1153"/>
      <c r="M42" s="1153"/>
      <c r="N42" s="1153"/>
      <c r="O42" s="292"/>
      <c r="P42" s="254"/>
      <c r="Q42" s="59"/>
      <c r="R42" s="60"/>
      <c r="S42" s="37"/>
      <c r="T42" s="37"/>
      <c r="U42" s="37"/>
      <c r="V42" s="37"/>
      <c r="W42" s="37"/>
      <c r="X42" s="37"/>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row>
    <row r="43" spans="1:85" s="18" customFormat="1" ht="25.5" customHeight="1" x14ac:dyDescent="0.25">
      <c r="A43" s="2"/>
      <c r="B43" s="7"/>
      <c r="C43" s="615"/>
      <c r="D43" s="8"/>
      <c r="E43" s="844" t="str">
        <f>Translations!$B$230</f>
        <v>Määrittämistaso 3b (Arvio fossiilisen ja bioperäisen hiilen massataseesta)</v>
      </c>
      <c r="F43" s="1159" t="str">
        <f>Translations!$B$231</f>
        <v>Jos polttoaine on peräisin tuotantoprosessista, jonka syöttövirrat on määritelty ja ne ovat jäljitettävissä, arvio biomassaosuudesta voi perustua prosessiin syötettävän ja sieltä poistuvan fossiilisen ja bioperäisen hiilen massataseeseen, kuten kestävyyslaissa (393/2013) tarkoitettuun ainetaseeseen.</v>
      </c>
      <c r="G43" s="1159"/>
      <c r="H43" s="1159"/>
      <c r="I43" s="1159"/>
      <c r="J43" s="1159"/>
      <c r="K43" s="1159"/>
      <c r="L43" s="1159"/>
      <c r="M43" s="1159"/>
      <c r="N43" s="1159"/>
      <c r="O43" s="292"/>
      <c r="P43" s="254"/>
      <c r="Q43" s="59"/>
      <c r="R43" s="60"/>
      <c r="S43" s="37"/>
      <c r="T43" s="37"/>
      <c r="U43" s="37"/>
      <c r="V43" s="37"/>
      <c r="W43" s="37"/>
      <c r="X43" s="37"/>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row>
    <row r="44" spans="1:85" s="18" customFormat="1" ht="46" customHeight="1" x14ac:dyDescent="0.25">
      <c r="A44" s="2"/>
      <c r="B44" s="7"/>
      <c r="C44" s="832"/>
      <c r="D44" s="8"/>
      <c r="E44" s="165" t="str">
        <f>Translations!$B$372</f>
        <v>CRF-luokka</v>
      </c>
      <c r="F44" s="1151" t="str">
        <f>Translations!$B$373</f>
        <v xml:space="preserve">CRF-luokituksen mukainen toimiala, missä polttoaineen loppukäyttö tapahtuu. CRF-luokka ilmoitetaan niille polttoainevirroille tai polttoainevirtojen osuuksille, jota eivät ole vuotta 2024 koskevan raportointivelvoitteen piirissä eli niille, joiden soveltamisalakerroin on &lt;1. Nämä raportointivelvoitteen ulkopuolisten toimialojen CRF-luokat ovat luokan alasvetovalikossa kunkin polttoainevirran kohdalla. Voit valita polttoainevirralle tarvittaessa useamman CRF-luokan. Mikäli soveltamisalakerroin on alle 1 mutta polttoaineen loppukäytön toimiala ei ole tiedossa, valitse valikosta 'Tuntematon'. 
Mikäli polttoainevirran soveltamisalakerroin on 1, eli polttoainevirran loppukäyttö tapahtuu kokonaisuudessaan raportoinnin piirissä olevilla sektoreilla, ei CRF-luokkaa raportoida.  </v>
      </c>
      <c r="G44" s="1151"/>
      <c r="H44" s="1151"/>
      <c r="I44" s="1151"/>
      <c r="J44" s="1151"/>
      <c r="K44" s="1151"/>
      <c r="L44" s="1151"/>
      <c r="M44" s="1151"/>
      <c r="N44" s="1151"/>
      <c r="O44" s="292"/>
      <c r="P44" s="254"/>
      <c r="Q44" s="59"/>
      <c r="R44" s="60"/>
      <c r="S44" s="37"/>
      <c r="T44" s="37"/>
      <c r="U44" s="37"/>
      <c r="V44" s="37"/>
      <c r="W44" s="37"/>
      <c r="X44" s="37"/>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59"/>
      <c r="BR44" s="259"/>
      <c r="BS44" s="259"/>
      <c r="BT44" s="259"/>
      <c r="BU44" s="259"/>
      <c r="BV44" s="259"/>
      <c r="BW44" s="259"/>
      <c r="BX44" s="259"/>
      <c r="BY44" s="259"/>
      <c r="BZ44" s="259"/>
      <c r="CA44" s="259"/>
      <c r="CB44" s="259"/>
      <c r="CC44" s="259"/>
      <c r="CD44" s="259"/>
      <c r="CE44" s="259"/>
      <c r="CF44" s="259"/>
      <c r="CG44" s="259"/>
    </row>
    <row r="45" spans="1:85" ht="12.75" customHeight="1" thickBot="1" x14ac:dyDescent="0.3">
      <c r="A45" s="318"/>
      <c r="B45" s="22"/>
      <c r="C45" s="319"/>
      <c r="D45" s="320"/>
      <c r="E45" s="321"/>
      <c r="F45" s="319"/>
      <c r="G45" s="322"/>
      <c r="H45" s="322"/>
      <c r="I45" s="322"/>
      <c r="J45" s="322"/>
      <c r="K45" s="322"/>
      <c r="L45" s="322"/>
      <c r="M45" s="322"/>
      <c r="N45" s="322"/>
      <c r="O45" s="323"/>
      <c r="P45" s="301"/>
      <c r="Q45" s="23"/>
      <c r="R45" s="23"/>
      <c r="S45" s="41"/>
      <c r="T45" s="41"/>
      <c r="U45" s="324"/>
      <c r="V45" s="41"/>
      <c r="W45" s="41"/>
      <c r="X45" s="324"/>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325"/>
      <c r="BN45" s="325"/>
      <c r="BO45" s="325"/>
      <c r="BP45" s="325"/>
      <c r="BQ45" s="325"/>
      <c r="BR45" s="325"/>
      <c r="BS45" s="325"/>
      <c r="BT45" s="325"/>
      <c r="BU45" s="41"/>
      <c r="BV45" s="41"/>
      <c r="BW45" s="41"/>
      <c r="BX45" s="41"/>
      <c r="BY45" s="41"/>
      <c r="BZ45" s="41"/>
      <c r="CA45" s="41"/>
      <c r="CB45" s="41"/>
      <c r="CC45" s="41"/>
      <c r="CD45" s="41"/>
      <c r="CE45" s="41"/>
      <c r="CF45" s="41"/>
      <c r="CG45" s="41"/>
    </row>
    <row r="46" spans="1:85" ht="12.75" customHeight="1" thickBot="1" x14ac:dyDescent="0.3">
      <c r="A46" s="326"/>
      <c r="B46" s="22"/>
      <c r="C46" s="22"/>
      <c r="D46" s="327"/>
      <c r="E46" s="328"/>
      <c r="F46" s="22"/>
      <c r="G46" s="1"/>
      <c r="H46" s="1"/>
      <c r="I46" s="1"/>
      <c r="J46" s="1"/>
      <c r="K46" s="22"/>
      <c r="L46" s="1"/>
      <c r="M46" s="1"/>
      <c r="N46" s="1"/>
      <c r="O46" s="323"/>
      <c r="P46" s="301"/>
      <c r="Q46" s="23"/>
      <c r="R46" s="23"/>
      <c r="S46" s="2"/>
      <c r="T46" s="20" t="str">
        <f>IF(ISBLANK(E47),"",MATCH(E47,CNTR_SourceStreamNames,0))</f>
        <v/>
      </c>
      <c r="U46" s="329" t="str">
        <f>IF(ISBLANK(E47),"",INDEX('B_Polttoainevirtojen tiedot'!$D$67:$D$91,MATCH(E47,CNTR_SourceStreamNames,0)))</f>
        <v/>
      </c>
      <c r="V46" s="60"/>
      <c r="W46" s="37"/>
      <c r="X46" s="37"/>
      <c r="Y46" s="37"/>
      <c r="Z46" s="41"/>
      <c r="AA46" s="41"/>
      <c r="AB46" s="41"/>
      <c r="AC46" s="41"/>
      <c r="AD46" s="41"/>
      <c r="AE46" s="41"/>
      <c r="AF46" s="41"/>
      <c r="AG46" s="41"/>
      <c r="AH46" s="41"/>
      <c r="AI46" s="41"/>
      <c r="AJ46" s="41"/>
      <c r="AK46" s="23"/>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30" t="s">
        <v>94</v>
      </c>
    </row>
    <row r="47" spans="1:85" ht="15" customHeight="1" thickBot="1" x14ac:dyDescent="0.3">
      <c r="A47" s="331">
        <f>C47</f>
        <v>1</v>
      </c>
      <c r="B47" s="21"/>
      <c r="C47" s="332">
        <v>1</v>
      </c>
      <c r="D47" s="21"/>
      <c r="E47" s="1117"/>
      <c r="F47" s="1118"/>
      <c r="G47" s="1118"/>
      <c r="H47" s="1118"/>
      <c r="I47" s="1118"/>
      <c r="J47" s="1119"/>
      <c r="K47" s="1138" t="str">
        <f>IF(INDEX('B_Polttoainevirtojen tiedot'!$K$100:$K$124,MATCH(U46,'B_Polttoainevirtojen tiedot'!$D$100:$D$124,0))&gt;0,INDEX('B_Polttoainevirtojen tiedot'!$K$100:$K$124,MATCH(U46,'B_Polttoainevirtojen tiedot'!$D$100:$D$124,0)),"")</f>
        <v/>
      </c>
      <c r="L47" s="1139"/>
      <c r="M47" s="328" t="str">
        <f>Translations!$B$374</f>
        <v>CO2 fossiilinen:</v>
      </c>
      <c r="N47" s="401" t="str">
        <f>IF(E48="","",BG53)</f>
        <v/>
      </c>
      <c r="O47" s="333" t="str">
        <f>EUconst_tCO2</f>
        <v>tCO2</v>
      </c>
      <c r="P47" s="610" t="str">
        <f>IF(AND(E47&lt;&gt;"",COUNTIF(P48:$P$811,"PRINT")=0),"PRINT","")</f>
        <v/>
      </c>
      <c r="Q47" s="335" t="str">
        <f>EUconst_SumCO2</f>
        <v>SUM_CO2</v>
      </c>
      <c r="R47" s="23"/>
      <c r="S47" s="2"/>
      <c r="T47" s="2"/>
      <c r="U47" s="2"/>
      <c r="V47" s="60"/>
      <c r="W47" s="37"/>
      <c r="X47" s="41"/>
      <c r="Y47" s="41"/>
      <c r="Z47" s="41"/>
      <c r="AA47" s="41"/>
      <c r="AB47" s="41"/>
      <c r="AC47" s="41"/>
      <c r="AD47" s="41"/>
      <c r="AE47" s="41"/>
      <c r="AF47" s="41"/>
      <c r="AG47" s="41"/>
      <c r="AH47" s="41"/>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483" t="str">
        <f>IF(E47="","",E47)</f>
        <v/>
      </c>
      <c r="BJ47" s="338" t="str">
        <f>IF(F53="","",F53)</f>
        <v/>
      </c>
      <c r="BK47" s="485">
        <f>AV53</f>
        <v>0</v>
      </c>
      <c r="BL47" s="485">
        <f>IF(BK47="","",BK47*(1-BP47))</f>
        <v>0</v>
      </c>
      <c r="BM47" s="338" t="str">
        <f>AJ53</f>
        <v/>
      </c>
      <c r="BN47" s="338" t="str">
        <f>IF(F60="","",F60)</f>
        <v/>
      </c>
      <c r="BO47" s="483" t="str">
        <f>IF(G60="","",G60)</f>
        <v/>
      </c>
      <c r="BP47" s="484">
        <f>AV60</f>
        <v>0</v>
      </c>
      <c r="BQ47" s="338" t="str">
        <f>IF(F56="","",F56)</f>
        <v/>
      </c>
      <c r="BR47" s="484">
        <f>AV56</f>
        <v>0</v>
      </c>
      <c r="BS47" s="484" t="str">
        <f>AJ56</f>
        <v/>
      </c>
      <c r="BT47" s="338" t="str">
        <f>IF(F55="","",F55)</f>
        <v/>
      </c>
      <c r="BU47" s="484">
        <f>IF(F55=EUconst_NA,"",AV55)</f>
        <v>0</v>
      </c>
      <c r="BV47" s="484" t="str">
        <f>AJ55</f>
        <v/>
      </c>
      <c r="BW47" s="338" t="str">
        <f>IF(F57="","",F57)</f>
        <v/>
      </c>
      <c r="BX47" s="484">
        <f>AV57</f>
        <v>0</v>
      </c>
      <c r="BY47" s="338" t="str">
        <f>IF(F58="","",F58)</f>
        <v/>
      </c>
      <c r="BZ47" s="484">
        <f>AV58</f>
        <v>0</v>
      </c>
      <c r="CA47" s="485" t="str">
        <f>N47</f>
        <v/>
      </c>
      <c r="CB47" s="485" t="str">
        <f>N48</f>
        <v/>
      </c>
      <c r="CC47" s="485" t="str">
        <f>R50</f>
        <v/>
      </c>
      <c r="CD47" s="485" t="str">
        <f>R52</f>
        <v/>
      </c>
      <c r="CE47" s="485" t="str">
        <f>R53</f>
        <v/>
      </c>
      <c r="CF47" s="37"/>
      <c r="CG47" s="339" t="b">
        <v>0</v>
      </c>
    </row>
    <row r="48" spans="1:85" ht="15" customHeight="1" thickBot="1" x14ac:dyDescent="0.3">
      <c r="A48" s="318"/>
      <c r="B48" s="21"/>
      <c r="C48" s="21"/>
      <c r="D48" s="21"/>
      <c r="E48" s="1127" t="str">
        <f>IF(ISBLANK(E47),"",IF(INDEX('B_Polttoainevirtojen tiedot'!$E$67:$E$91,MATCH(U46,'B_Polttoainevirtojen tiedot'!$D$67:$D$91,0))&gt;0,INDEX('B_Polttoainevirtojen tiedot'!$E$67:$E$91,MATCH(U46,'B_Polttoainevirtojen tiedot'!$D$67:$D$91,0)),""))</f>
        <v/>
      </c>
      <c r="F48" s="1128"/>
      <c r="G48" s="1128"/>
      <c r="H48" s="1128"/>
      <c r="I48" s="1128"/>
      <c r="J48" s="1129"/>
      <c r="K48" s="1138" t="str">
        <f>IF(INDEX('B_Polttoainevirtojen tiedot'!$M$100:$M$124,MATCH(U46,'B_Polttoainevirtojen tiedot'!$D$100:$D$124,0))&gt;0,INDEX('B_Polttoainevirtojen tiedot'!$M$100:$M$124,MATCH(U46,'B_Polttoainevirtojen tiedot'!$D$100:$D$124,0)),"")</f>
        <v/>
      </c>
      <c r="L48" s="1139"/>
      <c r="M48" s="340" t="str">
        <f>Translations!$B$375</f>
        <v>CO2 bio:</v>
      </c>
      <c r="N48" s="482" t="str">
        <f>IF(E48="","",BG55)</f>
        <v/>
      </c>
      <c r="O48" s="341" t="str">
        <f>EUconst_tCO2</f>
        <v>tCO2</v>
      </c>
      <c r="P48" s="301"/>
      <c r="Q48" s="335" t="str">
        <f>EUconst_SumBioCO2</f>
        <v>SUM_bioCO2</v>
      </c>
      <c r="R48" s="23"/>
      <c r="S48" s="2"/>
      <c r="T48" s="2"/>
      <c r="U48" s="2"/>
      <c r="V48" s="60"/>
      <c r="W48" s="37"/>
      <c r="X48" s="41"/>
      <c r="Y48" s="20" t="str">
        <f>Translations!$B$143</f>
        <v>Määrittämistasot</v>
      </c>
      <c r="Z48" s="325"/>
      <c r="AA48" s="325"/>
      <c r="AB48" s="325"/>
      <c r="AC48" s="325"/>
      <c r="AD48" s="325"/>
      <c r="AE48" s="20" t="s">
        <v>95</v>
      </c>
      <c r="AF48" s="41"/>
      <c r="AG48" s="342"/>
      <c r="AH48" s="325"/>
      <c r="AI48" s="325"/>
      <c r="AJ48" s="342"/>
      <c r="AK48" s="342"/>
      <c r="AL48" s="337"/>
      <c r="AM48" s="337"/>
      <c r="AN48" s="337"/>
      <c r="AO48" s="337"/>
      <c r="AP48" s="337"/>
      <c r="AQ48" s="20" t="s">
        <v>96</v>
      </c>
      <c r="AR48" s="343"/>
      <c r="AS48" s="343"/>
      <c r="AT48" s="325"/>
      <c r="AU48" s="325"/>
      <c r="AV48" s="325"/>
      <c r="AW48" s="325"/>
      <c r="AX48" s="325"/>
      <c r="AY48" s="325"/>
      <c r="AZ48" s="20" t="s">
        <v>97</v>
      </c>
      <c r="BA48" s="325"/>
      <c r="BB48" s="325"/>
      <c r="BC48" s="325"/>
      <c r="BD48" s="325"/>
      <c r="BE48" s="325"/>
      <c r="BF48" s="20" t="s">
        <v>98</v>
      </c>
      <c r="BG48" s="325"/>
      <c r="BH48" s="325"/>
      <c r="BI48" s="20" t="s">
        <v>99</v>
      </c>
      <c r="BJ48" s="338" t="str">
        <f>Translations!$B$376</f>
        <v>RFA-määrittämistaso</v>
      </c>
      <c r="BK48" s="338" t="str">
        <f>Translations!$B$377</f>
        <v>RFA</v>
      </c>
      <c r="BL48" s="338" t="str">
        <f>Translations!$B$378</f>
        <v>RFA (SF:n jälkeen)</v>
      </c>
      <c r="BM48" s="338" t="str">
        <f>Translations!$B$379</f>
        <v>RFA-yksikkö</v>
      </c>
      <c r="BN48" s="338" t="str">
        <f>Translations!$B$380</f>
        <v>SF-määrittämistaso</v>
      </c>
      <c r="BO48" s="338" t="str">
        <f>Translations!$B$380</f>
        <v>SF-määrittämistaso</v>
      </c>
      <c r="BP48" s="338" t="str">
        <f>Translations!$B$381</f>
        <v>SF</v>
      </c>
      <c r="BQ48" s="338" t="str">
        <f>Translations!$B$382</f>
        <v>EF-määrittämistaso</v>
      </c>
      <c r="BR48" s="338" t="str">
        <f>Translations!$B$383</f>
        <v>EF</v>
      </c>
      <c r="BS48" s="338" t="str">
        <f>Translations!$B$384</f>
        <v>EF-yksikkö</v>
      </c>
      <c r="BT48" s="338" t="str">
        <f>Translations!$B$385</f>
        <v>UCF-määrittämistaso</v>
      </c>
      <c r="BU48" s="338" t="str">
        <f>Translations!$B$386</f>
        <v>UCF</v>
      </c>
      <c r="BV48" s="338" t="str">
        <f>Translations!$B$387</f>
        <v>UCF-yksikkö</v>
      </c>
      <c r="BW48" s="338" t="str">
        <f>Translations!$B$388</f>
        <v>Bio-määrittämistaso</v>
      </c>
      <c r="BX48" s="338" t="s">
        <v>100</v>
      </c>
      <c r="BY48" s="338" t="str">
        <f>Translations!$B$389</f>
        <v>NonSustBio-määrittämistaso</v>
      </c>
      <c r="BZ48" s="338" t="s">
        <v>101</v>
      </c>
      <c r="CA48" s="338" t="str">
        <f>Translations!$B$390</f>
        <v>CO2 fossil</v>
      </c>
      <c r="CB48" s="338" t="str">
        <f>Translations!$B$391</f>
        <v>CO2 bio</v>
      </c>
      <c r="CC48" s="338" t="str">
        <f>Translations!$B$392</f>
        <v>CO2 non-sust</v>
      </c>
      <c r="CD48" s="338" t="s">
        <v>102</v>
      </c>
      <c r="CE48" s="338" t="s">
        <v>103</v>
      </c>
      <c r="CF48" s="325"/>
      <c r="CG48" s="325"/>
    </row>
    <row r="49" spans="1:85" ht="5.15" customHeight="1" thickBot="1" x14ac:dyDescent="0.3">
      <c r="A49" s="318"/>
      <c r="B49" s="21"/>
      <c r="C49" s="21"/>
      <c r="D49" s="21"/>
      <c r="E49" s="21"/>
      <c r="F49" s="21"/>
      <c r="G49" s="21"/>
      <c r="H49" s="22"/>
      <c r="I49" s="22"/>
      <c r="J49" s="22"/>
      <c r="K49" s="22"/>
      <c r="L49" s="22"/>
      <c r="M49" s="22"/>
      <c r="N49" s="22"/>
      <c r="O49" s="323"/>
      <c r="P49" s="301"/>
      <c r="Q49" s="23"/>
      <c r="R49" s="23"/>
      <c r="S49" s="2"/>
      <c r="T49" s="2"/>
      <c r="U49" s="2"/>
      <c r="V49" s="60"/>
      <c r="W49" s="325"/>
      <c r="X49" s="325"/>
      <c r="Y49" s="23"/>
      <c r="Z49" s="325"/>
      <c r="AA49" s="325"/>
      <c r="AB49" s="325"/>
      <c r="AC49" s="325"/>
      <c r="AD49" s="325"/>
      <c r="AE49" s="325"/>
      <c r="AF49" s="41"/>
      <c r="AG49" s="325"/>
      <c r="AH49" s="325"/>
      <c r="AI49" s="325"/>
      <c r="AJ49" s="342"/>
      <c r="AK49" s="342"/>
      <c r="AL49" s="337"/>
      <c r="AM49" s="337"/>
      <c r="AN49" s="337"/>
      <c r="AO49" s="337"/>
      <c r="AP49" s="337"/>
      <c r="AQ49" s="325"/>
      <c r="AR49" s="325"/>
      <c r="AS49" s="325"/>
      <c r="AT49" s="325"/>
      <c r="AU49" s="325"/>
      <c r="AV49" s="325"/>
      <c r="AW49" s="325"/>
      <c r="AX49" s="325"/>
      <c r="AY49" s="325"/>
      <c r="AZ49" s="325"/>
      <c r="BA49" s="325"/>
      <c r="BB49" s="325"/>
      <c r="BC49" s="325"/>
      <c r="BD49" s="325"/>
      <c r="BE49" s="325"/>
      <c r="BF49" s="325"/>
      <c r="BG49" s="325"/>
      <c r="BH49" s="325"/>
      <c r="BI49" s="325"/>
      <c r="BJ49" s="325"/>
      <c r="BK49" s="325"/>
      <c r="BL49" s="325"/>
      <c r="BM49" s="325"/>
      <c r="BN49" s="325"/>
      <c r="BO49" s="325"/>
      <c r="BP49" s="325"/>
      <c r="BQ49" s="325"/>
      <c r="BR49" s="325"/>
      <c r="BS49" s="325"/>
      <c r="BT49" s="325"/>
      <c r="BU49" s="325"/>
      <c r="BV49" s="325"/>
      <c r="BW49" s="325"/>
      <c r="BX49" s="325"/>
      <c r="BY49" s="325"/>
      <c r="BZ49" s="325"/>
      <c r="CA49" s="325"/>
      <c r="CB49" s="325"/>
      <c r="CC49" s="325"/>
      <c r="CD49" s="325"/>
      <c r="CE49" s="325"/>
      <c r="CF49" s="325"/>
      <c r="CG49" s="325"/>
    </row>
    <row r="50" spans="1:85" ht="12.75" customHeight="1" thickBot="1" x14ac:dyDescent="0.3">
      <c r="A50" s="318"/>
      <c r="B50" s="21"/>
      <c r="C50" s="21"/>
      <c r="D50" s="21"/>
      <c r="E50" s="1140" t="str">
        <f>IF(E47="","",HYPERLINK("#JUMP_E_Top",EUconst_FurtherGuidancePoint1))</f>
        <v/>
      </c>
      <c r="F50" s="1140"/>
      <c r="G50" s="1140"/>
      <c r="H50" s="1140"/>
      <c r="I50" s="1140"/>
      <c r="J50" s="1140"/>
      <c r="K50" s="1140"/>
      <c r="L50" s="1140"/>
      <c r="M50" s="1140"/>
      <c r="N50" s="22"/>
      <c r="O50" s="323"/>
      <c r="P50" s="301"/>
      <c r="Q50" s="335" t="str">
        <f>EUconst_SumNonSustBioCO2</f>
        <v>SUM_bioNonSustCO2</v>
      </c>
      <c r="R50" s="500" t="str">
        <f>IF(E48="","",BG56)</f>
        <v/>
      </c>
      <c r="S50" s="2"/>
      <c r="T50" s="2"/>
      <c r="U50" s="2"/>
      <c r="V50" s="325"/>
      <c r="W50" s="325"/>
      <c r="X50" s="325"/>
      <c r="Y50" s="41"/>
      <c r="Z50" s="325"/>
      <c r="AA50" s="325"/>
      <c r="AB50" s="325"/>
      <c r="AC50" s="325"/>
      <c r="AD50" s="325"/>
      <c r="AE50" s="325"/>
      <c r="AF50" s="41"/>
      <c r="AG50" s="325"/>
      <c r="AH50" s="325"/>
      <c r="AI50" s="325"/>
      <c r="AJ50" s="342"/>
      <c r="AK50" s="342"/>
      <c r="AL50" s="337"/>
      <c r="AM50" s="337"/>
      <c r="AN50" s="337"/>
      <c r="AO50" s="337"/>
      <c r="AP50" s="337"/>
      <c r="AQ50" s="325"/>
      <c r="AR50" s="325"/>
      <c r="AS50" s="325"/>
      <c r="AT50" s="325"/>
      <c r="AU50" s="325"/>
      <c r="AV50" s="325"/>
      <c r="AW50" s="325"/>
      <c r="AX50" s="325"/>
      <c r="AY50" s="325"/>
      <c r="AZ50" s="325"/>
      <c r="BA50" s="325"/>
      <c r="BB50" s="325"/>
      <c r="BC50" s="325"/>
      <c r="BD50" s="325"/>
      <c r="BE50" s="325"/>
      <c r="BF50" s="325"/>
      <c r="BG50" s="325"/>
      <c r="BH50" s="325"/>
      <c r="BI50" s="20" t="s">
        <v>104</v>
      </c>
      <c r="BJ50" s="343"/>
      <c r="BK50" s="483" t="str">
        <f>IF(G64="","",G64)</f>
        <v/>
      </c>
      <c r="BL50" s="483" t="str">
        <f>IF(I64="","",I64)</f>
        <v/>
      </c>
      <c r="BM50" s="483" t="str">
        <f>IF(K64="","",K64)</f>
        <v/>
      </c>
      <c r="BN50" s="325"/>
      <c r="BO50" s="325"/>
      <c r="BP50" s="325"/>
      <c r="BQ50" s="325"/>
      <c r="BR50" s="325"/>
      <c r="BS50" s="325"/>
      <c r="BT50" s="330"/>
      <c r="BU50" s="325"/>
      <c r="BV50" s="325"/>
      <c r="BW50" s="325"/>
      <c r="BX50" s="325"/>
      <c r="BY50" s="325"/>
      <c r="BZ50" s="325"/>
      <c r="CA50" s="325"/>
      <c r="CB50" s="325"/>
      <c r="CC50" s="325"/>
      <c r="CD50" s="325"/>
      <c r="CE50" s="325"/>
      <c r="CF50" s="325"/>
      <c r="CG50" s="325"/>
    </row>
    <row r="51" spans="1:85" ht="5.15" customHeight="1" thickBot="1" x14ac:dyDescent="0.3">
      <c r="A51" s="318"/>
      <c r="B51" s="21"/>
      <c r="C51" s="21"/>
      <c r="D51" s="21"/>
      <c r="E51" s="21"/>
      <c r="F51" s="21"/>
      <c r="G51" s="21"/>
      <c r="H51" s="22"/>
      <c r="I51" s="22"/>
      <c r="J51" s="22"/>
      <c r="K51" s="22"/>
      <c r="L51" s="22"/>
      <c r="M51" s="22"/>
      <c r="N51" s="22"/>
      <c r="O51" s="323"/>
      <c r="P51" s="259"/>
      <c r="Q51" s="2"/>
      <c r="R51" s="259"/>
      <c r="S51" s="2"/>
      <c r="T51" s="2"/>
      <c r="U51" s="2"/>
      <c r="V51" s="325"/>
      <c r="W51" s="325"/>
      <c r="X51" s="325"/>
      <c r="Y51" s="23"/>
      <c r="Z51" s="325"/>
      <c r="AA51" s="325"/>
      <c r="AB51" s="325"/>
      <c r="AC51" s="325"/>
      <c r="AD51" s="325"/>
      <c r="AE51" s="325"/>
      <c r="AF51" s="41"/>
      <c r="AG51" s="325"/>
      <c r="AH51" s="325"/>
      <c r="AI51" s="325"/>
      <c r="AJ51" s="342"/>
      <c r="AK51" s="342"/>
      <c r="AL51" s="337"/>
      <c r="AM51" s="337"/>
      <c r="AN51" s="337"/>
      <c r="AO51" s="337"/>
      <c r="AP51" s="337"/>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5"/>
      <c r="BR51" s="325"/>
      <c r="BS51" s="325"/>
      <c r="BT51" s="325"/>
      <c r="BU51" s="325"/>
      <c r="BV51" s="325"/>
      <c r="BW51" s="325"/>
      <c r="BX51" s="325"/>
      <c r="BY51" s="325"/>
      <c r="BZ51" s="325"/>
      <c r="CA51" s="325"/>
      <c r="CB51" s="325"/>
      <c r="CC51" s="325"/>
      <c r="CD51" s="325"/>
      <c r="CE51" s="325"/>
      <c r="CF51" s="325"/>
      <c r="CG51" s="325"/>
    </row>
    <row r="52" spans="1:85" ht="12.75" customHeight="1" thickBot="1" x14ac:dyDescent="0.3">
      <c r="A52" s="318"/>
      <c r="B52" s="21"/>
      <c r="C52" s="21"/>
      <c r="D52" s="21"/>
      <c r="E52" s="21"/>
      <c r="F52" s="347" t="str">
        <f>Translations!$B$127</f>
        <v>Määrittämistaso</v>
      </c>
      <c r="G52" s="1141" t="str">
        <f>Translations!$B$393</f>
        <v>määrittämistason kuvaus</v>
      </c>
      <c r="H52" s="1141"/>
      <c r="I52" s="1142" t="str">
        <f>Translations!$B$394</f>
        <v>Yksikkö</v>
      </c>
      <c r="J52" s="1142"/>
      <c r="K52" s="1142" t="str">
        <f>Translations!$B$395</f>
        <v>Arvo</v>
      </c>
      <c r="L52" s="1142"/>
      <c r="M52" s="327" t="str">
        <f>Translations!$B$396</f>
        <v>virhe</v>
      </c>
      <c r="N52" s="22"/>
      <c r="O52" s="323"/>
      <c r="P52" s="611"/>
      <c r="Q52" s="335" t="str">
        <f>EUconst_SumEnergyIN</f>
        <v>SUM_EnergyIN</v>
      </c>
      <c r="R52" s="501" t="str">
        <f>IF(E48="","",BG57)</f>
        <v/>
      </c>
      <c r="S52" s="325"/>
      <c r="T52" s="325"/>
      <c r="U52" s="325"/>
      <c r="V52" s="336" t="s">
        <v>105</v>
      </c>
      <c r="W52" s="325"/>
      <c r="X52" s="325"/>
      <c r="Y52" s="23" t="s">
        <v>106</v>
      </c>
      <c r="Z52" s="23" t="s">
        <v>107</v>
      </c>
      <c r="AA52" s="325"/>
      <c r="AB52" s="325"/>
      <c r="AC52" s="343" t="s">
        <v>108</v>
      </c>
      <c r="AD52" s="325"/>
      <c r="AE52" s="325"/>
      <c r="AF52" s="325" t="s">
        <v>109</v>
      </c>
      <c r="AG52" s="325" t="s">
        <v>110</v>
      </c>
      <c r="AH52" s="23" t="s">
        <v>111</v>
      </c>
      <c r="AI52" s="342" t="s">
        <v>112</v>
      </c>
      <c r="AJ52" s="342" t="s">
        <v>113</v>
      </c>
      <c r="AK52" s="348" t="s">
        <v>114</v>
      </c>
      <c r="AL52" s="337"/>
      <c r="AM52" s="337"/>
      <c r="AN52" s="337"/>
      <c r="AO52" s="337"/>
      <c r="AP52" s="337"/>
      <c r="AQ52" s="325"/>
      <c r="AR52" s="325" t="s">
        <v>109</v>
      </c>
      <c r="AS52" s="325" t="s">
        <v>110</v>
      </c>
      <c r="AT52" s="349" t="s">
        <v>115</v>
      </c>
      <c r="AU52" s="342" t="s">
        <v>116</v>
      </c>
      <c r="AV52" s="342" t="s">
        <v>117</v>
      </c>
      <c r="AW52" s="348" t="s">
        <v>114</v>
      </c>
      <c r="AX52" s="348" t="s">
        <v>114</v>
      </c>
      <c r="AY52" s="325"/>
      <c r="AZ52" s="325"/>
      <c r="BA52" s="325"/>
      <c r="BB52" s="325" t="s">
        <v>118</v>
      </c>
      <c r="BC52" s="325"/>
      <c r="BD52" s="325"/>
      <c r="BE52" s="325"/>
      <c r="BF52" s="325"/>
      <c r="BG52" s="330" t="str">
        <f>EUconst_Fuel</f>
        <v>Poltto</v>
      </c>
      <c r="BH52" s="325"/>
      <c r="BI52" s="325"/>
      <c r="BJ52" s="325"/>
      <c r="BK52" s="325"/>
      <c r="BL52" s="325"/>
      <c r="BM52" s="325"/>
      <c r="BN52" s="325"/>
      <c r="BO52" s="325"/>
      <c r="BP52" s="325"/>
      <c r="BQ52" s="325"/>
      <c r="BR52" s="325"/>
      <c r="BS52" s="325"/>
      <c r="BT52" s="325"/>
      <c r="BU52" s="325"/>
      <c r="BV52" s="325"/>
      <c r="BW52" s="325"/>
      <c r="BX52" s="325"/>
      <c r="BY52" s="325"/>
      <c r="BZ52" s="325"/>
      <c r="CA52" s="325"/>
      <c r="CB52" s="325"/>
      <c r="CC52" s="325"/>
      <c r="CD52" s="325"/>
      <c r="CE52" s="325"/>
      <c r="CF52" s="325"/>
      <c r="CG52" s="330" t="s">
        <v>94</v>
      </c>
    </row>
    <row r="53" spans="1:85" ht="12.75" customHeight="1" thickBot="1" x14ac:dyDescent="0.3">
      <c r="A53" s="318"/>
      <c r="B53" s="21"/>
      <c r="C53" s="818"/>
      <c r="D53" s="345" t="str">
        <f>Translations!$B$356</f>
        <v>Polttoaineen määrä:</v>
      </c>
      <c r="E53" s="350"/>
      <c r="F53" s="351"/>
      <c r="G53" s="1120" t="str">
        <f>IF(OR(ISBLANK(F53),F53=EUconst_NoTier),"",IF(Z53=0,EUconst_NA,IF(ISERROR(Z53),"",Z53)))</f>
        <v/>
      </c>
      <c r="H53" s="1122"/>
      <c r="I53" s="352" t="str">
        <f>IF(J53&lt;&gt;"","",AI53)</f>
        <v/>
      </c>
      <c r="J53" s="353"/>
      <c r="K53" s="1143"/>
      <c r="L53" s="1144"/>
      <c r="M53" s="486" t="str">
        <f>IF(AND(E48&lt;&gt;"",OR(F53="",COUNT(K53)=0),Y53&lt;&gt;EUconst_NA),EUconst_ERR_Incomplete,"")</f>
        <v/>
      </c>
      <c r="N53" s="22"/>
      <c r="O53" s="323"/>
      <c r="P53" s="612"/>
      <c r="Q53" s="335" t="str">
        <f>EUconst_SumBioEnergyIN</f>
        <v>SUM_BioEnergyIN</v>
      </c>
      <c r="R53" s="501" t="str">
        <f>IF(E48="","",BG58)</f>
        <v/>
      </c>
      <c r="S53" s="325"/>
      <c r="T53" s="355" t="str">
        <f>EUconst_CNTR_ActivityData&amp;E48</f>
        <v>ActivityData_</v>
      </c>
      <c r="U53" s="23"/>
      <c r="V53" s="355" t="str">
        <f>IF(E47="","",INDEX('B_Polttoainevirtojen tiedot'!$I$67:$I$91,MATCH(U46,'B_Polttoainevirtojen tiedot'!$D$67:$D$91,0)))</f>
        <v/>
      </c>
      <c r="W53" s="342" t="s">
        <v>121</v>
      </c>
      <c r="X53" s="23"/>
      <c r="Y53" s="356" t="str">
        <f>IF(E48="","",INDEX(EUwideConstants!$P$153:$P$180,MATCH(T53,EUwideConstants!$S$153:$S$180,0)))</f>
        <v/>
      </c>
      <c r="Z53" s="357" t="str">
        <f>IF(ISBLANK(F53),"",IF(F53=EUconst_NA,"",INDEX(EUwideConstants!$H:$O,MATCH(T53,EUwideConstants!$S:$S,0),MATCH(F53,CNTR_TierList,0))))</f>
        <v/>
      </c>
      <c r="AA53" s="358" t="s">
        <v>111</v>
      </c>
      <c r="AB53" s="342"/>
      <c r="AC53" s="339" t="b">
        <f>E47&lt;&gt;""</f>
        <v>0</v>
      </c>
      <c r="AD53" s="325"/>
      <c r="AE53" s="359" t="str">
        <f>EUconst_CNTR_ActivityData&amp;EUconst_Unit</f>
        <v>ActivityData_Yksikkö</v>
      </c>
      <c r="AF53" s="360" t="str">
        <f>IF(AC53=TRUE, IF(COUNTIF(MSPara_SourceStreamCategory,V53)=0,"",INDEX(MSPara_CalcFactorsMatrix,MATCH(V53,MSPara_SourceStreamCategory,0),MATCH(AE53&amp;"_"&amp;2,MSPara_CalcFactors,0))),"")</f>
        <v/>
      </c>
      <c r="AG53" s="361" t="str">
        <f>IF(AC53=TRUE, IF(COUNTIF(MSPara_SourceStreamCategory,V53)=0,"",INDEX(MSPara_CalcFactorsMatrix,MATCH(V53,MSPara_SourceStreamCategory,0),MATCH(AE53&amp;"_"&amp;1,MSPara_CalcFactors,0))),"")</f>
        <v/>
      </c>
      <c r="AH53" s="339" t="str">
        <f>IF(OR(AF53="",AF53=EUconst_NA),IF(OR(AG53=EUconst_NA,AG53=""),"",AG53),AF53)</f>
        <v/>
      </c>
      <c r="AI53" s="356" t="str">
        <f>IF(AC53=TRUE,IF(AH53="",EUconst_t,AH53),"")</f>
        <v/>
      </c>
      <c r="AJ53" s="362" t="str">
        <f>IF(J53="",AI53,J53)</f>
        <v/>
      </c>
      <c r="AK53" s="363" t="b">
        <f>AND(E47&lt;&gt;"",J53&lt;&gt;"")</f>
        <v>0</v>
      </c>
      <c r="AL53" s="337"/>
      <c r="AM53" s="404" t="s">
        <v>122</v>
      </c>
      <c r="AN53" s="403" t="str">
        <f>AJ53</f>
        <v/>
      </c>
      <c r="AO53" s="337"/>
      <c r="AP53" s="337"/>
      <c r="AQ53" s="355" t="str">
        <f>EUconst_CNTR_ActivityData&amp;EUconst_Value</f>
        <v>ActivityData_Arvo</v>
      </c>
      <c r="AR53" s="343"/>
      <c r="AS53" s="343"/>
      <c r="AT53" s="339" t="b">
        <f>AND(AND(AH53&lt;&gt;"",AJ53&lt;&gt;""),AJ53=AH53)</f>
        <v>0</v>
      </c>
      <c r="AU53" s="325"/>
      <c r="AV53" s="339">
        <f>IF(Y53=EUconst_NA,0,IF(COUNT(K53:K53)=0,0,IF(K53="",#REF!,K53)))</f>
        <v>0</v>
      </c>
      <c r="AW53" s="346" t="b">
        <f>AND(AC53=TRUE,OR(K53&lt;&gt;"",AU53=""))</f>
        <v>0</v>
      </c>
      <c r="AX53" s="346" t="b">
        <f>AND(AC53=TRUE,NOT(AW53))</f>
        <v>0</v>
      </c>
      <c r="AY53" s="325"/>
      <c r="AZ53" s="325" t="s">
        <v>123</v>
      </c>
      <c r="BA53" s="325" t="s">
        <v>124</v>
      </c>
      <c r="BB53" s="346"/>
      <c r="BC53" s="325" t="s">
        <v>125</v>
      </c>
      <c r="BD53" s="325"/>
      <c r="BE53" s="325"/>
      <c r="BF53" s="400" t="str">
        <f>Translations!$B$390</f>
        <v>CO2 fossil</v>
      </c>
      <c r="BG53" s="495" t="str">
        <f>IF(COUNTIF(AO56:AO57,TRUE)=0,"",AV53*IF(AO56,1,AV55*AN57)*AV56*(1-AV57)*AV60)</f>
        <v/>
      </c>
      <c r="BH53" s="325"/>
      <c r="BI53" s="325"/>
      <c r="BJ53" s="325"/>
      <c r="BK53" s="325"/>
      <c r="BL53" s="325"/>
      <c r="BM53" s="325"/>
      <c r="BN53" s="325"/>
      <c r="BO53" s="325"/>
      <c r="BP53" s="325"/>
      <c r="BQ53" s="325"/>
      <c r="BR53" s="325"/>
      <c r="BS53" s="325"/>
      <c r="BT53" s="325"/>
      <c r="BU53" s="325"/>
      <c r="BV53" s="325"/>
      <c r="BW53" s="325"/>
      <c r="BX53" s="325"/>
      <c r="BY53" s="325"/>
      <c r="BZ53" s="325"/>
      <c r="CA53" s="325"/>
      <c r="CB53" s="325"/>
      <c r="CC53" s="325"/>
      <c r="CD53" s="325"/>
      <c r="CE53" s="325"/>
      <c r="CF53" s="325"/>
      <c r="CG53" s="346" t="b">
        <v>0</v>
      </c>
    </row>
    <row r="54" spans="1:85" ht="5.15" customHeight="1" thickBot="1" x14ac:dyDescent="0.3">
      <c r="A54" s="318"/>
      <c r="B54" s="21"/>
      <c r="C54" s="818"/>
      <c r="D54" s="188"/>
      <c r="E54" s="22"/>
      <c r="F54" s="22"/>
      <c r="G54" s="22"/>
      <c r="H54" s="22" t="str">
        <f>Translations!$B$397</f>
        <v xml:space="preserve"> </v>
      </c>
      <c r="I54" s="364"/>
      <c r="J54" s="364"/>
      <c r="K54" s="22"/>
      <c r="L54" s="22"/>
      <c r="M54" s="487"/>
      <c r="N54" s="22"/>
      <c r="O54" s="323"/>
      <c r="P54" s="301"/>
      <c r="Q54" s="23"/>
      <c r="R54" s="23"/>
      <c r="S54" s="325"/>
      <c r="T54" s="277"/>
      <c r="U54" s="23"/>
      <c r="V54" s="325"/>
      <c r="W54" s="325"/>
      <c r="X54" s="23"/>
      <c r="Y54" s="330"/>
      <c r="Z54" s="325"/>
      <c r="AA54" s="325"/>
      <c r="AB54" s="325"/>
      <c r="AC54" s="325"/>
      <c r="AD54" s="325"/>
      <c r="AE54" s="325"/>
      <c r="AF54" s="325"/>
      <c r="AG54" s="325"/>
      <c r="AH54" s="325"/>
      <c r="AI54" s="325"/>
      <c r="AJ54" s="325"/>
      <c r="AK54" s="325"/>
      <c r="AL54" s="337"/>
      <c r="AM54" s="337"/>
      <c r="AN54" s="337"/>
      <c r="AO54" s="337"/>
      <c r="AP54" s="337"/>
      <c r="AQ54" s="325"/>
      <c r="AR54" s="325"/>
      <c r="AS54" s="325"/>
      <c r="AT54" s="325"/>
      <c r="AU54" s="325"/>
      <c r="AV54" s="325"/>
      <c r="AW54" s="325"/>
      <c r="AX54" s="325"/>
      <c r="AY54" s="325"/>
      <c r="AZ54" s="325"/>
      <c r="BA54" s="325"/>
      <c r="BB54" s="325"/>
      <c r="BC54" s="325"/>
      <c r="BD54" s="325"/>
      <c r="BE54" s="325"/>
      <c r="BF54" s="325"/>
      <c r="BG54" s="496"/>
      <c r="BH54" s="325"/>
      <c r="BI54" s="325"/>
      <c r="BJ54" s="325"/>
      <c r="BK54" s="325"/>
      <c r="BL54" s="325"/>
      <c r="BM54" s="325"/>
      <c r="BN54" s="325"/>
      <c r="BO54" s="325"/>
      <c r="BP54" s="325"/>
      <c r="BQ54" s="325"/>
      <c r="BR54" s="325"/>
      <c r="BS54" s="325"/>
      <c r="BT54" s="325"/>
      <c r="BU54" s="325"/>
      <c r="BV54" s="325"/>
      <c r="BW54" s="325"/>
      <c r="BX54" s="325"/>
      <c r="BY54" s="325"/>
      <c r="BZ54" s="325"/>
      <c r="CA54" s="325"/>
      <c r="CB54" s="325"/>
      <c r="CC54" s="325"/>
      <c r="CD54" s="325"/>
      <c r="CE54" s="325"/>
      <c r="CF54" s="325"/>
      <c r="CG54" s="330"/>
    </row>
    <row r="55" spans="1:85" ht="12.75" customHeight="1" thickBot="1" x14ac:dyDescent="0.3">
      <c r="A55" s="318"/>
      <c r="B55" s="21"/>
      <c r="C55" s="818"/>
      <c r="D55" s="345" t="str">
        <f>Translations!$B$360</f>
        <v>Yksikön muuntokerroin:</v>
      </c>
      <c r="E55" s="350"/>
      <c r="F55" s="443"/>
      <c r="G55" s="1120" t="str">
        <f>IF(OR(ISBLANK(F55),F55=EUconst_NoTier),"",IF(Z55=0,EUconst_NotApplicable,IF(ISERROR(Z55),"",Z55)))</f>
        <v/>
      </c>
      <c r="H55" s="1122"/>
      <c r="I55" s="444" t="str">
        <f>IF(J55&lt;&gt;"","",AI55)</f>
        <v/>
      </c>
      <c r="J55" s="445"/>
      <c r="K55" s="632" t="str">
        <f>IF(L55="",AU55,"")</f>
        <v/>
      </c>
      <c r="L55" s="633"/>
      <c r="M55" s="486" t="str">
        <f>IF(AND(E48&lt;&gt;"",OR(F55="",COUNT(K55:L55)=0),Y55&lt;&gt;EUconst_NA),EUconst_ERR_Incomplete,IF(COUNTIF(BB55:BD55,TRUE)&gt;0,EUconst_ERR_Inconsistent,""))</f>
        <v/>
      </c>
      <c r="N55" s="752"/>
      <c r="O55" s="323"/>
      <c r="P55" s="301"/>
      <c r="Q55" s="23"/>
      <c r="R55" s="23"/>
      <c r="S55" s="325"/>
      <c r="T55" s="365" t="str">
        <f>EUconst_CNTR_UCF&amp;E48</f>
        <v>UCF_</v>
      </c>
      <c r="U55" s="23"/>
      <c r="V55" s="366" t="str">
        <f>V56</f>
        <v/>
      </c>
      <c r="W55" s="325"/>
      <c r="X55" s="23"/>
      <c r="Y55" s="448" t="str">
        <f>IF(E48="","",IF(OR(F55=EUconst_NA,W55=TRUE),EUconst_NA,INDEX(EUwideConstants!$P$153:$P$180,MATCH(T55,EUwideConstants!$S$153:$S$180,0))))</f>
        <v/>
      </c>
      <c r="Z55" s="471" t="str">
        <f>IF(ISBLANK(F55),"",IF(F55=EUconst_NA,"",INDEX(EUwideConstants!$H:$O,MATCH(T55,EUwideConstants!$S:$S,0),MATCH(F55,CNTR_TierList,0))))</f>
        <v/>
      </c>
      <c r="AA55" s="449" t="str">
        <f>IF(COUNTIF(EUconst_DefaultValues,Z55)&gt;0,MATCH(Z55,EUconst_DefaultValues,0),"")</f>
        <v/>
      </c>
      <c r="AB55" s="325"/>
      <c r="AC55" s="367" t="b">
        <f>AND(AC53,Y55&lt;&gt;EUconst_NA)</f>
        <v>0</v>
      </c>
      <c r="AD55" s="325"/>
      <c r="AE55" s="359" t="str">
        <f>EUconst_CNTR_UCF&amp;EUconst_Unit</f>
        <v>UCF_Yksikkö</v>
      </c>
      <c r="AF55" s="368" t="str">
        <f>IF(AC55=TRUE, IF(COUNTIF(MSPara_SourceStreamCategory,V55)=0,"",INDEX(MSPara_CalcFactorsMatrix,MATCH(V55,MSPara_SourceStreamCategory,0),MATCH(AE55&amp;"_"&amp;2,MSPara_CalcFactors,0))),"")</f>
        <v/>
      </c>
      <c r="AG55" s="372" t="str">
        <f>IF(AC55=TRUE, IF(COUNTIF(MSPara_SourceStreamCategory,V55)=0,"",INDEX(MSPara_CalcFactorsMatrix,MATCH(V55,MSPara_SourceStreamCategory,0),MATCH(AE55&amp;"_"&amp;1,MSPara_CalcFactors,0))),"")</f>
        <v/>
      </c>
      <c r="AH55" s="367" t="str">
        <f>IF(AA55="","",INDEX(AF55:AG55,3-AA55))</f>
        <v/>
      </c>
      <c r="AI55" s="367" t="str">
        <f>IF(AC55=TRUE,IF(OR(AH55="",AH55=EUconst_NA),EUconst_GJ&amp;"/"&amp;AJ53,AH55),"")</f>
        <v/>
      </c>
      <c r="AJ55" s="367" t="str">
        <f>IF(J55="",AI55,J55)</f>
        <v/>
      </c>
      <c r="AK55" s="366" t="b">
        <f>AND(E47&lt;&gt;"",J55&lt;&gt;"")</f>
        <v>0</v>
      </c>
      <c r="AL55" s="337"/>
      <c r="AM55" s="404" t="s">
        <v>127</v>
      </c>
      <c r="AN55" s="403" t="str">
        <f>IF(AJ55="",EUconst_NA,IF(AN53=EUconst_TJ,EUconst_TJ,INDEX(EUwideConstants!$C$124:$G$128,MATCH(AN53,RFAUnits,0),MATCH(AJ55,UCFUnits,0))))</f>
        <v>ei sovellettavissa</v>
      </c>
      <c r="AO55" s="337"/>
      <c r="AP55" s="337"/>
      <c r="AQ55" s="454" t="str">
        <f>EUconst_CNTR_UCF&amp;EUconst_Value</f>
        <v>UCF_Arvo</v>
      </c>
      <c r="AR55" s="475" t="str">
        <f>IF(AC55=TRUE,IF(COUNTIF(MSPara_SourceStreamCategory,V55)=0,"",INDEX(MSPara_CalcFactorsMatrix,MATCH(V55,MSPara_SourceStreamCategory,0),MATCH(AQ55&amp;"_"&amp;2,MSPara_CalcFactors,0))),"")</f>
        <v/>
      </c>
      <c r="AS55" s="371" t="str">
        <f>IF(AC55=TRUE,IF(COUNTIF(MSPara_SourceStreamCategory,V55)=0,"",INDEX(MSPara_CalcFactorsMatrix,MATCH(V55,MSPara_SourceStreamCategory,0),MATCH(AQ55&amp;"_"&amp;1,MSPara_CalcFactors,0))),"")</f>
        <v/>
      </c>
      <c r="AT55" s="369" t="b">
        <f>AND(AND(AH55&lt;&gt;"",AJ55&lt;&gt;""),AJ55=AH55)</f>
        <v>0</v>
      </c>
      <c r="AU55" s="381" t="str">
        <f>IF(AND(AA55&lt;&gt;"",AT55=TRUE),IF(OR(INDEX(AR55:AS55,3-AA55)=EUconst_NA,INDEX(AR55:AS55,3-AA55)=0),"",INDEX(AR55:AS55,3-AA55)),"")</f>
        <v/>
      </c>
      <c r="AV55" s="367">
        <f>IF(AC55=TRUE,IF(COUNT(K55:L55)=0,0,IF(L55="",K55,L55)),0)</f>
        <v>0</v>
      </c>
      <c r="AW55" s="366" t="b">
        <f>AND(AC55=TRUE,OR(AND(F55&lt;&gt;"",NOT(ISNUMBER(AA55))),L55&lt;&gt;"",F55="",AU55=""))</f>
        <v>0</v>
      </c>
      <c r="AX55" s="370" t="b">
        <f>AND(AC55=TRUE,NOT(AW55))</f>
        <v>0</v>
      </c>
      <c r="AY55" s="325"/>
      <c r="AZ55" s="373" t="b">
        <f>AND(ISNUMBER(AA55),AU55="")</f>
        <v>0</v>
      </c>
      <c r="BA55" s="399" t="b">
        <f>AND(ISNUMBER(AA55),AU55&lt;&gt;AV55)</f>
        <v>0</v>
      </c>
      <c r="BB55" s="366" t="b">
        <f>AND(E48&lt;&gt;"",F55&lt;&gt;EUconst_NA,AN55=EUconst_NA)</f>
        <v>0</v>
      </c>
      <c r="BC55" s="366" t="b">
        <f>AND(L55&lt;&gt;"",Y55=EUconst_NA)</f>
        <v>0</v>
      </c>
      <c r="BD55" s="325"/>
      <c r="BE55" s="325"/>
      <c r="BF55" s="373" t="s">
        <v>128</v>
      </c>
      <c r="BG55" s="497" t="str">
        <f>IF(COUNTIF(AO56:AO57,TRUE)=0,"",AV53*IF(AO56,1,AV55*AN57)*AV56*AV57*AV60)</f>
        <v/>
      </c>
      <c r="BH55" s="325"/>
      <c r="BI55" s="325"/>
      <c r="BJ55" s="325"/>
      <c r="BK55" s="325"/>
      <c r="BL55" s="325"/>
      <c r="BM55" s="325"/>
      <c r="BN55" s="325"/>
      <c r="BO55" s="325"/>
      <c r="BP55" s="325"/>
      <c r="BQ55" s="325"/>
      <c r="BR55" s="325"/>
      <c r="BS55" s="325"/>
      <c r="BT55" s="325"/>
      <c r="BU55" s="325"/>
      <c r="BV55" s="325"/>
      <c r="BW55" s="325"/>
      <c r="BX55" s="325"/>
      <c r="BY55" s="325"/>
      <c r="BZ55" s="325"/>
      <c r="CA55" s="325"/>
      <c r="CB55" s="325"/>
      <c r="CC55" s="325"/>
      <c r="CD55" s="325"/>
      <c r="CE55" s="325"/>
      <c r="CF55" s="325"/>
      <c r="CG55" s="375" t="b">
        <f>OR(CG53,Y55=EUconst_NA)</f>
        <v>0</v>
      </c>
    </row>
    <row r="56" spans="1:85" ht="12.75" customHeight="1" thickBot="1" x14ac:dyDescent="0.3">
      <c r="A56" s="318"/>
      <c r="B56" s="21"/>
      <c r="C56" s="818"/>
      <c r="D56" s="345" t="str">
        <f>Translations!$B$358</f>
        <v>Päästökerroin (alustava):</v>
      </c>
      <c r="E56" s="350"/>
      <c r="F56" s="624"/>
      <c r="G56" s="1120" t="str">
        <f>IF(OR(ISBLANK(F56),F56=EUconst_NoTier),"",IF(Z56=0,EUconst_NotApplicable,IF(ISERROR(Z56),"",Z56)))</f>
        <v/>
      </c>
      <c r="H56" s="1121"/>
      <c r="I56" s="625" t="str">
        <f>IF(J56&lt;&gt;"","",AI56)</f>
        <v/>
      </c>
      <c r="J56" s="631"/>
      <c r="K56" s="634" t="str">
        <f>IF(L56="",AU56,"")</f>
        <v/>
      </c>
      <c r="L56" s="754"/>
      <c r="M56" s="486" t="str">
        <f>IF(AND(E48&lt;&gt;"",OR(F56="",COUNT(K56:L56)=0),Y56&lt;&gt;EUconst_NA),EUconst_ERR_Incomplete,IF(COUNTIF(BB56:BD56,TRUE)&gt;0,EUconst_ERR_Inconsistent,""))</f>
        <v/>
      </c>
      <c r="N56" s="753"/>
      <c r="O56" s="323"/>
      <c r="P56" s="301"/>
      <c r="Q56" s="23"/>
      <c r="R56" s="23"/>
      <c r="S56" s="325"/>
      <c r="T56" s="374" t="str">
        <f>EUconst_CNTR_EF&amp;E48</f>
        <v>EF_</v>
      </c>
      <c r="U56" s="23"/>
      <c r="V56" s="375" t="str">
        <f>V53</f>
        <v/>
      </c>
      <c r="W56" s="325"/>
      <c r="X56" s="23"/>
      <c r="Y56" s="450" t="str">
        <f>IF(E48="","",IF(OR(F56=EUconst_NA,W56=TRUE),EUconst_NA,INDEX(EUwideConstants!$P$153:$P$180,MATCH(T56,EUwideConstants!$S$153:$S$180,0))))</f>
        <v/>
      </c>
      <c r="Z56" s="472" t="str">
        <f>IF(ISBLANK(F56),"",IF(F56=EUconst_NA,"",INDEX(EUwideConstants!$H:$O,MATCH(T56,EUwideConstants!$S:$S,0),MATCH(F56,CNTR_TierList,0))))</f>
        <v/>
      </c>
      <c r="AA56" s="451" t="str">
        <f>IF(COUNTIF(EUconst_DefaultValues,Z56)&gt;0,MATCH(Z56,EUconst_DefaultValues,0),"")</f>
        <v/>
      </c>
      <c r="AB56" s="325"/>
      <c r="AC56" s="376" t="b">
        <f>AND(AC53,Y56&lt;&gt;EUconst_NA)</f>
        <v>0</v>
      </c>
      <c r="AD56" s="325"/>
      <c r="AE56" s="377" t="str">
        <f>EUconst_CNTR_EF&amp;EUconst_Unit</f>
        <v>EF_Yksikkö</v>
      </c>
      <c r="AF56" s="378" t="str">
        <f>IF(AC56=TRUE, IF(COUNTIF(MSPara_SourceStreamCategory,V56)=0,"",INDEX(MSPara_CalcFactorsMatrix,MATCH(V56,MSPara_SourceStreamCategory,0),MATCH(AE56&amp;"_"&amp;2,MSPara_CalcFactors,0))),"")</f>
        <v/>
      </c>
      <c r="AG56" s="464" t="str">
        <f>IF(AC56=TRUE, IF(COUNTIF(MSPara_SourceStreamCategory,V56)=0,"",INDEX(MSPara_CalcFactorsMatrix,MATCH(V56,MSPara_SourceStreamCategory,0),MATCH(AE56&amp;"_"&amp;1,MSPara_CalcFactors,0))),"")</f>
        <v/>
      </c>
      <c r="AH56" s="376" t="str">
        <f>IF(AA56="","",INDEX(AF56:AG56,3-AA56))</f>
        <v/>
      </c>
      <c r="AI56" s="376" t="str">
        <f>IF(AC56=TRUE,IF(OR(AH56="",AH56=EUconst_NA),EUconst_tCO2&amp;"/"&amp;IF(AN55=EUconst_NA,AN53,IF(AN55=EUconst_GJ,EUconst_TJ,AN55)),AH56),"")</f>
        <v/>
      </c>
      <c r="AJ56" s="376" t="str">
        <f>IF(J56="",AI56,J56)</f>
        <v/>
      </c>
      <c r="AK56" s="375" t="b">
        <f>AND(E48&lt;&gt;"",J56&lt;&gt;"")</f>
        <v>0</v>
      </c>
      <c r="AL56" s="337"/>
      <c r="AM56" s="404" t="s">
        <v>130</v>
      </c>
      <c r="AN56" s="403" t="str">
        <f>IF(COUNTIF(RFAUnits,AN53)=0,EUconst_NA,INDEX(EUwideConstants!$C$139:$H$143,MATCH(AJ56,EFUnits,0),MATCH(AN53,EUwideConstants!$C$138:$H$138,0)))</f>
        <v>ei sovellettavissa</v>
      </c>
      <c r="AO56" s="403" t="b">
        <f>AN56&lt;&gt;EUconst_NA</f>
        <v>0</v>
      </c>
      <c r="AP56" s="337"/>
      <c r="AQ56" s="455" t="str">
        <f>EUconst_CNTR_EF&amp;EUconst_Value</f>
        <v>EF_Arvo</v>
      </c>
      <c r="AR56" s="476" t="str">
        <f>IF(AC56=TRUE,IF(COUNTIF(MSPara_SourceStreamCategory,V56)=0,"",INDEX(MSPara_CalcFactorsMatrix,MATCH(V56,MSPara_SourceStreamCategory,0),MATCH(AQ56&amp;"_"&amp;2,MSPara_CalcFactors,0))),"")</f>
        <v/>
      </c>
      <c r="AS56" s="383" t="str">
        <f>IF(AC56=TRUE,IF(COUNTIF(MSPara_SourceStreamCategory,V56)=0,"",INDEX(MSPara_CalcFactorsMatrix,MATCH(V56,MSPara_SourceStreamCategory,0),MATCH(AQ56&amp;"_"&amp;1,MSPara_CalcFactors,0))),"")</f>
        <v/>
      </c>
      <c r="AT56" s="456" t="b">
        <f>AND(AND(AH56&lt;&gt;"",AJ56&lt;&gt;""),AJ56=AH56)</f>
        <v>0</v>
      </c>
      <c r="AU56" s="334" t="str">
        <f>IF(AND(AA56&lt;&gt;"",AT56=TRUE),IF(OR(INDEX(AR56:AS56,3-AA56)=EUconst_NA,INDEX(AR56:AS56,3-AA56)=0),"",INDEX(AR56:AS56,3-AA56)),"")</f>
        <v/>
      </c>
      <c r="AV56" s="376">
        <f>IF(AC56=TRUE,IF(COUNT(K56:L56)=0,0,IF(L56="",K56,L56)),0)</f>
        <v>0</v>
      </c>
      <c r="AW56" s="375" t="b">
        <f>AND(AC56=TRUE,OR(AND(F56&lt;&gt;"",NOT(ISNUMBER(AA56))),L56&lt;&gt;"",F56="",AU56=""))</f>
        <v>0</v>
      </c>
      <c r="AX56" s="457" t="b">
        <f>AND(AC56=TRUE,NOT(AW56))</f>
        <v>0</v>
      </c>
      <c r="AY56" s="325"/>
      <c r="AZ56" s="379" t="b">
        <f>AND(ISNUMBER(AA56),AU56="")</f>
        <v>0</v>
      </c>
      <c r="BA56" s="380" t="b">
        <f>AND(ISNUMBER(AA56),AU56&lt;&gt;AV56)</f>
        <v>0</v>
      </c>
      <c r="BB56" s="382" t="b">
        <f>AND(E48&lt;&gt;"",COUNTIF(AO56:AO57,TRUE)=0)</f>
        <v>0</v>
      </c>
      <c r="BC56" s="375" t="b">
        <f>AND(L56&lt;&gt;"",Y56=EUconst_NA)</f>
        <v>0</v>
      </c>
      <c r="BD56" s="325"/>
      <c r="BE56" s="325"/>
      <c r="BF56" s="379" t="s">
        <v>131</v>
      </c>
      <c r="BG56" s="498" t="str">
        <f>IF(COUNTIF(AO56:AO57,TRUE)=0,"",AV53*IF(AO56,1,AV55*AN57)*AV56*AV58*AV60)</f>
        <v/>
      </c>
      <c r="BH56" s="325"/>
      <c r="BI56" s="325"/>
      <c r="BJ56" s="325"/>
      <c r="BK56" s="325"/>
      <c r="BL56" s="325"/>
      <c r="BM56" s="325"/>
      <c r="BN56" s="325"/>
      <c r="BO56" s="325"/>
      <c r="BP56" s="325"/>
      <c r="BQ56" s="325"/>
      <c r="BR56" s="325"/>
      <c r="BS56" s="325"/>
      <c r="BT56" s="325"/>
      <c r="BU56" s="325"/>
      <c r="BV56" s="325"/>
      <c r="BW56" s="325"/>
      <c r="BX56" s="325"/>
      <c r="BY56" s="325"/>
      <c r="BZ56" s="325"/>
      <c r="CA56" s="325"/>
      <c r="CB56" s="325"/>
      <c r="CC56" s="325"/>
      <c r="CD56" s="325"/>
      <c r="CE56" s="325"/>
      <c r="CF56" s="325"/>
      <c r="CG56" s="366" t="b">
        <f>OR(CG53,Y56=EUconst_NA)</f>
        <v>0</v>
      </c>
    </row>
    <row r="57" spans="1:85" ht="12.75" customHeight="1" x14ac:dyDescent="0.25">
      <c r="A57" s="318"/>
      <c r="B57" s="21"/>
      <c r="C57" s="818"/>
      <c r="D57" s="345" t="str">
        <f>Translations!$B$362</f>
        <v>Biomassaosuus:</v>
      </c>
      <c r="E57" s="350"/>
      <c r="F57" s="624"/>
      <c r="G57" s="1120" t="str">
        <f>IF(OR(ISBLANK(F57),F57=EUconst_NoTier),"",IF(Z57=0,EUconst_NotApplicable,IF(ISERROR(Z57),"",Z57)))</f>
        <v/>
      </c>
      <c r="H57" s="1122"/>
      <c r="I57" s="626" t="str">
        <f>IF(OR(AC57=FALSE,Y57=EUconst_NA),"","-")</f>
        <v/>
      </c>
      <c r="J57" s="446"/>
      <c r="K57" s="635" t="str">
        <f>IF(L57="",AU57,"")</f>
        <v/>
      </c>
      <c r="L57" s="627"/>
      <c r="M57" s="486" t="str">
        <f>IF(AND(E48&lt;&gt;"",OR(F57="",COUNT(K57:L57)=0),Y57&lt;&gt;EUconst_NA),EUconst_ERR_Incomplete,IF(COUNTIF(BB57:BD57,TRUE)&gt;0,EUconst_ERR_Inconsistent,""))</f>
        <v/>
      </c>
      <c r="O57" s="323"/>
      <c r="P57" s="612"/>
      <c r="Q57" s="354"/>
      <c r="R57" s="354"/>
      <c r="S57" s="325"/>
      <c r="T57" s="374" t="str">
        <f>EUconst_CNTR_BiomassContent&amp;E48</f>
        <v>BioC_</v>
      </c>
      <c r="U57" s="23"/>
      <c r="V57" s="375" t="str">
        <f>V55</f>
        <v/>
      </c>
      <c r="W57" s="366" t="e">
        <f>IF(COUNTIF(MSPara_SourceStreamCategory,V57)=0,"",INDEX(MSPara_IsFossil,MATCH(V57,MSPara_SourceStreamCategory,0)))</f>
        <v>#N/A</v>
      </c>
      <c r="X57" s="23"/>
      <c r="Y57" s="450" t="str">
        <f>IF(E48="","",IF(OR(F57=EUconst_NA,W57=TRUE),EUconst_NA,INDEX(EUwideConstants!$P$153:$P$180,MATCH(T57,EUwideConstants!$S$153:$S$180,0))))</f>
        <v/>
      </c>
      <c r="Z57" s="472" t="str">
        <f>IF(ISBLANK(F57),"",IF(F57=EUconst_NA,"",INDEX(EUwideConstants!$H:$O,MATCH(T57,EUwideConstants!$S:$S,0),MATCH(F57,CNTR_TierList,0))))</f>
        <v/>
      </c>
      <c r="AA57" s="681" t="str">
        <f>IF(F57=1,1,"")</f>
        <v/>
      </c>
      <c r="AB57" s="325"/>
      <c r="AC57" s="376" t="b">
        <f>AND(AC53,Y57&lt;&gt;EUconst_NA)</f>
        <v>0</v>
      </c>
      <c r="AD57" s="325"/>
      <c r="AE57" s="462"/>
      <c r="AF57" s="460"/>
      <c r="AG57" s="465"/>
      <c r="AH57" s="467"/>
      <c r="AI57" s="467"/>
      <c r="AJ57" s="467"/>
      <c r="AK57" s="469"/>
      <c r="AL57" s="337"/>
      <c r="AM57" s="404" t="s">
        <v>132</v>
      </c>
      <c r="AN57" s="403" t="str">
        <f>IF(AN55=EUconst_NA,EUconst_NA,INDEX(EUwideConstants!$C$139:$H$143,MATCH(AJ56,EFUnits,0),MATCH(AN55,EUwideConstants!$C$138:$H$138,0)))</f>
        <v>ei sovellettavissa</v>
      </c>
      <c r="AO57" s="403" t="b">
        <f>AN57&lt;&gt;EUconst_NA</f>
        <v>0</v>
      </c>
      <c r="AP57" s="337"/>
      <c r="AQ57" s="455" t="str">
        <f>EUconst_CNTR_BiomassContent&amp;EUconst_Value</f>
        <v>BioC_Arvo</v>
      </c>
      <c r="AR57" s="462"/>
      <c r="AS57" s="383" t="str">
        <f>IF(AC57=TRUE,IF(COUNTIF(MSPara_SourceStreamCategory,V57)=0,"",INDEX(MSPara_CalcFactorsMatrix,MATCH(V57,MSPara_SourceStreamCategory,0),MATCH(AQ57&amp;"_"&amp;2,MSPara_CalcFactors,0))),"")</f>
        <v/>
      </c>
      <c r="AT57" s="458"/>
      <c r="AU57" s="334" t="str">
        <f>IF(OR(AA57="",AS57=EUconst_NA),"",AS57)</f>
        <v/>
      </c>
      <c r="AV57" s="376">
        <f>IF(AC57=TRUE,IF(COUNT(K57:L57)=0,0,IF(L57="",K57,L57)),0)</f>
        <v>0</v>
      </c>
      <c r="AW57" s="375" t="b">
        <f>AND(AC57=TRUE,OR(AND(F57&lt;&gt;"",NOT(ISNUMBER(AA57))),L57&lt;&gt;"",F57="",AU57=""))</f>
        <v>0</v>
      </c>
      <c r="AX57" s="457" t="b">
        <f>AND(AC57=TRUE,NOT(AW57))</f>
        <v>0</v>
      </c>
      <c r="AY57" s="325"/>
      <c r="AZ57" s="379" t="b">
        <f>AND(ISNUMBER(AA57),AU57="")</f>
        <v>0</v>
      </c>
      <c r="BA57" s="380" t="b">
        <f>AND(ISNUMBER(AA57),AU57&lt;&gt;AV57)</f>
        <v>0</v>
      </c>
      <c r="BB57" s="325"/>
      <c r="BC57" s="375" t="b">
        <f>AND(L57&lt;&gt;"",Y57=EUconst_NA)</f>
        <v>0</v>
      </c>
      <c r="BD57" s="366" t="b">
        <f>OR(AV57&gt;100%,(AV57+AV58)&gt;100%)</f>
        <v>0</v>
      </c>
      <c r="BE57" s="325"/>
      <c r="BF57" s="379" t="s">
        <v>133</v>
      </c>
      <c r="BG57" s="498" t="str">
        <f>IF(AN53=EUconst_TJ,AV53*(1-AV57),IF(AN55=EUconst_GJ,AV53*AV55/1000*(1-AV57),""))</f>
        <v/>
      </c>
      <c r="BH57" s="325"/>
      <c r="BI57" s="325"/>
      <c r="BJ57" s="325"/>
      <c r="BK57" s="325"/>
      <c r="BL57" s="325"/>
      <c r="BM57" s="325"/>
      <c r="BN57" s="325"/>
      <c r="BO57" s="325"/>
      <c r="BP57" s="325"/>
      <c r="BQ57" s="325"/>
      <c r="BR57" s="325"/>
      <c r="BS57" s="325"/>
      <c r="BT57" s="325"/>
      <c r="BU57" s="325"/>
      <c r="BV57" s="325"/>
      <c r="BW57" s="325"/>
      <c r="BX57" s="325"/>
      <c r="BY57" s="325"/>
      <c r="BZ57" s="325"/>
      <c r="CA57" s="325"/>
      <c r="CB57" s="325"/>
      <c r="CC57" s="325"/>
      <c r="CD57" s="325"/>
      <c r="CE57" s="325"/>
      <c r="CF57" s="325"/>
      <c r="CG57" s="375" t="b">
        <f>OR(CG53,Y57=EUconst_NA)</f>
        <v>0</v>
      </c>
    </row>
    <row r="58" spans="1:85" ht="12.75" customHeight="1" thickBot="1" x14ac:dyDescent="0.3">
      <c r="A58" s="318"/>
      <c r="B58" s="21"/>
      <c r="C58" s="818"/>
      <c r="D58" s="345" t="str">
        <f>Translations!$B$368</f>
        <v>Ei kestävä biomassaosuus:</v>
      </c>
      <c r="E58" s="350"/>
      <c r="F58" s="628"/>
      <c r="G58" s="1120" t="str">
        <f>IF(OR(ISBLANK(F58),F58=EUconst_NoTier),"",IF(Z58=0,EUconst_NotApplicable,IF(ISERROR(Z58),"",Z58)))</f>
        <v/>
      </c>
      <c r="H58" s="1122"/>
      <c r="I58" s="629" t="str">
        <f>IF(OR(AC58=FALSE,Y58=EUconst_NA),"","-")</f>
        <v/>
      </c>
      <c r="J58" s="447"/>
      <c r="K58" s="636" t="str">
        <f>IF(L58="",AU58,"")</f>
        <v/>
      </c>
      <c r="L58" s="630"/>
      <c r="M58" s="486" t="str">
        <f>IF(AND(E48&lt;&gt;"",OR(F58="",COUNT(K58:L58)=0),Y58&lt;&gt;EUconst_NA),EUconst_ERR_Incomplete,IF(COUNTIF(BB58:BD58,TRUE)&gt;0,EUconst_ERR_Inconsistent,""))</f>
        <v/>
      </c>
      <c r="N58" s="22"/>
      <c r="O58" s="323"/>
      <c r="P58" s="612"/>
      <c r="Q58" s="354"/>
      <c r="R58" s="354"/>
      <c r="S58" s="325"/>
      <c r="T58" s="384" t="str">
        <f>EUconst_CNTR_BiomassContent&amp;E48</f>
        <v>BioC_</v>
      </c>
      <c r="U58" s="23"/>
      <c r="V58" s="382" t="str">
        <f>V57</f>
        <v/>
      </c>
      <c r="W58" s="382" t="e">
        <f>IF(COUNTIF(MSPara_SourceStreamCategory,V58)=0,"",INDEX(MSPara_IsFossil,MATCH(V58,MSPara_SourceStreamCategory,0)))</f>
        <v>#N/A</v>
      </c>
      <c r="X58" s="23"/>
      <c r="Y58" s="452" t="str">
        <f>IF(E48="","",IF(OR(F58=EUconst_NA,W58=TRUE),EUconst_NA,INDEX(EUwideConstants!$P$153:$P$180,MATCH(T58,EUwideConstants!$S$153:$S$180,0))))</f>
        <v/>
      </c>
      <c r="Z58" s="473" t="str">
        <f>IF(ISBLANK(F58),"",IF(F58=EUconst_NA,"",INDEX(EUwideConstants!$H:$O,MATCH(T58,EUwideConstants!$S:$S,0),MATCH(F58,CNTR_TierList,0))))</f>
        <v/>
      </c>
      <c r="AA58" s="682" t="str">
        <f>IF(F58=1,1,"")</f>
        <v/>
      </c>
      <c r="AB58" s="325"/>
      <c r="AC58" s="453" t="b">
        <f>AND(AC53,Y58&lt;&gt;EUconst_NA)</f>
        <v>0</v>
      </c>
      <c r="AD58" s="325"/>
      <c r="AE58" s="463"/>
      <c r="AF58" s="461"/>
      <c r="AG58" s="466"/>
      <c r="AH58" s="468"/>
      <c r="AI58" s="468"/>
      <c r="AJ58" s="468"/>
      <c r="AK58" s="470"/>
      <c r="AL58" s="337"/>
      <c r="AM58" s="337"/>
      <c r="AN58" s="337"/>
      <c r="AO58" s="337"/>
      <c r="AP58" s="337"/>
      <c r="AQ58" s="474" t="str">
        <f>EUconst_CNTR_BiomassContent&amp;EUconst_Value</f>
        <v>BioC_Arvo</v>
      </c>
      <c r="AR58" s="463"/>
      <c r="AS58" s="385" t="str">
        <f>IF(AC58=TRUE,IF(COUNTIF(MSPara_SourceStreamCategory,V58)=0,"",INDEX(MSPara_CalcFactorsMatrix,MATCH(V58,MSPara_SourceStreamCategory,0),MATCH(AQ58&amp;"_"&amp;2,MSPara_CalcFactors,0))),"")</f>
        <v/>
      </c>
      <c r="AT58" s="459"/>
      <c r="AU58" s="477" t="str">
        <f>IF(OR(AA58="",AS58=EUconst_NA),"",AS58)</f>
        <v/>
      </c>
      <c r="AV58" s="453">
        <f>IF(AC58=TRUE,IF(COUNT(K58:L58)=0,0,IF(L58="",K58,L58)),0)</f>
        <v>0</v>
      </c>
      <c r="AW58" s="382" t="b">
        <f>AND(AC58=TRUE,OR(AND(F58&lt;&gt;"",NOT(ISNUMBER(AA58))),L58&lt;&gt;"",F58="",AU58=""))</f>
        <v>0</v>
      </c>
      <c r="AX58" s="478" t="b">
        <f>AND(AC58=TRUE,NOT(AW58))</f>
        <v>0</v>
      </c>
      <c r="AY58" s="325"/>
      <c r="AZ58" s="386" t="b">
        <f>AND(ISNUMBER(AA58),AU58="")</f>
        <v>0</v>
      </c>
      <c r="BA58" s="387" t="b">
        <f>AND(ISNUMBER(AA58),AU58&lt;&gt;AV58)</f>
        <v>0</v>
      </c>
      <c r="BB58" s="325"/>
      <c r="BC58" s="382" t="b">
        <f>AND(L58&lt;&gt;"",Y58=EUconst_NA)</f>
        <v>0</v>
      </c>
      <c r="BD58" s="382" t="b">
        <f>OR(AV57&gt;100%,(AV57+AV58)&gt;100%)</f>
        <v>0</v>
      </c>
      <c r="BE58" s="325"/>
      <c r="BF58" s="386" t="s">
        <v>134</v>
      </c>
      <c r="BG58" s="499" t="str">
        <f>IF(AN53=EUconst_TJ,AV53*AV57,IF(AN55=EUconst_GJ,AV53*AV55/1000*AV57,""))</f>
        <v/>
      </c>
      <c r="BH58" s="325"/>
      <c r="BI58" s="325"/>
      <c r="BJ58" s="325"/>
      <c r="BK58" s="325"/>
      <c r="BL58" s="325"/>
      <c r="BM58" s="325"/>
      <c r="BN58" s="325"/>
      <c r="BO58" s="325"/>
      <c r="BP58" s="325"/>
      <c r="BQ58" s="325"/>
      <c r="BR58" s="325"/>
      <c r="BS58" s="325"/>
      <c r="BT58" s="325"/>
      <c r="BU58" s="325"/>
      <c r="BV58" s="325"/>
      <c r="BW58" s="325"/>
      <c r="BX58" s="325"/>
      <c r="BY58" s="325"/>
      <c r="BZ58" s="325"/>
      <c r="CA58" s="325"/>
      <c r="CB58" s="325"/>
      <c r="CC58" s="325"/>
      <c r="CD58" s="325"/>
      <c r="CE58" s="325"/>
      <c r="CF58" s="325"/>
      <c r="CG58" s="382" t="b">
        <f>OR(CG53,Y58=EUconst_NA)</f>
        <v>0</v>
      </c>
    </row>
    <row r="59" spans="1:85" ht="5.15" customHeight="1" thickBot="1" x14ac:dyDescent="0.3">
      <c r="A59" s="318"/>
      <c r="B59" s="21"/>
      <c r="C59" s="233"/>
      <c r="D59" s="327"/>
      <c r="E59" s="22"/>
      <c r="F59" s="22"/>
      <c r="G59" s="22"/>
      <c r="H59" s="22"/>
      <c r="I59" s="22"/>
      <c r="J59" s="22"/>
      <c r="K59" s="22"/>
      <c r="L59" s="22"/>
      <c r="M59" s="488"/>
      <c r="N59" s="22"/>
      <c r="O59" s="323"/>
      <c r="P59" s="301"/>
      <c r="Q59" s="23"/>
      <c r="R59" s="23"/>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5"/>
      <c r="BR59" s="325"/>
      <c r="BS59" s="325"/>
      <c r="BT59" s="325"/>
      <c r="BU59" s="325"/>
      <c r="BV59" s="325"/>
      <c r="BW59" s="325"/>
      <c r="BX59" s="325"/>
      <c r="BY59" s="325"/>
      <c r="BZ59" s="325"/>
      <c r="CA59" s="325"/>
      <c r="CB59" s="325"/>
      <c r="CC59" s="325"/>
      <c r="CD59" s="325"/>
      <c r="CE59" s="325"/>
      <c r="CF59" s="325"/>
      <c r="CG59" s="325"/>
    </row>
    <row r="60" spans="1:85" ht="12.75" customHeight="1" thickBot="1" x14ac:dyDescent="0.3">
      <c r="A60" s="318"/>
      <c r="B60" s="21"/>
      <c r="C60" s="818"/>
      <c r="D60" s="345" t="str">
        <f>Translations!$B$398</f>
        <v>Soveltamisalakerroin:</v>
      </c>
      <c r="E60" s="479"/>
      <c r="F60" s="803"/>
      <c r="G60" s="1125"/>
      <c r="H60" s="1126"/>
      <c r="I60" s="492" t="s">
        <v>52</v>
      </c>
      <c r="J60" s="480"/>
      <c r="K60" s="481" t="str">
        <f>IF(L60="",AU60,"")</f>
        <v/>
      </c>
      <c r="L60" s="607"/>
      <c r="M60" s="489" t="str">
        <f>IF(AND(E48&lt;&gt;"",OR(F60="",G60="",COUNT(K60:L60)=0)),EUconst_ERR_Incomplete,IF(COUNTIF(BB60:BD60,TRUE)&gt;0,EUconst_ERR_Inconsistent,""))</f>
        <v/>
      </c>
      <c r="N60" s="22"/>
      <c r="O60" s="323"/>
      <c r="P60" s="301"/>
      <c r="Q60" s="23"/>
      <c r="R60" s="325"/>
      <c r="S60" s="10"/>
      <c r="T60" s="48" t="str">
        <f>EUconst_CNTR_ScopeFactor&amp;E48</f>
        <v>ScopeFactor_</v>
      </c>
      <c r="U60" s="248" t="str">
        <f>IF(F60="","",INDEX(ScopeAddress,MATCH(F60,ScopeTiers,0)))</f>
        <v/>
      </c>
      <c r="V60" s="382" t="str">
        <f>V53</f>
        <v/>
      </c>
      <c r="W60" s="325"/>
      <c r="X60" s="325"/>
      <c r="Y60" s="452" t="str">
        <f>IF(E48="","",IF(F60=EUconst_NA,EUconst_NA,INDEX(EUwideConstants!$P$153:$P$180,MATCH(T60,EUwideConstants!$S$153:$S$180,0))))</f>
        <v/>
      </c>
      <c r="Z60" s="473" t="str">
        <f>IF(ISBLANK(F60),"",IF(F60=EUconst_NA,"",INDEX(EUwideConstants!$H:$O,MATCH(T60,EUwideConstants!$S:$S,0),MATCH(F60,CNTR_TierList,0))))</f>
        <v/>
      </c>
      <c r="AA60" s="339" t="str">
        <f>IF(G60=EUwideConstants!$A$88,1,"")</f>
        <v/>
      </c>
      <c r="AB60" s="325"/>
      <c r="AC60" s="376" t="b">
        <f>AND(AC53,Y60&lt;&gt;EUconst_NA)</f>
        <v>0</v>
      </c>
      <c r="AD60" s="325"/>
      <c r="AE60" s="325"/>
      <c r="AF60" s="325"/>
      <c r="AG60" s="330"/>
      <c r="AH60" s="325"/>
      <c r="AI60" s="325"/>
      <c r="AJ60" s="325"/>
      <c r="AK60" s="325"/>
      <c r="AL60" s="325"/>
      <c r="AM60" s="325"/>
      <c r="AN60" s="325"/>
      <c r="AO60" s="325"/>
      <c r="AP60" s="325"/>
      <c r="AQ60" s="325"/>
      <c r="AR60" s="325"/>
      <c r="AS60" s="338">
        <v>1</v>
      </c>
      <c r="AT60" s="325"/>
      <c r="AU60" s="330" t="str">
        <f>IF(G60=EUwideConstants!$A$88,AS60,"")</f>
        <v/>
      </c>
      <c r="AV60" s="376">
        <f>IF(AC60=TRUE,IF(COUNT(K60:L60)=0,0,IF(L60="",K60,L60)),0)</f>
        <v>0</v>
      </c>
      <c r="AW60" s="375" t="b">
        <f>AND(AC60=TRUE,OR(AND(F60&lt;&gt;"",NOT(ISNUMBER(AA60))),L60&lt;&gt;"",F60="",AU60=""))</f>
        <v>0</v>
      </c>
      <c r="AX60" s="457" t="b">
        <f>AND(AC60=TRUE,NOT(AW60))</f>
        <v>0</v>
      </c>
      <c r="AY60" s="325"/>
      <c r="AZ60" s="379" t="b">
        <f>AND(ISNUMBER(AA60),AU60="")</f>
        <v>0</v>
      </c>
      <c r="BA60" s="380" t="b">
        <f>AND(ISNUMBER(AA60),AU60&lt;&gt;AV60)</f>
        <v>0</v>
      </c>
      <c r="BB60" s="325"/>
      <c r="BC60" s="33" t="b">
        <f>AND(F60&lt;&gt;"",OR(COUNTIF(INDEX(ScopeMethods,F60,),G60)=0,AND(AA60&lt;&gt;"",AU60&lt;&gt;AV60)))</f>
        <v>0</v>
      </c>
      <c r="BD60" s="325"/>
      <c r="BE60" s="325"/>
      <c r="BF60" s="325"/>
      <c r="BG60" s="325"/>
      <c r="BH60" s="325"/>
      <c r="BI60" s="325"/>
      <c r="BJ60" s="325"/>
      <c r="BK60" s="325"/>
      <c r="BL60" s="325"/>
      <c r="BM60" s="325"/>
      <c r="BN60" s="325"/>
      <c r="BO60" s="325"/>
      <c r="BP60" s="325"/>
      <c r="BQ60" s="325"/>
      <c r="BR60" s="325"/>
      <c r="BS60" s="325"/>
      <c r="BT60" s="325"/>
      <c r="BU60" s="325"/>
      <c r="BV60" s="325"/>
      <c r="BW60" s="325"/>
      <c r="BX60" s="325"/>
      <c r="BY60" s="325"/>
      <c r="BZ60" s="325"/>
      <c r="CA60" s="325"/>
      <c r="CB60" s="325"/>
      <c r="CC60" s="325"/>
      <c r="CD60" s="325"/>
      <c r="CE60" s="325"/>
      <c r="CF60" s="325"/>
      <c r="CG60" s="325"/>
    </row>
    <row r="61" spans="1:85" ht="12.75" customHeight="1" x14ac:dyDescent="0.25">
      <c r="A61" s="318"/>
      <c r="B61" s="21"/>
      <c r="C61" s="21"/>
      <c r="D61" s="21"/>
      <c r="E61" s="21"/>
      <c r="F61" s="21"/>
      <c r="G61" s="1130" t="str">
        <f>IF(G60="","",INDEX(ScopeMethodsDetails,MATCH(G60,INDEX(ScopeMethodsDetails,,1),0),2))</f>
        <v/>
      </c>
      <c r="H61" s="1131"/>
      <c r="I61" s="1131"/>
      <c r="J61" s="1131"/>
      <c r="K61" s="1131"/>
      <c r="L61" s="1131"/>
      <c r="M61" s="1132"/>
      <c r="N61" s="22"/>
      <c r="O61" s="323"/>
      <c r="P61" s="301"/>
      <c r="Q61" s="23"/>
      <c r="R61" s="23"/>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c r="BO61" s="325"/>
      <c r="BP61" s="325"/>
      <c r="BQ61" s="325"/>
      <c r="BR61" s="325"/>
      <c r="BS61" s="325"/>
      <c r="BT61" s="325"/>
      <c r="BU61" s="325"/>
      <c r="BV61" s="325"/>
      <c r="BW61" s="325"/>
      <c r="BX61" s="325"/>
      <c r="BY61" s="325"/>
      <c r="BZ61" s="325"/>
      <c r="CA61" s="325"/>
      <c r="CB61" s="325"/>
      <c r="CC61" s="325"/>
      <c r="CD61" s="325"/>
      <c r="CE61" s="325"/>
      <c r="CF61" s="325"/>
      <c r="CG61" s="325"/>
    </row>
    <row r="62" spans="1:85" ht="5.15" customHeight="1" x14ac:dyDescent="0.25">
      <c r="A62" s="318"/>
      <c r="C62" s="22"/>
      <c r="D62" s="22"/>
      <c r="E62" s="22"/>
      <c r="F62" s="22"/>
      <c r="G62" s="22"/>
      <c r="H62" s="22"/>
      <c r="I62" s="22"/>
      <c r="J62" s="22"/>
      <c r="K62" s="22"/>
      <c r="L62" s="22"/>
      <c r="O62" s="323"/>
      <c r="P62" s="301"/>
      <c r="Q62" s="23"/>
      <c r="R62" s="23"/>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c r="CA62" s="325"/>
      <c r="CB62" s="325"/>
      <c r="CC62" s="325"/>
      <c r="CD62" s="325"/>
      <c r="CE62" s="325"/>
      <c r="CF62" s="325"/>
      <c r="CG62" s="325"/>
    </row>
    <row r="63" spans="1:85" ht="12.75" customHeight="1" x14ac:dyDescent="0.25">
      <c r="A63" s="318"/>
      <c r="C63" s="22"/>
      <c r="D63" s="22"/>
      <c r="E63" s="22"/>
      <c r="F63" s="22"/>
      <c r="G63" s="1133">
        <v>1</v>
      </c>
      <c r="H63" s="1133"/>
      <c r="I63" s="1133">
        <v>2</v>
      </c>
      <c r="J63" s="1133"/>
      <c r="K63" s="1133">
        <v>3</v>
      </c>
      <c r="L63" s="1133"/>
      <c r="O63" s="323"/>
      <c r="P63" s="301"/>
      <c r="Q63" s="23"/>
      <c r="R63" s="23"/>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c r="BO63" s="325"/>
      <c r="BP63" s="325"/>
      <c r="BQ63" s="325"/>
      <c r="BR63" s="325"/>
      <c r="BS63" s="325"/>
      <c r="BT63" s="325"/>
      <c r="BU63" s="325"/>
      <c r="BV63" s="325"/>
      <c r="BW63" s="325"/>
      <c r="BX63" s="325"/>
      <c r="BY63" s="325"/>
      <c r="BZ63" s="325"/>
      <c r="CA63" s="325"/>
      <c r="CB63" s="325"/>
      <c r="CC63" s="325"/>
      <c r="CD63" s="325"/>
      <c r="CE63" s="325"/>
      <c r="CF63" s="325"/>
      <c r="CG63" s="325"/>
    </row>
    <row r="64" spans="1:85" ht="12.75" customHeight="1" x14ac:dyDescent="0.25">
      <c r="A64" s="389"/>
      <c r="B64" s="22"/>
      <c r="C64" s="22"/>
      <c r="D64" s="1134" t="str">
        <f>Translations!$B$372</f>
        <v>CRF-luokka</v>
      </c>
      <c r="E64" s="1134"/>
      <c r="F64" s="1135"/>
      <c r="G64" s="1123"/>
      <c r="H64" s="1124"/>
      <c r="I64" s="1123"/>
      <c r="J64" s="1124"/>
      <c r="K64" s="1123"/>
      <c r="L64" s="1124"/>
      <c r="M64" s="623" t="str">
        <f>IF(AND(E47&lt;&gt;"",COUNTA(G64:L64)=0,AX64=FALSE),EUconst_ERR_Incomplete,"")</f>
        <v/>
      </c>
      <c r="N64" s="22"/>
      <c r="O64" s="323"/>
      <c r="P64" s="301"/>
      <c r="Q64" s="23"/>
      <c r="R64" s="23"/>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3" t="b">
        <f>AND(AV60&lt;&gt;"",SUM(AV60=1))</f>
        <v>0</v>
      </c>
      <c r="AY64" s="325"/>
      <c r="AZ64" s="325"/>
      <c r="BA64" s="325"/>
      <c r="BB64" s="325"/>
      <c r="BC64" s="325"/>
      <c r="BD64" s="325"/>
      <c r="BE64" s="325"/>
      <c r="BF64" s="325"/>
      <c r="BG64" s="325"/>
      <c r="BH64" s="325"/>
      <c r="BI64" s="325"/>
      <c r="BJ64" s="325"/>
      <c r="BK64" s="325"/>
      <c r="BL64" s="325"/>
      <c r="BM64" s="325"/>
      <c r="BN64" s="325"/>
      <c r="BO64" s="325"/>
      <c r="BP64" s="325"/>
      <c r="BQ64" s="325"/>
      <c r="BR64" s="325"/>
      <c r="BS64" s="325"/>
      <c r="BT64" s="325"/>
      <c r="BU64" s="325"/>
      <c r="BV64" s="325"/>
      <c r="BW64" s="325"/>
      <c r="BX64" s="325"/>
      <c r="BY64" s="325"/>
      <c r="BZ64" s="325"/>
      <c r="CA64" s="325"/>
      <c r="CB64" s="325"/>
      <c r="CC64" s="325"/>
      <c r="CD64" s="325"/>
      <c r="CE64" s="325"/>
      <c r="CF64" s="325"/>
      <c r="CG64" s="325"/>
    </row>
    <row r="65" spans="1:85" ht="5.15" customHeight="1" x14ac:dyDescent="0.25">
      <c r="A65" s="318"/>
      <c r="B65" s="21"/>
      <c r="C65" s="21"/>
      <c r="D65" s="21"/>
      <c r="E65" s="21"/>
      <c r="F65" s="21"/>
      <c r="G65" s="22"/>
      <c r="H65" s="22"/>
      <c r="I65" s="22"/>
      <c r="J65" s="22"/>
      <c r="K65" s="22"/>
      <c r="L65" s="22"/>
      <c r="M65" s="22"/>
      <c r="N65" s="22"/>
      <c r="O65" s="323"/>
      <c r="P65" s="301"/>
      <c r="Q65" s="23"/>
      <c r="R65" s="23"/>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325"/>
      <c r="BG65" s="325"/>
      <c r="BH65" s="325"/>
      <c r="BI65" s="325"/>
      <c r="BJ65" s="325"/>
      <c r="BK65" s="325"/>
      <c r="BL65" s="325"/>
      <c r="BM65" s="325"/>
      <c r="BN65" s="325"/>
      <c r="BO65" s="325"/>
      <c r="BP65" s="325"/>
      <c r="BQ65" s="325"/>
      <c r="BR65" s="325"/>
      <c r="BS65" s="325"/>
      <c r="BT65" s="325"/>
      <c r="BU65" s="325"/>
      <c r="BV65" s="325"/>
      <c r="BW65" s="325"/>
      <c r="BX65" s="325"/>
      <c r="BY65" s="325"/>
      <c r="BZ65" s="325"/>
      <c r="CA65" s="325"/>
      <c r="CB65" s="325"/>
      <c r="CC65" s="325"/>
      <c r="CD65" s="325"/>
      <c r="CE65" s="325"/>
      <c r="CF65" s="325"/>
      <c r="CG65" s="325"/>
    </row>
    <row r="66" spans="1:85" ht="7" customHeight="1" x14ac:dyDescent="0.25">
      <c r="A66" s="318"/>
      <c r="B66" s="21"/>
      <c r="C66" s="21"/>
      <c r="D66" s="1134"/>
      <c r="E66" s="1134"/>
      <c r="F66" s="1134"/>
      <c r="G66" s="806"/>
      <c r="H66" s="807"/>
      <c r="I66" s="806"/>
      <c r="J66" s="236"/>
      <c r="K66" s="236"/>
      <c r="L66" s="236"/>
      <c r="M66" s="807"/>
      <c r="N66" s="808"/>
      <c r="O66" s="323"/>
      <c r="P66" s="301"/>
      <c r="Q66" s="23"/>
      <c r="R66" s="23"/>
      <c r="S66" s="388"/>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c r="BC66" s="325"/>
      <c r="BD66" s="325"/>
      <c r="BE66" s="325"/>
      <c r="BF66" s="325"/>
      <c r="BG66" s="325"/>
      <c r="BH66" s="325"/>
      <c r="BI66" s="325"/>
      <c r="BJ66" s="325"/>
      <c r="BK66" s="325"/>
      <c r="BL66" s="325"/>
      <c r="BM66" s="325"/>
      <c r="BN66" s="325"/>
      <c r="BO66" s="325"/>
      <c r="BP66" s="325"/>
      <c r="BQ66" s="325"/>
      <c r="BR66" s="325"/>
      <c r="BS66" s="325"/>
      <c r="BT66" s="325"/>
      <c r="BU66" s="325"/>
      <c r="BV66" s="325"/>
      <c r="BW66" s="325"/>
      <c r="BX66" s="325"/>
      <c r="BY66" s="325"/>
      <c r="BZ66" s="325"/>
      <c r="CA66" s="325"/>
      <c r="CB66" s="325"/>
      <c r="CC66" s="325"/>
      <c r="CD66" s="325"/>
      <c r="CE66" s="325"/>
      <c r="CF66" s="325"/>
      <c r="CG66" s="33" t="b">
        <f>CG53</f>
        <v>0</v>
      </c>
    </row>
    <row r="67" spans="1:85" ht="5.15" customHeight="1" x14ac:dyDescent="0.25">
      <c r="A67" s="389"/>
      <c r="B67" s="22"/>
      <c r="C67" s="22"/>
      <c r="D67" s="22"/>
      <c r="E67" s="22"/>
      <c r="F67" s="22"/>
      <c r="G67" s="22"/>
      <c r="H67" s="22"/>
      <c r="I67" s="22"/>
      <c r="J67" s="22"/>
      <c r="K67" s="22"/>
      <c r="L67" s="22"/>
      <c r="M67" s="22"/>
      <c r="N67" s="22"/>
      <c r="O67" s="323"/>
      <c r="P67" s="301"/>
      <c r="Q67" s="23"/>
      <c r="R67" s="23"/>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5"/>
      <c r="BD67" s="325"/>
      <c r="BE67" s="325"/>
      <c r="BF67" s="325"/>
      <c r="BG67" s="325"/>
      <c r="BH67" s="325"/>
      <c r="BI67" s="325"/>
      <c r="BJ67" s="325"/>
      <c r="BK67" s="325"/>
      <c r="BL67" s="325"/>
      <c r="BM67" s="325"/>
      <c r="BN67" s="325"/>
      <c r="BO67" s="325"/>
      <c r="BP67" s="325"/>
      <c r="BQ67" s="325"/>
      <c r="BR67" s="325"/>
      <c r="BS67" s="325"/>
      <c r="BT67" s="325"/>
      <c r="BU67" s="325"/>
      <c r="BV67" s="325"/>
      <c r="BW67" s="325"/>
      <c r="BX67" s="325"/>
      <c r="BY67" s="325"/>
      <c r="BZ67" s="325"/>
      <c r="CA67" s="325"/>
      <c r="CB67" s="325"/>
      <c r="CC67" s="325"/>
      <c r="CD67" s="325"/>
      <c r="CE67" s="325"/>
      <c r="CF67" s="325"/>
      <c r="CG67" s="325"/>
    </row>
    <row r="68" spans="1:85" ht="51" customHeight="1" x14ac:dyDescent="0.25">
      <c r="A68" s="389"/>
      <c r="B68" s="22"/>
      <c r="C68" s="22"/>
      <c r="D68" s="4"/>
      <c r="E68" s="1136" t="str">
        <f>Translations!$B$304</f>
        <v xml:space="preserve">Lisätiedot: 
tapa, jolla biomassan kestävyys on osoitettu; 
muut polttoainevirtaa koskevat lisätiedot. </v>
      </c>
      <c r="F68" s="1137"/>
      <c r="G68" s="1146"/>
      <c r="H68" s="1147"/>
      <c r="I68" s="1147"/>
      <c r="J68" s="1147"/>
      <c r="K68" s="1147"/>
      <c r="L68" s="1147"/>
      <c r="M68" s="1147"/>
      <c r="N68" s="1148"/>
      <c r="O68" s="323"/>
      <c r="P68" s="301"/>
      <c r="Q68" s="23"/>
      <c r="R68" s="23"/>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c r="BO68" s="325"/>
      <c r="BP68" s="325"/>
      <c r="BQ68" s="325"/>
      <c r="BR68" s="325"/>
      <c r="BS68" s="325"/>
      <c r="BT68" s="325"/>
      <c r="BU68" s="325"/>
      <c r="BV68" s="325"/>
      <c r="BW68" s="325"/>
      <c r="BX68" s="325"/>
      <c r="BY68" s="325"/>
      <c r="BZ68" s="325"/>
      <c r="CA68" s="325"/>
      <c r="CB68" s="325"/>
      <c r="CC68" s="325"/>
      <c r="CD68" s="325"/>
      <c r="CE68" s="325"/>
      <c r="CF68" s="325"/>
      <c r="CG68" s="33" t="b">
        <f>CG66</f>
        <v>0</v>
      </c>
    </row>
    <row r="69" spans="1:85" ht="12.75" customHeight="1" thickBot="1" x14ac:dyDescent="0.3">
      <c r="A69" s="318"/>
      <c r="B69" s="22"/>
      <c r="C69" s="319"/>
      <c r="D69" s="320"/>
      <c r="E69" s="321"/>
      <c r="F69" s="319"/>
      <c r="G69" s="322"/>
      <c r="H69" s="322"/>
      <c r="I69" s="322"/>
      <c r="J69" s="322"/>
      <c r="K69" s="322"/>
      <c r="L69" s="322"/>
      <c r="M69" s="322"/>
      <c r="N69" s="322"/>
      <c r="O69" s="323"/>
      <c r="P69" s="301"/>
      <c r="Q69" s="23"/>
      <c r="R69" s="23"/>
      <c r="S69" s="41"/>
      <c r="T69" s="41"/>
      <c r="U69" s="324"/>
      <c r="V69" s="41"/>
      <c r="W69" s="41"/>
      <c r="X69" s="324"/>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325"/>
      <c r="BN69" s="325"/>
      <c r="BO69" s="325"/>
      <c r="BP69" s="325"/>
      <c r="BQ69" s="325"/>
      <c r="BR69" s="325"/>
      <c r="BS69" s="325"/>
      <c r="BT69" s="325"/>
      <c r="BU69" s="41"/>
      <c r="BV69" s="41"/>
      <c r="BW69" s="41"/>
      <c r="BX69" s="41"/>
      <c r="BY69" s="41"/>
      <c r="BZ69" s="41"/>
      <c r="CA69" s="41"/>
      <c r="CB69" s="41"/>
      <c r="CC69" s="41"/>
      <c r="CD69" s="41"/>
      <c r="CE69" s="41"/>
      <c r="CF69" s="41"/>
      <c r="CG69" s="41"/>
    </row>
    <row r="70" spans="1:85" ht="12.75" customHeight="1" thickBot="1" x14ac:dyDescent="0.3">
      <c r="A70" s="326"/>
      <c r="B70" s="22"/>
      <c r="C70" s="22"/>
      <c r="D70" s="327"/>
      <c r="E70" s="328"/>
      <c r="F70" s="22"/>
      <c r="G70" s="1"/>
      <c r="H70" s="1"/>
      <c r="I70" s="1"/>
      <c r="J70" s="1"/>
      <c r="K70" s="22"/>
      <c r="L70" s="1"/>
      <c r="M70" s="1"/>
      <c r="N70" s="1"/>
      <c r="O70" s="323"/>
      <c r="P70" s="301"/>
      <c r="Q70" s="23"/>
      <c r="R70" s="23"/>
      <c r="S70" s="2"/>
      <c r="T70" s="20" t="str">
        <f>IF(ISBLANK(E71),"",MATCH(E71,CNTR_SourceStreamNames,0))</f>
        <v/>
      </c>
      <c r="U70" s="329" t="str">
        <f>IF(ISBLANK(E71),"",INDEX('B_Polttoainevirtojen tiedot'!$D$67:$D$91,MATCH(E71,CNTR_SourceStreamNames,0)))</f>
        <v/>
      </c>
      <c r="V70" s="60"/>
      <c r="W70" s="37"/>
      <c r="X70" s="37"/>
      <c r="Y70" s="37"/>
      <c r="Z70" s="41"/>
      <c r="AA70" s="41"/>
      <c r="AB70" s="41"/>
      <c r="AC70" s="41"/>
      <c r="AD70" s="41"/>
      <c r="AE70" s="41"/>
      <c r="AF70" s="41"/>
      <c r="AG70" s="41"/>
      <c r="AH70" s="41"/>
      <c r="AI70" s="41"/>
      <c r="AJ70" s="41"/>
      <c r="AK70" s="23"/>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30" t="s">
        <v>94</v>
      </c>
    </row>
    <row r="71" spans="1:85" ht="15" customHeight="1" thickBot="1" x14ac:dyDescent="0.3">
      <c r="A71" s="331">
        <f>C71</f>
        <v>2</v>
      </c>
      <c r="B71" s="21"/>
      <c r="C71" s="332">
        <f>C47+1</f>
        <v>2</v>
      </c>
      <c r="D71" s="21"/>
      <c r="E71" s="1117"/>
      <c r="F71" s="1118"/>
      <c r="G71" s="1118"/>
      <c r="H71" s="1118"/>
      <c r="I71" s="1118"/>
      <c r="J71" s="1119"/>
      <c r="K71" s="1138" t="str">
        <f>IF(INDEX('B_Polttoainevirtojen tiedot'!$K$100:$K$124,MATCH(U70,'B_Polttoainevirtojen tiedot'!$D$100:$D$124,0))&gt;0,INDEX('B_Polttoainevirtojen tiedot'!$K$100:$K$124,MATCH(U70,'B_Polttoainevirtojen tiedot'!$D$100:$D$124,0)),"")</f>
        <v/>
      </c>
      <c r="L71" s="1139"/>
      <c r="M71" s="328" t="str">
        <f>Translations!$B$374</f>
        <v>CO2 fossiilinen:</v>
      </c>
      <c r="N71" s="401" t="str">
        <f>IF(E72="","",BG77)</f>
        <v/>
      </c>
      <c r="O71" s="333" t="str">
        <f>EUconst_tCO2</f>
        <v>tCO2</v>
      </c>
      <c r="P71" s="610" t="str">
        <f>IF(AND(E71&lt;&gt;"",COUNTIF(P72:$P$811,"PRINT")=0),"PRINT","")</f>
        <v/>
      </c>
      <c r="Q71" s="335" t="str">
        <f>EUconst_SumCO2</f>
        <v>SUM_CO2</v>
      </c>
      <c r="R71" s="23"/>
      <c r="S71" s="2"/>
      <c r="T71" s="2"/>
      <c r="U71" s="2"/>
      <c r="V71" s="60"/>
      <c r="W71" s="37"/>
      <c r="X71" s="41"/>
      <c r="Y71" s="41"/>
      <c r="Z71" s="41"/>
      <c r="AA71" s="41"/>
      <c r="AB71" s="41"/>
      <c r="AC71" s="41"/>
      <c r="AD71" s="41"/>
      <c r="AE71" s="41"/>
      <c r="AF71" s="41"/>
      <c r="AG71" s="41"/>
      <c r="AH71" s="41"/>
      <c r="AI71" s="337"/>
      <c r="AJ71" s="337"/>
      <c r="AK71" s="337"/>
      <c r="AL71" s="337"/>
      <c r="AM71" s="337"/>
      <c r="AN71" s="337"/>
      <c r="AO71" s="337"/>
      <c r="AP71" s="337"/>
      <c r="AQ71" s="337"/>
      <c r="AR71" s="337"/>
      <c r="AS71" s="337"/>
      <c r="AT71" s="337"/>
      <c r="AU71" s="337"/>
      <c r="AV71" s="337"/>
      <c r="AW71" s="337"/>
      <c r="AX71" s="337"/>
      <c r="AY71" s="337"/>
      <c r="AZ71" s="337"/>
      <c r="BA71" s="337"/>
      <c r="BB71" s="337"/>
      <c r="BC71" s="337"/>
      <c r="BD71" s="337"/>
      <c r="BE71" s="337"/>
      <c r="BF71" s="337"/>
      <c r="BG71" s="337"/>
      <c r="BH71" s="337"/>
      <c r="BI71" s="483" t="str">
        <f>IF(E71="","",E71)</f>
        <v/>
      </c>
      <c r="BJ71" s="338" t="str">
        <f>IF(F77="","",F77)</f>
        <v/>
      </c>
      <c r="BK71" s="485">
        <f>AV77</f>
        <v>0</v>
      </c>
      <c r="BL71" s="485">
        <f>IF(BK71="","",BK71*(1-BP71))</f>
        <v>0</v>
      </c>
      <c r="BM71" s="338" t="str">
        <f>AJ77</f>
        <v/>
      </c>
      <c r="BN71" s="338" t="str">
        <f>IF(F84="","",F84)</f>
        <v/>
      </c>
      <c r="BO71" s="483" t="str">
        <f>IF(G84="","",G84)</f>
        <v/>
      </c>
      <c r="BP71" s="484">
        <f>AV84</f>
        <v>0</v>
      </c>
      <c r="BQ71" s="338" t="str">
        <f>IF(F80="","",F80)</f>
        <v/>
      </c>
      <c r="BR71" s="484">
        <f>AV80</f>
        <v>0</v>
      </c>
      <c r="BS71" s="484" t="str">
        <f>AJ80</f>
        <v/>
      </c>
      <c r="BT71" s="338" t="str">
        <f>IF(F79="","",F79)</f>
        <v/>
      </c>
      <c r="BU71" s="484">
        <f>IF(F79=EUconst_NA,"",AV79)</f>
        <v>0</v>
      </c>
      <c r="BV71" s="484" t="str">
        <f>AJ79</f>
        <v/>
      </c>
      <c r="BW71" s="338" t="str">
        <f>IF(F81="","",F81)</f>
        <v/>
      </c>
      <c r="BX71" s="484">
        <f>AV81</f>
        <v>0</v>
      </c>
      <c r="BY71" s="338" t="str">
        <f>IF(F82="","",F82)</f>
        <v/>
      </c>
      <c r="BZ71" s="484">
        <f>AV82</f>
        <v>0</v>
      </c>
      <c r="CA71" s="485" t="str">
        <f>N71</f>
        <v/>
      </c>
      <c r="CB71" s="485" t="str">
        <f>N72</f>
        <v/>
      </c>
      <c r="CC71" s="485" t="str">
        <f>R74</f>
        <v/>
      </c>
      <c r="CD71" s="485" t="str">
        <f>R76</f>
        <v/>
      </c>
      <c r="CE71" s="485" t="str">
        <f>R77</f>
        <v/>
      </c>
      <c r="CF71" s="37"/>
      <c r="CG71" s="339" t="b">
        <v>0</v>
      </c>
    </row>
    <row r="72" spans="1:85" ht="15" customHeight="1" thickBot="1" x14ac:dyDescent="0.3">
      <c r="A72" s="318"/>
      <c r="B72" s="21"/>
      <c r="C72" s="21"/>
      <c r="D72" s="21"/>
      <c r="E72" s="1127" t="str">
        <f>IF(ISBLANK(E71),"",IF(INDEX('B_Polttoainevirtojen tiedot'!$E$67:$E$91,MATCH(U70,'B_Polttoainevirtojen tiedot'!$D$67:$D$91,0))&gt;0,INDEX('B_Polttoainevirtojen tiedot'!$E$67:$E$91,MATCH(U70,'B_Polttoainevirtojen tiedot'!$D$67:$D$91,0)),""))</f>
        <v/>
      </c>
      <c r="F72" s="1128"/>
      <c r="G72" s="1128"/>
      <c r="H72" s="1128"/>
      <c r="I72" s="1128"/>
      <c r="J72" s="1129"/>
      <c r="K72" s="1138" t="str">
        <f>IF(INDEX('B_Polttoainevirtojen tiedot'!$M$100:$M$124,MATCH(U70,'B_Polttoainevirtojen tiedot'!$D$100:$D$124,0))&gt;0,INDEX('B_Polttoainevirtojen tiedot'!$M$100:$M$124,MATCH(U70,'B_Polttoainevirtojen tiedot'!$D$100:$D$124,0)),"")</f>
        <v/>
      </c>
      <c r="L72" s="1139"/>
      <c r="M72" s="340" t="str">
        <f>Translations!$B$375</f>
        <v>CO2 bio:</v>
      </c>
      <c r="N72" s="482" t="str">
        <f>IF(E72="","",BG79)</f>
        <v/>
      </c>
      <c r="O72" s="341" t="str">
        <f>EUconst_tCO2</f>
        <v>tCO2</v>
      </c>
      <c r="P72" s="301"/>
      <c r="Q72" s="335" t="str">
        <f>EUconst_SumBioCO2</f>
        <v>SUM_bioCO2</v>
      </c>
      <c r="R72" s="23"/>
      <c r="S72" s="2"/>
      <c r="T72" s="2"/>
      <c r="U72" s="2"/>
      <c r="V72" s="60"/>
      <c r="W72" s="37"/>
      <c r="X72" s="41"/>
      <c r="Y72" s="20" t="str">
        <f>Translations!$B$143</f>
        <v>Määrittämistasot</v>
      </c>
      <c r="Z72" s="325"/>
      <c r="AA72" s="325"/>
      <c r="AB72" s="325"/>
      <c r="AC72" s="325"/>
      <c r="AD72" s="325"/>
      <c r="AE72" s="20" t="s">
        <v>95</v>
      </c>
      <c r="AF72" s="41"/>
      <c r="AG72" s="342"/>
      <c r="AH72" s="325"/>
      <c r="AI72" s="325"/>
      <c r="AJ72" s="342"/>
      <c r="AK72" s="342"/>
      <c r="AL72" s="337"/>
      <c r="AM72" s="337"/>
      <c r="AN72" s="337"/>
      <c r="AO72" s="337"/>
      <c r="AP72" s="337"/>
      <c r="AQ72" s="20" t="s">
        <v>96</v>
      </c>
      <c r="AR72" s="343"/>
      <c r="AS72" s="343"/>
      <c r="AT72" s="325"/>
      <c r="AU72" s="325"/>
      <c r="AV72" s="325"/>
      <c r="AW72" s="325"/>
      <c r="AX72" s="325"/>
      <c r="AY72" s="325"/>
      <c r="AZ72" s="20" t="s">
        <v>97</v>
      </c>
      <c r="BA72" s="325"/>
      <c r="BB72" s="325"/>
      <c r="BC72" s="325"/>
      <c r="BD72" s="325"/>
      <c r="BE72" s="325"/>
      <c r="BF72" s="20" t="s">
        <v>98</v>
      </c>
      <c r="BG72" s="325"/>
      <c r="BH72" s="325"/>
      <c r="BI72" s="20" t="s">
        <v>99</v>
      </c>
      <c r="BJ72" s="338" t="str">
        <f>Translations!$B$376</f>
        <v>RFA-määrittämistaso</v>
      </c>
      <c r="BK72" s="338" t="str">
        <f>Translations!$B$377</f>
        <v>RFA</v>
      </c>
      <c r="BL72" s="338" t="str">
        <f>Translations!$B$378</f>
        <v>RFA (SF:n jälkeen)</v>
      </c>
      <c r="BM72" s="338" t="str">
        <f>Translations!$B$379</f>
        <v>RFA-yksikkö</v>
      </c>
      <c r="BN72" s="338" t="str">
        <f>Translations!$B$380</f>
        <v>SF-määrittämistaso</v>
      </c>
      <c r="BO72" s="338" t="str">
        <f>Translations!$B$380</f>
        <v>SF-määrittämistaso</v>
      </c>
      <c r="BP72" s="338" t="str">
        <f>Translations!$B$381</f>
        <v>SF</v>
      </c>
      <c r="BQ72" s="338" t="str">
        <f>Translations!$B$382</f>
        <v>EF-määrittämistaso</v>
      </c>
      <c r="BR72" s="338" t="str">
        <f>Translations!$B$383</f>
        <v>EF</v>
      </c>
      <c r="BS72" s="338" t="str">
        <f>Translations!$B$384</f>
        <v>EF-yksikkö</v>
      </c>
      <c r="BT72" s="338" t="str">
        <f>Translations!$B$385</f>
        <v>UCF-määrittämistaso</v>
      </c>
      <c r="BU72" s="338" t="str">
        <f>Translations!$B$386</f>
        <v>UCF</v>
      </c>
      <c r="BV72" s="338" t="str">
        <f>Translations!$B$387</f>
        <v>UCF-yksikkö</v>
      </c>
      <c r="BW72" s="338" t="str">
        <f>Translations!$B$388</f>
        <v>Bio-määrittämistaso</v>
      </c>
      <c r="BX72" s="338" t="s">
        <v>100</v>
      </c>
      <c r="BY72" s="338" t="str">
        <f>Translations!$B$389</f>
        <v>NonSustBio-määrittämistaso</v>
      </c>
      <c r="BZ72" s="338" t="s">
        <v>101</v>
      </c>
      <c r="CA72" s="338" t="str">
        <f>Translations!$B$390</f>
        <v>CO2 fossil</v>
      </c>
      <c r="CB72" s="338" t="str">
        <f>Translations!$B$391</f>
        <v>CO2 bio</v>
      </c>
      <c r="CC72" s="338" t="str">
        <f>Translations!$B$392</f>
        <v>CO2 non-sust</v>
      </c>
      <c r="CD72" s="338" t="s">
        <v>102</v>
      </c>
      <c r="CE72" s="338" t="s">
        <v>103</v>
      </c>
      <c r="CF72" s="325"/>
      <c r="CG72" s="325"/>
    </row>
    <row r="73" spans="1:85" ht="5.15" customHeight="1" thickBot="1" x14ac:dyDescent="0.3">
      <c r="A73" s="318"/>
      <c r="B73" s="21"/>
      <c r="C73" s="21"/>
      <c r="D73" s="21"/>
      <c r="E73" s="21"/>
      <c r="F73" s="21"/>
      <c r="G73" s="21"/>
      <c r="H73" s="22"/>
      <c r="I73" s="22"/>
      <c r="J73" s="22"/>
      <c r="K73" s="22"/>
      <c r="L73" s="22"/>
      <c r="M73" s="22"/>
      <c r="N73" s="22"/>
      <c r="O73" s="323"/>
      <c r="P73" s="301"/>
      <c r="Q73" s="23"/>
      <c r="R73" s="23"/>
      <c r="S73" s="2"/>
      <c r="T73" s="2"/>
      <c r="U73" s="2"/>
      <c r="V73" s="60"/>
      <c r="W73" s="325"/>
      <c r="X73" s="325"/>
      <c r="Y73" s="23"/>
      <c r="Z73" s="325"/>
      <c r="AA73" s="325"/>
      <c r="AB73" s="325"/>
      <c r="AC73" s="325"/>
      <c r="AD73" s="325"/>
      <c r="AE73" s="325"/>
      <c r="AF73" s="41"/>
      <c r="AG73" s="325"/>
      <c r="AH73" s="325"/>
      <c r="AI73" s="325"/>
      <c r="AJ73" s="342"/>
      <c r="AK73" s="342"/>
      <c r="AL73" s="337"/>
      <c r="AM73" s="337"/>
      <c r="AN73" s="337"/>
      <c r="AO73" s="337"/>
      <c r="AP73" s="337"/>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325"/>
      <c r="BZ73" s="325"/>
      <c r="CA73" s="325"/>
      <c r="CB73" s="325"/>
      <c r="CC73" s="325"/>
      <c r="CD73" s="325"/>
      <c r="CE73" s="325"/>
      <c r="CF73" s="325"/>
      <c r="CG73" s="325"/>
    </row>
    <row r="74" spans="1:85" ht="12.75" customHeight="1" thickBot="1" x14ac:dyDescent="0.3">
      <c r="A74" s="318"/>
      <c r="B74" s="21"/>
      <c r="C74" s="21"/>
      <c r="D74" s="21"/>
      <c r="E74" s="1140" t="str">
        <f>IF(E71="","",HYPERLINK("#JUMP_E_Top",EUconst_FurtherGuidancePoint1))</f>
        <v/>
      </c>
      <c r="F74" s="1140"/>
      <c r="G74" s="1140"/>
      <c r="H74" s="1140"/>
      <c r="I74" s="1140"/>
      <c r="J74" s="1140"/>
      <c r="K74" s="1140"/>
      <c r="L74" s="1140"/>
      <c r="M74" s="1140"/>
      <c r="N74" s="22"/>
      <c r="O74" s="323"/>
      <c r="P74" s="301"/>
      <c r="Q74" s="335" t="str">
        <f>EUconst_SumNonSustBioCO2</f>
        <v>SUM_bioNonSustCO2</v>
      </c>
      <c r="R74" s="500" t="str">
        <f>IF(E72="","",BG80)</f>
        <v/>
      </c>
      <c r="S74" s="2"/>
      <c r="T74" s="2"/>
      <c r="U74" s="2"/>
      <c r="V74" s="325"/>
      <c r="W74" s="325"/>
      <c r="X74" s="325"/>
      <c r="Y74" s="41"/>
      <c r="Z74" s="325"/>
      <c r="AA74" s="325"/>
      <c r="AB74" s="325"/>
      <c r="AC74" s="325"/>
      <c r="AD74" s="325"/>
      <c r="AE74" s="325"/>
      <c r="AF74" s="41"/>
      <c r="AG74" s="325"/>
      <c r="AH74" s="325"/>
      <c r="AI74" s="325"/>
      <c r="AJ74" s="342"/>
      <c r="AK74" s="342"/>
      <c r="AL74" s="337"/>
      <c r="AM74" s="337"/>
      <c r="AN74" s="337"/>
      <c r="AO74" s="337"/>
      <c r="AP74" s="337"/>
      <c r="AQ74" s="325"/>
      <c r="AR74" s="325"/>
      <c r="AS74" s="325"/>
      <c r="AT74" s="325"/>
      <c r="AU74" s="325"/>
      <c r="AV74" s="325"/>
      <c r="AW74" s="325"/>
      <c r="AX74" s="325"/>
      <c r="AY74" s="325"/>
      <c r="AZ74" s="325"/>
      <c r="BA74" s="325"/>
      <c r="BB74" s="325"/>
      <c r="BC74" s="325"/>
      <c r="BD74" s="325"/>
      <c r="BE74" s="325"/>
      <c r="BF74" s="325"/>
      <c r="BG74" s="325"/>
      <c r="BH74" s="325"/>
      <c r="BI74" s="20" t="s">
        <v>104</v>
      </c>
      <c r="BJ74" s="343"/>
      <c r="BK74" s="483" t="str">
        <f>IF(G88="","",G88)</f>
        <v/>
      </c>
      <c r="BL74" s="483" t="str">
        <f>IF(I88="","",I88)</f>
        <v/>
      </c>
      <c r="BM74" s="483" t="str">
        <f>IF(K88="","",K88)</f>
        <v/>
      </c>
      <c r="BN74" s="325"/>
      <c r="BO74" s="325"/>
      <c r="BP74" s="325"/>
      <c r="BQ74" s="325"/>
      <c r="BR74" s="325"/>
      <c r="BS74" s="325"/>
      <c r="BT74" s="330"/>
      <c r="BU74" s="325"/>
      <c r="BV74" s="325"/>
      <c r="BW74" s="325"/>
      <c r="BX74" s="325"/>
      <c r="BY74" s="325"/>
      <c r="BZ74" s="325"/>
      <c r="CA74" s="325"/>
      <c r="CB74" s="325"/>
      <c r="CC74" s="325"/>
      <c r="CD74" s="325"/>
      <c r="CE74" s="325"/>
      <c r="CF74" s="325"/>
      <c r="CG74" s="325"/>
    </row>
    <row r="75" spans="1:85" ht="5.15" customHeight="1" thickBot="1" x14ac:dyDescent="0.3">
      <c r="A75" s="318"/>
      <c r="B75" s="21"/>
      <c r="C75" s="21"/>
      <c r="D75" s="21"/>
      <c r="E75" s="21"/>
      <c r="F75" s="21"/>
      <c r="G75" s="21"/>
      <c r="H75" s="22"/>
      <c r="I75" s="22"/>
      <c r="J75" s="22"/>
      <c r="K75" s="22"/>
      <c r="L75" s="22"/>
      <c r="M75" s="22"/>
      <c r="N75" s="22"/>
      <c r="O75" s="323"/>
      <c r="P75" s="259"/>
      <c r="Q75" s="2"/>
      <c r="R75" s="259"/>
      <c r="S75" s="2"/>
      <c r="T75" s="2"/>
      <c r="U75" s="2"/>
      <c r="V75" s="325"/>
      <c r="W75" s="325"/>
      <c r="X75" s="325"/>
      <c r="Y75" s="23"/>
      <c r="Z75" s="325"/>
      <c r="AA75" s="325"/>
      <c r="AB75" s="325"/>
      <c r="AC75" s="325"/>
      <c r="AD75" s="325"/>
      <c r="AE75" s="325"/>
      <c r="AF75" s="41"/>
      <c r="AG75" s="325"/>
      <c r="AH75" s="325"/>
      <c r="AI75" s="325"/>
      <c r="AJ75" s="342"/>
      <c r="AK75" s="342"/>
      <c r="AL75" s="337"/>
      <c r="AM75" s="337"/>
      <c r="AN75" s="337"/>
      <c r="AO75" s="337"/>
      <c r="AP75" s="337"/>
      <c r="AQ75" s="325"/>
      <c r="AR75" s="325"/>
      <c r="AS75" s="325"/>
      <c r="AT75" s="325"/>
      <c r="AU75" s="325"/>
      <c r="AV75" s="325"/>
      <c r="AW75" s="325"/>
      <c r="AX75" s="325"/>
      <c r="AY75" s="325"/>
      <c r="AZ75" s="325"/>
      <c r="BA75" s="325"/>
      <c r="BB75" s="325"/>
      <c r="BC75" s="325"/>
      <c r="BD75" s="325"/>
      <c r="BE75" s="325"/>
      <c r="BF75" s="325"/>
      <c r="BG75" s="325"/>
      <c r="BH75" s="325"/>
      <c r="BI75" s="325"/>
      <c r="BJ75" s="325"/>
      <c r="BK75" s="325"/>
      <c r="BL75" s="325"/>
      <c r="BM75" s="325"/>
      <c r="BN75" s="325"/>
      <c r="BO75" s="325"/>
      <c r="BP75" s="325"/>
      <c r="BQ75" s="325"/>
      <c r="BR75" s="325"/>
      <c r="BS75" s="325"/>
      <c r="BT75" s="325"/>
      <c r="BU75" s="325"/>
      <c r="BV75" s="325"/>
      <c r="BW75" s="325"/>
      <c r="BX75" s="325"/>
      <c r="BY75" s="325"/>
      <c r="BZ75" s="325"/>
      <c r="CA75" s="325"/>
      <c r="CB75" s="325"/>
      <c r="CC75" s="325"/>
      <c r="CD75" s="325"/>
      <c r="CE75" s="325"/>
      <c r="CF75" s="325"/>
      <c r="CG75" s="325"/>
    </row>
    <row r="76" spans="1:85" ht="12.75" customHeight="1" thickBot="1" x14ac:dyDescent="0.3">
      <c r="A76" s="318"/>
      <c r="B76" s="21"/>
      <c r="C76" s="21"/>
      <c r="D76" s="21"/>
      <c r="E76" s="21"/>
      <c r="F76" s="347" t="str">
        <f>Translations!$B$127</f>
        <v>Määrittämistaso</v>
      </c>
      <c r="G76" s="1141" t="str">
        <f>Translations!$B$393</f>
        <v>määrittämistason kuvaus</v>
      </c>
      <c r="H76" s="1141"/>
      <c r="I76" s="1142" t="str">
        <f>Translations!$B$394</f>
        <v>Yksikkö</v>
      </c>
      <c r="J76" s="1142"/>
      <c r="K76" s="1142" t="str">
        <f>Translations!$B$395</f>
        <v>Arvo</v>
      </c>
      <c r="L76" s="1142"/>
      <c r="M76" s="327" t="str">
        <f>Translations!$B$396</f>
        <v>virhe</v>
      </c>
      <c r="N76" s="22"/>
      <c r="O76" s="323"/>
      <c r="P76" s="611"/>
      <c r="Q76" s="335" t="str">
        <f>EUconst_SumEnergyIN</f>
        <v>SUM_EnergyIN</v>
      </c>
      <c r="R76" s="501" t="str">
        <f>IF(E72="","",BG81)</f>
        <v/>
      </c>
      <c r="S76" s="325"/>
      <c r="T76" s="325"/>
      <c r="U76" s="325"/>
      <c r="V76" s="336" t="s">
        <v>105</v>
      </c>
      <c r="W76" s="325"/>
      <c r="X76" s="325"/>
      <c r="Y76" s="23" t="s">
        <v>106</v>
      </c>
      <c r="Z76" s="23" t="s">
        <v>107</v>
      </c>
      <c r="AA76" s="325"/>
      <c r="AB76" s="325"/>
      <c r="AC76" s="343" t="s">
        <v>108</v>
      </c>
      <c r="AD76" s="325"/>
      <c r="AE76" s="325"/>
      <c r="AF76" s="325" t="s">
        <v>109</v>
      </c>
      <c r="AG76" s="325" t="s">
        <v>110</v>
      </c>
      <c r="AH76" s="23" t="s">
        <v>111</v>
      </c>
      <c r="AI76" s="342" t="s">
        <v>112</v>
      </c>
      <c r="AJ76" s="342" t="s">
        <v>113</v>
      </c>
      <c r="AK76" s="348" t="s">
        <v>114</v>
      </c>
      <c r="AL76" s="337"/>
      <c r="AM76" s="337"/>
      <c r="AN76" s="337"/>
      <c r="AO76" s="337"/>
      <c r="AP76" s="337"/>
      <c r="AQ76" s="325"/>
      <c r="AR76" s="325" t="s">
        <v>109</v>
      </c>
      <c r="AS76" s="325" t="s">
        <v>110</v>
      </c>
      <c r="AT76" s="349" t="s">
        <v>115</v>
      </c>
      <c r="AU76" s="342" t="s">
        <v>116</v>
      </c>
      <c r="AV76" s="342" t="s">
        <v>117</v>
      </c>
      <c r="AW76" s="348" t="s">
        <v>114</v>
      </c>
      <c r="AX76" s="348" t="s">
        <v>114</v>
      </c>
      <c r="AY76" s="325"/>
      <c r="AZ76" s="325"/>
      <c r="BA76" s="325"/>
      <c r="BB76" s="325" t="s">
        <v>118</v>
      </c>
      <c r="BC76" s="325"/>
      <c r="BD76" s="325"/>
      <c r="BE76" s="325"/>
      <c r="BF76" s="325"/>
      <c r="BG76" s="330" t="str">
        <f>EUconst_Fuel</f>
        <v>Poltto</v>
      </c>
      <c r="BH76" s="325"/>
      <c r="BI76" s="325"/>
      <c r="BJ76" s="325"/>
      <c r="BK76" s="325"/>
      <c r="BL76" s="325"/>
      <c r="BM76" s="325"/>
      <c r="BN76" s="325"/>
      <c r="BO76" s="325"/>
      <c r="BP76" s="325"/>
      <c r="BQ76" s="325"/>
      <c r="BR76" s="325"/>
      <c r="BS76" s="325"/>
      <c r="BT76" s="325"/>
      <c r="BU76" s="325"/>
      <c r="BV76" s="325"/>
      <c r="BW76" s="325"/>
      <c r="BX76" s="325"/>
      <c r="BY76" s="325"/>
      <c r="BZ76" s="325"/>
      <c r="CA76" s="325"/>
      <c r="CB76" s="325"/>
      <c r="CC76" s="325"/>
      <c r="CD76" s="325"/>
      <c r="CE76" s="325"/>
      <c r="CF76" s="325"/>
      <c r="CG76" s="330" t="s">
        <v>94</v>
      </c>
    </row>
    <row r="77" spans="1:85" ht="12.75" customHeight="1" thickBot="1" x14ac:dyDescent="0.3">
      <c r="A77" s="318"/>
      <c r="B77" s="818"/>
      <c r="C77" s="818"/>
      <c r="D77" s="345" t="str">
        <f>Translations!$B$356</f>
        <v>Polttoaineen määrä:</v>
      </c>
      <c r="E77" s="350"/>
      <c r="F77" s="351"/>
      <c r="G77" s="1120" t="str">
        <f>IF(OR(ISBLANK(F77),F77=EUconst_NoTier),"",IF(Z77=0,EUconst_NA,IF(ISERROR(Z77),"",Z77)))</f>
        <v/>
      </c>
      <c r="H77" s="1122"/>
      <c r="I77" s="352" t="str">
        <f>IF(J77&lt;&gt;"","",AI77)</f>
        <v/>
      </c>
      <c r="J77" s="353"/>
      <c r="K77" s="1143"/>
      <c r="L77" s="1144"/>
      <c r="M77" s="486" t="str">
        <f>IF(AND(E72&lt;&gt;"",OR(F77="",COUNT(K77)=0),Y77&lt;&gt;EUconst_NA),EUconst_ERR_Incomplete,"")</f>
        <v/>
      </c>
      <c r="N77" s="22"/>
      <c r="O77" s="323"/>
      <c r="P77" s="612"/>
      <c r="Q77" s="335" t="str">
        <f>EUconst_SumBioEnergyIN</f>
        <v>SUM_BioEnergyIN</v>
      </c>
      <c r="R77" s="501" t="str">
        <f>IF(E72="","",BG82)</f>
        <v/>
      </c>
      <c r="S77" s="325"/>
      <c r="T77" s="355" t="str">
        <f>EUconst_CNTR_ActivityData&amp;E72</f>
        <v>ActivityData_</v>
      </c>
      <c r="U77" s="23"/>
      <c r="V77" s="355" t="str">
        <f>IF(E71="","",INDEX('B_Polttoainevirtojen tiedot'!$I$67:$I$91,MATCH(U70,'B_Polttoainevirtojen tiedot'!$D$67:$D$91,0)))</f>
        <v/>
      </c>
      <c r="W77" s="342" t="s">
        <v>121</v>
      </c>
      <c r="X77" s="23"/>
      <c r="Y77" s="356" t="str">
        <f>IF(E72="","",INDEX(EUwideConstants!$P$153:$P$180,MATCH(T77,EUwideConstants!$S$153:$S$180,0)))</f>
        <v/>
      </c>
      <c r="Z77" s="357" t="str">
        <f>IF(ISBLANK(F77),"",IF(F77=EUconst_NA,"",INDEX(EUwideConstants!$H:$O,MATCH(T77,EUwideConstants!$S:$S,0),MATCH(F77,CNTR_TierList,0))))</f>
        <v/>
      </c>
      <c r="AA77" s="358" t="s">
        <v>111</v>
      </c>
      <c r="AB77" s="342"/>
      <c r="AC77" s="339" t="b">
        <f>E71&lt;&gt;""</f>
        <v>0</v>
      </c>
      <c r="AD77" s="325"/>
      <c r="AE77" s="359" t="str">
        <f>EUconst_CNTR_ActivityData&amp;EUconst_Unit</f>
        <v>ActivityData_Yksikkö</v>
      </c>
      <c r="AF77" s="360" t="str">
        <f>IF(AC77=TRUE, IF(COUNTIF(MSPara_SourceStreamCategory,V77)=0,"",INDEX(MSPara_CalcFactorsMatrix,MATCH(V77,MSPara_SourceStreamCategory,0),MATCH(AE77&amp;"_"&amp;2,MSPara_CalcFactors,0))),"")</f>
        <v/>
      </c>
      <c r="AG77" s="361" t="str">
        <f>IF(AC77=TRUE, IF(COUNTIF(MSPara_SourceStreamCategory,V77)=0,"",INDEX(MSPara_CalcFactorsMatrix,MATCH(V77,MSPara_SourceStreamCategory,0),MATCH(AE77&amp;"_"&amp;1,MSPara_CalcFactors,0))),"")</f>
        <v/>
      </c>
      <c r="AH77" s="339" t="str">
        <f>IF(OR(AF77="",AF77=EUconst_NA),IF(OR(AG77=EUconst_NA,AG77=""),"",AG77),AF77)</f>
        <v/>
      </c>
      <c r="AI77" s="356" t="str">
        <f>IF(AC77=TRUE,IF(AH77="",EUconst_t,AH77),"")</f>
        <v/>
      </c>
      <c r="AJ77" s="362" t="str">
        <f>IF(J77="",AI77,J77)</f>
        <v/>
      </c>
      <c r="AK77" s="363" t="b">
        <f>AND(E71&lt;&gt;"",J77&lt;&gt;"")</f>
        <v>0</v>
      </c>
      <c r="AL77" s="337"/>
      <c r="AM77" s="404" t="s">
        <v>122</v>
      </c>
      <c r="AN77" s="403" t="str">
        <f>AJ77</f>
        <v/>
      </c>
      <c r="AO77" s="337"/>
      <c r="AP77" s="337"/>
      <c r="AQ77" s="355" t="str">
        <f>EUconst_CNTR_ActivityData&amp;EUconst_Value</f>
        <v>ActivityData_Arvo</v>
      </c>
      <c r="AR77" s="343"/>
      <c r="AS77" s="343"/>
      <c r="AT77" s="339" t="b">
        <f>AND(AND(AH77&lt;&gt;"",AJ77&lt;&gt;""),AJ77=AH77)</f>
        <v>0</v>
      </c>
      <c r="AU77" s="325"/>
      <c r="AV77" s="339">
        <f>IF(Y77=EUconst_NA,0,IF(COUNT(K77:K77)=0,0,IF(K77="",#REF!,K77)))</f>
        <v>0</v>
      </c>
      <c r="AW77" s="346" t="b">
        <f>AND(AC77=TRUE,OR(K77&lt;&gt;"",AU77=""))</f>
        <v>0</v>
      </c>
      <c r="AX77" s="346" t="b">
        <f>AND(AC77=TRUE,NOT(AW77))</f>
        <v>0</v>
      </c>
      <c r="AY77" s="325"/>
      <c r="AZ77" s="325" t="s">
        <v>123</v>
      </c>
      <c r="BA77" s="325" t="s">
        <v>124</v>
      </c>
      <c r="BB77" s="346"/>
      <c r="BC77" s="325" t="s">
        <v>125</v>
      </c>
      <c r="BD77" s="325"/>
      <c r="BE77" s="325"/>
      <c r="BF77" s="400" t="str">
        <f>Translations!$B$390</f>
        <v>CO2 fossil</v>
      </c>
      <c r="BG77" s="495" t="str">
        <f>IF(COUNTIF(AO80:AO81,TRUE)=0,"",AV77*IF(AO80,1,AV79*AN81)*AV80*(1-AV81)*AV84)</f>
        <v/>
      </c>
      <c r="BH77" s="325"/>
      <c r="BI77" s="325"/>
      <c r="BJ77" s="325"/>
      <c r="BK77" s="325"/>
      <c r="BL77" s="325"/>
      <c r="BM77" s="325"/>
      <c r="BN77" s="325"/>
      <c r="BO77" s="325"/>
      <c r="BP77" s="325"/>
      <c r="BQ77" s="325"/>
      <c r="BR77" s="325"/>
      <c r="BS77" s="325"/>
      <c r="BT77" s="325"/>
      <c r="BU77" s="325"/>
      <c r="BV77" s="325"/>
      <c r="BW77" s="325"/>
      <c r="BX77" s="325"/>
      <c r="BY77" s="325"/>
      <c r="BZ77" s="325"/>
      <c r="CA77" s="325"/>
      <c r="CB77" s="325"/>
      <c r="CC77" s="325"/>
      <c r="CD77" s="325"/>
      <c r="CE77" s="325"/>
      <c r="CF77" s="325"/>
      <c r="CG77" s="346" t="b">
        <v>0</v>
      </c>
    </row>
    <row r="78" spans="1:85" ht="5.15" customHeight="1" thickBot="1" x14ac:dyDescent="0.3">
      <c r="A78" s="318"/>
      <c r="B78" s="818"/>
      <c r="C78" s="818"/>
      <c r="D78" s="188"/>
      <c r="E78" s="22"/>
      <c r="F78" s="22"/>
      <c r="G78" s="22"/>
      <c r="H78" s="22" t="str">
        <f>Translations!$B$397</f>
        <v xml:space="preserve"> </v>
      </c>
      <c r="I78" s="364"/>
      <c r="J78" s="364"/>
      <c r="K78" s="22"/>
      <c r="L78" s="22"/>
      <c r="M78" s="487"/>
      <c r="N78" s="22"/>
      <c r="O78" s="323"/>
      <c r="P78" s="301"/>
      <c r="Q78" s="23"/>
      <c r="R78" s="23"/>
      <c r="S78" s="325"/>
      <c r="T78" s="277"/>
      <c r="U78" s="23"/>
      <c r="V78" s="325"/>
      <c r="W78" s="325"/>
      <c r="X78" s="23"/>
      <c r="Y78" s="330"/>
      <c r="Z78" s="325"/>
      <c r="AA78" s="325"/>
      <c r="AB78" s="325"/>
      <c r="AC78" s="325"/>
      <c r="AD78" s="325"/>
      <c r="AE78" s="325"/>
      <c r="AF78" s="325"/>
      <c r="AG78" s="325"/>
      <c r="AH78" s="325"/>
      <c r="AI78" s="325"/>
      <c r="AJ78" s="325"/>
      <c r="AK78" s="325"/>
      <c r="AL78" s="337"/>
      <c r="AM78" s="337"/>
      <c r="AN78" s="337"/>
      <c r="AO78" s="337"/>
      <c r="AP78" s="337"/>
      <c r="AQ78" s="325"/>
      <c r="AR78" s="325"/>
      <c r="AS78" s="325"/>
      <c r="AT78" s="325"/>
      <c r="AU78" s="325"/>
      <c r="AV78" s="325"/>
      <c r="AW78" s="325"/>
      <c r="AX78" s="325"/>
      <c r="AY78" s="325"/>
      <c r="AZ78" s="325"/>
      <c r="BA78" s="325"/>
      <c r="BB78" s="325"/>
      <c r="BC78" s="325"/>
      <c r="BD78" s="325"/>
      <c r="BE78" s="325"/>
      <c r="BF78" s="325"/>
      <c r="BG78" s="496"/>
      <c r="BH78" s="325"/>
      <c r="BI78" s="325"/>
      <c r="BJ78" s="325"/>
      <c r="BK78" s="325"/>
      <c r="BL78" s="325"/>
      <c r="BM78" s="325"/>
      <c r="BN78" s="325"/>
      <c r="BO78" s="325"/>
      <c r="BP78" s="325"/>
      <c r="BQ78" s="325"/>
      <c r="BR78" s="325"/>
      <c r="BS78" s="325"/>
      <c r="BT78" s="325"/>
      <c r="BU78" s="325"/>
      <c r="BV78" s="325"/>
      <c r="BW78" s="325"/>
      <c r="BX78" s="325"/>
      <c r="BY78" s="325"/>
      <c r="BZ78" s="325"/>
      <c r="CA78" s="325"/>
      <c r="CB78" s="325"/>
      <c r="CC78" s="325"/>
      <c r="CD78" s="325"/>
      <c r="CE78" s="325"/>
      <c r="CF78" s="325"/>
      <c r="CG78" s="330"/>
    </row>
    <row r="79" spans="1:85" ht="12.75" customHeight="1" thickBot="1" x14ac:dyDescent="0.3">
      <c r="A79" s="318"/>
      <c r="B79" s="818"/>
      <c r="C79" s="818"/>
      <c r="D79" s="345" t="str">
        <f>Translations!$B$360</f>
        <v>Yksikön muuntokerroin:</v>
      </c>
      <c r="E79" s="350"/>
      <c r="F79" s="443"/>
      <c r="G79" s="1120" t="str">
        <f>IF(OR(ISBLANK(F79),F79=EUconst_NoTier),"",IF(Z79=0,EUconst_NotApplicable,IF(ISERROR(Z79),"",Z79)))</f>
        <v/>
      </c>
      <c r="H79" s="1122"/>
      <c r="I79" s="444" t="str">
        <f>IF(J79&lt;&gt;"","",AI79)</f>
        <v/>
      </c>
      <c r="J79" s="445"/>
      <c r="K79" s="632" t="str">
        <f>IF(L79="",AU79,"")</f>
        <v/>
      </c>
      <c r="L79" s="633"/>
      <c r="M79" s="486" t="str">
        <f>IF(AND(E72&lt;&gt;"",OR(F79="",COUNT(K79:L79)=0),Y79&lt;&gt;EUconst_NA),EUconst_ERR_Incomplete,IF(COUNTIF(BB79:BD79,TRUE)&gt;0,EUconst_ERR_Inconsistent,""))</f>
        <v/>
      </c>
      <c r="N79" s="752"/>
      <c r="O79" s="323"/>
      <c r="P79" s="301"/>
      <c r="Q79" s="23"/>
      <c r="R79" s="23"/>
      <c r="S79" s="325"/>
      <c r="T79" s="365" t="str">
        <f>EUconst_CNTR_UCF&amp;E72</f>
        <v>UCF_</v>
      </c>
      <c r="U79" s="23"/>
      <c r="V79" s="366" t="str">
        <f>V80</f>
        <v/>
      </c>
      <c r="W79" s="325"/>
      <c r="X79" s="23"/>
      <c r="Y79" s="448" t="str">
        <f>IF(E72="","",IF(OR(F79=EUconst_NA,W79=TRUE),EUconst_NA,INDEX(EUwideConstants!$P$153:$P$180,MATCH(T79,EUwideConstants!$S$153:$S$180,0))))</f>
        <v/>
      </c>
      <c r="Z79" s="471" t="str">
        <f>IF(ISBLANK(F79),"",IF(F79=EUconst_NA,"",INDEX(EUwideConstants!$H:$O,MATCH(T79,EUwideConstants!$S:$S,0),MATCH(F79,CNTR_TierList,0))))</f>
        <v/>
      </c>
      <c r="AA79" s="449" t="str">
        <f>IF(COUNTIF(EUconst_DefaultValues,Z79)&gt;0,MATCH(Z79,EUconst_DefaultValues,0),"")</f>
        <v/>
      </c>
      <c r="AB79" s="325"/>
      <c r="AC79" s="367" t="b">
        <f>AND(AC77,Y79&lt;&gt;EUconst_NA)</f>
        <v>0</v>
      </c>
      <c r="AD79" s="325"/>
      <c r="AE79" s="359" t="str">
        <f>EUconst_CNTR_UCF&amp;EUconst_Unit</f>
        <v>UCF_Yksikkö</v>
      </c>
      <c r="AF79" s="368" t="str">
        <f>IF(AC79=TRUE, IF(COUNTIF(MSPara_SourceStreamCategory,V79)=0,"",INDEX(MSPara_CalcFactorsMatrix,MATCH(V79,MSPara_SourceStreamCategory,0),MATCH(AE79&amp;"_"&amp;2,MSPara_CalcFactors,0))),"")</f>
        <v/>
      </c>
      <c r="AG79" s="372" t="str">
        <f>IF(AC79=TRUE, IF(COUNTIF(MSPara_SourceStreamCategory,V79)=0,"",INDEX(MSPara_CalcFactorsMatrix,MATCH(V79,MSPara_SourceStreamCategory,0),MATCH(AE79&amp;"_"&amp;1,MSPara_CalcFactors,0))),"")</f>
        <v/>
      </c>
      <c r="AH79" s="367" t="str">
        <f>IF(AA79="","",INDEX(AF79:AG79,3-AA79))</f>
        <v/>
      </c>
      <c r="AI79" s="367" t="str">
        <f>IF(AC79=TRUE,IF(OR(AH79="",AH79=EUconst_NA),EUconst_GJ&amp;"/"&amp;AJ77,AH79),"")</f>
        <v/>
      </c>
      <c r="AJ79" s="367" t="str">
        <f>IF(J79="",AI79,J79)</f>
        <v/>
      </c>
      <c r="AK79" s="366" t="b">
        <f>AND(E71&lt;&gt;"",J79&lt;&gt;"")</f>
        <v>0</v>
      </c>
      <c r="AL79" s="337"/>
      <c r="AM79" s="404" t="s">
        <v>127</v>
      </c>
      <c r="AN79" s="403" t="str">
        <f>IF(AJ79="",EUconst_NA,IF(AN77=EUconst_TJ,EUconst_TJ,INDEX(EUwideConstants!$C$124:$G$128,MATCH(AN77,RFAUnits,0),MATCH(AJ79,UCFUnits,0))))</f>
        <v>ei sovellettavissa</v>
      </c>
      <c r="AO79" s="337"/>
      <c r="AP79" s="337"/>
      <c r="AQ79" s="454" t="str">
        <f>EUconst_CNTR_UCF&amp;EUconst_Value</f>
        <v>UCF_Arvo</v>
      </c>
      <c r="AR79" s="475" t="str">
        <f>IF(AC79=TRUE,IF(COUNTIF(MSPara_SourceStreamCategory,V79)=0,"",INDEX(MSPara_CalcFactorsMatrix,MATCH(V79,MSPara_SourceStreamCategory,0),MATCH(AQ79&amp;"_"&amp;2,MSPara_CalcFactors,0))),"")</f>
        <v/>
      </c>
      <c r="AS79" s="371" t="str">
        <f>IF(AC79=TRUE,IF(COUNTIF(MSPara_SourceStreamCategory,V79)=0,"",INDEX(MSPara_CalcFactorsMatrix,MATCH(V79,MSPara_SourceStreamCategory,0),MATCH(AQ79&amp;"_"&amp;1,MSPara_CalcFactors,0))),"")</f>
        <v/>
      </c>
      <c r="AT79" s="369" t="b">
        <f>AND(AND(AH79&lt;&gt;"",AJ79&lt;&gt;""),AJ79=AH79)</f>
        <v>0</v>
      </c>
      <c r="AU79" s="381" t="str">
        <f>IF(AND(AA79&lt;&gt;"",AT79=TRUE),IF(OR(INDEX(AR79:AS79,3-AA79)=EUconst_NA,INDEX(AR79:AS79,3-AA79)=0),"",INDEX(AR79:AS79,3-AA79)),"")</f>
        <v/>
      </c>
      <c r="AV79" s="367">
        <f>IF(AC79=TRUE,IF(COUNT(K79:L79)=0,0,IF(L79="",K79,L79)),0)</f>
        <v>0</v>
      </c>
      <c r="AW79" s="366" t="b">
        <f>AND(AC79=TRUE,OR(AND(F79&lt;&gt;"",NOT(ISNUMBER(AA79))),L79&lt;&gt;"",F79="",AU79=""))</f>
        <v>0</v>
      </c>
      <c r="AX79" s="370" t="b">
        <f>AND(AC79=TRUE,NOT(AW79))</f>
        <v>0</v>
      </c>
      <c r="AY79" s="325"/>
      <c r="AZ79" s="373" t="b">
        <f>AND(ISNUMBER(AA79),AU79="")</f>
        <v>0</v>
      </c>
      <c r="BA79" s="399" t="b">
        <f>AND(ISNUMBER(AA79),AU79&lt;&gt;AV79)</f>
        <v>0</v>
      </c>
      <c r="BB79" s="366" t="b">
        <f>AND(E72&lt;&gt;"",F79&lt;&gt;EUconst_NA,AN79=EUconst_NA)</f>
        <v>0</v>
      </c>
      <c r="BC79" s="366" t="b">
        <f>AND(L79&lt;&gt;"",Y79=EUconst_NA)</f>
        <v>0</v>
      </c>
      <c r="BD79" s="325"/>
      <c r="BE79" s="325"/>
      <c r="BF79" s="373" t="s">
        <v>128</v>
      </c>
      <c r="BG79" s="497" t="str">
        <f>IF(COUNTIF(AO80:AO81,TRUE)=0,"",AV77*IF(AO80,1,AV79*AN81)*AV80*AV81*AV84)</f>
        <v/>
      </c>
      <c r="BH79" s="325"/>
      <c r="BI79" s="325"/>
      <c r="BJ79" s="325"/>
      <c r="BK79" s="325"/>
      <c r="BL79" s="325"/>
      <c r="BM79" s="325"/>
      <c r="BN79" s="325"/>
      <c r="BO79" s="325"/>
      <c r="BP79" s="325"/>
      <c r="BQ79" s="325"/>
      <c r="BR79" s="325"/>
      <c r="BS79" s="325"/>
      <c r="BT79" s="325"/>
      <c r="BU79" s="325"/>
      <c r="BV79" s="325"/>
      <c r="BW79" s="325"/>
      <c r="BX79" s="325"/>
      <c r="BY79" s="325"/>
      <c r="BZ79" s="325"/>
      <c r="CA79" s="325"/>
      <c r="CB79" s="325"/>
      <c r="CC79" s="325"/>
      <c r="CD79" s="325"/>
      <c r="CE79" s="325"/>
      <c r="CF79" s="325"/>
      <c r="CG79" s="375" t="b">
        <f>OR(CG77,Y79=EUconst_NA)</f>
        <v>0</v>
      </c>
    </row>
    <row r="80" spans="1:85" ht="12.75" customHeight="1" thickBot="1" x14ac:dyDescent="0.3">
      <c r="A80" s="318"/>
      <c r="B80" s="818"/>
      <c r="C80" s="818"/>
      <c r="D80" s="345" t="str">
        <f>Translations!$B$358</f>
        <v>Päästökerroin (alustava):</v>
      </c>
      <c r="E80" s="350"/>
      <c r="F80" s="624"/>
      <c r="G80" s="1120" t="str">
        <f>IF(OR(ISBLANK(F80),F80=EUconst_NoTier),"",IF(Z80=0,EUconst_NotApplicable,IF(ISERROR(Z80),"",Z80)))</f>
        <v/>
      </c>
      <c r="H80" s="1121"/>
      <c r="I80" s="625" t="str">
        <f>IF(J80&lt;&gt;"","",AI80)</f>
        <v/>
      </c>
      <c r="J80" s="631"/>
      <c r="K80" s="634" t="str">
        <f>IF(L80="",AU80,"")</f>
        <v/>
      </c>
      <c r="L80" s="754"/>
      <c r="M80" s="486" t="str">
        <f>IF(AND(E72&lt;&gt;"",OR(F80="",COUNT(K80:L80)=0),Y80&lt;&gt;EUconst_NA),EUconst_ERR_Incomplete,IF(COUNTIF(BB80:BD80,TRUE)&gt;0,EUconst_ERR_Inconsistent,""))</f>
        <v/>
      </c>
      <c r="N80" s="753"/>
      <c r="O80" s="323"/>
      <c r="P80" s="301"/>
      <c r="Q80" s="23"/>
      <c r="R80" s="23"/>
      <c r="S80" s="325"/>
      <c r="T80" s="374" t="str">
        <f>EUconst_CNTR_EF&amp;E72</f>
        <v>EF_</v>
      </c>
      <c r="U80" s="23"/>
      <c r="V80" s="375" t="str">
        <f>V77</f>
        <v/>
      </c>
      <c r="W80" s="325"/>
      <c r="X80" s="23"/>
      <c r="Y80" s="450" t="str">
        <f>IF(E72="","",IF(OR(F80=EUconst_NA,W80=TRUE),EUconst_NA,INDEX(EUwideConstants!$P$153:$P$180,MATCH(T80,EUwideConstants!$S$153:$S$180,0))))</f>
        <v/>
      </c>
      <c r="Z80" s="472" t="str">
        <f>IF(ISBLANK(F80),"",IF(F80=EUconst_NA,"",INDEX(EUwideConstants!$H:$O,MATCH(T80,EUwideConstants!$S:$S,0),MATCH(F80,CNTR_TierList,0))))</f>
        <v/>
      </c>
      <c r="AA80" s="451" t="str">
        <f>IF(COUNTIF(EUconst_DefaultValues,Z80)&gt;0,MATCH(Z80,EUconst_DefaultValues,0),"")</f>
        <v/>
      </c>
      <c r="AB80" s="325"/>
      <c r="AC80" s="376" t="b">
        <f>AND(AC77,Y80&lt;&gt;EUconst_NA)</f>
        <v>0</v>
      </c>
      <c r="AD80" s="325"/>
      <c r="AE80" s="377" t="str">
        <f>EUconst_CNTR_EF&amp;EUconst_Unit</f>
        <v>EF_Yksikkö</v>
      </c>
      <c r="AF80" s="378" t="str">
        <f>IF(AC80=TRUE, IF(COUNTIF(MSPara_SourceStreamCategory,V80)=0,"",INDEX(MSPara_CalcFactorsMatrix,MATCH(V80,MSPara_SourceStreamCategory,0),MATCH(AE80&amp;"_"&amp;2,MSPara_CalcFactors,0))),"")</f>
        <v/>
      </c>
      <c r="AG80" s="464" t="str">
        <f>IF(AC80=TRUE, IF(COUNTIF(MSPara_SourceStreamCategory,V80)=0,"",INDEX(MSPara_CalcFactorsMatrix,MATCH(V80,MSPara_SourceStreamCategory,0),MATCH(AE80&amp;"_"&amp;1,MSPara_CalcFactors,0))),"")</f>
        <v/>
      </c>
      <c r="AH80" s="376" t="str">
        <f>IF(AA80="","",INDEX(AF80:AG80,3-AA80))</f>
        <v/>
      </c>
      <c r="AI80" s="376" t="str">
        <f>IF(AC80=TRUE,IF(OR(AH80="",AH80=EUconst_NA),EUconst_tCO2&amp;"/"&amp;IF(AN79=EUconst_NA,AN77,IF(AN79=EUconst_GJ,EUconst_TJ,AN79)),AH80),"")</f>
        <v/>
      </c>
      <c r="AJ80" s="376" t="str">
        <f>IF(J80="",AI80,J80)</f>
        <v/>
      </c>
      <c r="AK80" s="375" t="b">
        <f>AND(E72&lt;&gt;"",J80&lt;&gt;"")</f>
        <v>0</v>
      </c>
      <c r="AL80" s="337"/>
      <c r="AM80" s="404" t="s">
        <v>130</v>
      </c>
      <c r="AN80" s="403" t="str">
        <f>IF(COUNTIF(RFAUnits,AN77)=0,EUconst_NA,INDEX(EUwideConstants!$C$139:$H$143,MATCH(AJ80,EFUnits,0),MATCH(AN77,EUwideConstants!$C$138:$H$138,0)))</f>
        <v>ei sovellettavissa</v>
      </c>
      <c r="AO80" s="403" t="b">
        <f>AN80&lt;&gt;EUconst_NA</f>
        <v>0</v>
      </c>
      <c r="AP80" s="337"/>
      <c r="AQ80" s="455" t="str">
        <f>EUconst_CNTR_EF&amp;EUconst_Value</f>
        <v>EF_Arvo</v>
      </c>
      <c r="AR80" s="476" t="str">
        <f>IF(AC80=TRUE,IF(COUNTIF(MSPara_SourceStreamCategory,V80)=0,"",INDEX(MSPara_CalcFactorsMatrix,MATCH(V80,MSPara_SourceStreamCategory,0),MATCH(AQ80&amp;"_"&amp;2,MSPara_CalcFactors,0))),"")</f>
        <v/>
      </c>
      <c r="AS80" s="383" t="str">
        <f>IF(AC80=TRUE,IF(COUNTIF(MSPara_SourceStreamCategory,V80)=0,"",INDEX(MSPara_CalcFactorsMatrix,MATCH(V80,MSPara_SourceStreamCategory,0),MATCH(AQ80&amp;"_"&amp;1,MSPara_CalcFactors,0))),"")</f>
        <v/>
      </c>
      <c r="AT80" s="456" t="b">
        <f>AND(AND(AH80&lt;&gt;"",AJ80&lt;&gt;""),AJ80=AH80)</f>
        <v>0</v>
      </c>
      <c r="AU80" s="334" t="str">
        <f>IF(AND(AA80&lt;&gt;"",AT80=TRUE),IF(OR(INDEX(AR80:AS80,3-AA80)=EUconst_NA,INDEX(AR80:AS80,3-AA80)=0),"",INDEX(AR80:AS80,3-AA80)),"")</f>
        <v/>
      </c>
      <c r="AV80" s="376">
        <f>IF(AC80=TRUE,IF(COUNT(K80:L80)=0,0,IF(L80="",K80,L80)),0)</f>
        <v>0</v>
      </c>
      <c r="AW80" s="375" t="b">
        <f>AND(AC80=TRUE,OR(AND(F80&lt;&gt;"",NOT(ISNUMBER(AA80))),L80&lt;&gt;"",F80="",AU80=""))</f>
        <v>0</v>
      </c>
      <c r="AX80" s="457" t="b">
        <f>AND(AC80=TRUE,NOT(AW80))</f>
        <v>0</v>
      </c>
      <c r="AY80" s="325"/>
      <c r="AZ80" s="379" t="b">
        <f>AND(ISNUMBER(AA80),AU80="")</f>
        <v>0</v>
      </c>
      <c r="BA80" s="380" t="b">
        <f>AND(ISNUMBER(AA80),AU80&lt;&gt;AV80)</f>
        <v>0</v>
      </c>
      <c r="BB80" s="382" t="b">
        <f>AND(E72&lt;&gt;"",COUNTIF(AO80:AO81,TRUE)=0)</f>
        <v>0</v>
      </c>
      <c r="BC80" s="375" t="b">
        <f>AND(L80&lt;&gt;"",Y80=EUconst_NA)</f>
        <v>0</v>
      </c>
      <c r="BD80" s="325"/>
      <c r="BE80" s="325"/>
      <c r="BF80" s="379" t="s">
        <v>131</v>
      </c>
      <c r="BG80" s="498" t="str">
        <f>IF(COUNTIF(AO80:AO81,TRUE)=0,"",AV77*IF(AO80,1,AV79*AN81)*AV80*AV82*AV84)</f>
        <v/>
      </c>
      <c r="BH80" s="325"/>
      <c r="BI80" s="325"/>
      <c r="BJ80" s="325"/>
      <c r="BK80" s="325"/>
      <c r="BL80" s="325"/>
      <c r="BM80" s="325"/>
      <c r="BN80" s="325"/>
      <c r="BO80" s="325"/>
      <c r="BP80" s="325"/>
      <c r="BQ80" s="325"/>
      <c r="BR80" s="325"/>
      <c r="BS80" s="325"/>
      <c r="BT80" s="325"/>
      <c r="BU80" s="325"/>
      <c r="BV80" s="325"/>
      <c r="BW80" s="325"/>
      <c r="BX80" s="325"/>
      <c r="BY80" s="325"/>
      <c r="BZ80" s="325"/>
      <c r="CA80" s="325"/>
      <c r="CB80" s="325"/>
      <c r="CC80" s="325"/>
      <c r="CD80" s="325"/>
      <c r="CE80" s="325"/>
      <c r="CF80" s="325"/>
      <c r="CG80" s="366" t="b">
        <f>OR(CG77,Y80=EUconst_NA)</f>
        <v>0</v>
      </c>
    </row>
    <row r="81" spans="1:85" ht="12.75" customHeight="1" x14ac:dyDescent="0.25">
      <c r="A81" s="318"/>
      <c r="B81" s="818"/>
      <c r="C81" s="818"/>
      <c r="D81" s="345" t="str">
        <f>Translations!$B$362</f>
        <v>Biomassaosuus:</v>
      </c>
      <c r="E81" s="350"/>
      <c r="F81" s="624"/>
      <c r="G81" s="1120" t="str">
        <f>IF(OR(ISBLANK(F81),F81=EUconst_NoTier),"",IF(Z81=0,EUconst_NotApplicable,IF(ISERROR(Z81),"",Z81)))</f>
        <v/>
      </c>
      <c r="H81" s="1122"/>
      <c r="I81" s="626" t="str">
        <f>IF(OR(AC81=FALSE,Y81=EUconst_NA),"","-")</f>
        <v/>
      </c>
      <c r="J81" s="446"/>
      <c r="K81" s="635" t="str">
        <f>IF(L81="",AU81,"")</f>
        <v/>
      </c>
      <c r="L81" s="627"/>
      <c r="M81" s="486" t="str">
        <f>IF(AND(E72&lt;&gt;"",OR(F81="",COUNT(K81:L81)=0),Y81&lt;&gt;EUconst_NA),EUconst_ERR_Incomplete,IF(COUNTIF(BB81:BD81,TRUE)&gt;0,EUconst_ERR_Inconsistent,""))</f>
        <v/>
      </c>
      <c r="O81" s="323"/>
      <c r="P81" s="612"/>
      <c r="Q81" s="354"/>
      <c r="R81" s="354"/>
      <c r="S81" s="325"/>
      <c r="T81" s="374" t="str">
        <f>EUconst_CNTR_BiomassContent&amp;E72</f>
        <v>BioC_</v>
      </c>
      <c r="U81" s="23"/>
      <c r="V81" s="375" t="str">
        <f>V79</f>
        <v/>
      </c>
      <c r="W81" s="366" t="e">
        <f>IF(COUNTIF(MSPara_SourceStreamCategory,V81)=0,"",INDEX(MSPara_IsFossil,MATCH(V81,MSPara_SourceStreamCategory,0)))</f>
        <v>#N/A</v>
      </c>
      <c r="X81" s="23"/>
      <c r="Y81" s="450" t="str">
        <f>IF(E72="","",IF(OR(F81=EUconst_NA,W81=TRUE),EUconst_NA,INDEX(EUwideConstants!$P$153:$P$180,MATCH(T81,EUwideConstants!$S$153:$S$180,0))))</f>
        <v/>
      </c>
      <c r="Z81" s="472" t="str">
        <f>IF(ISBLANK(F81),"",IF(F81=EUconst_NA,"",INDEX(EUwideConstants!$H:$O,MATCH(T81,EUwideConstants!$S:$S,0),MATCH(F81,CNTR_TierList,0))))</f>
        <v/>
      </c>
      <c r="AA81" s="681" t="str">
        <f>IF(F81=1,1,"")</f>
        <v/>
      </c>
      <c r="AB81" s="325"/>
      <c r="AC81" s="376" t="b">
        <f>AND(AC77,Y81&lt;&gt;EUconst_NA)</f>
        <v>0</v>
      </c>
      <c r="AD81" s="325"/>
      <c r="AE81" s="462"/>
      <c r="AF81" s="460"/>
      <c r="AG81" s="465"/>
      <c r="AH81" s="467"/>
      <c r="AI81" s="467"/>
      <c r="AJ81" s="467"/>
      <c r="AK81" s="469"/>
      <c r="AL81" s="337"/>
      <c r="AM81" s="404" t="s">
        <v>132</v>
      </c>
      <c r="AN81" s="403" t="str">
        <f>IF(AN79=EUconst_NA,EUconst_NA,INDEX(EUwideConstants!$C$139:$H$143,MATCH(AJ80,EFUnits,0),MATCH(AN79,EUwideConstants!$C$138:$H$138,0)))</f>
        <v>ei sovellettavissa</v>
      </c>
      <c r="AO81" s="403" t="b">
        <f>AN81&lt;&gt;EUconst_NA</f>
        <v>0</v>
      </c>
      <c r="AP81" s="337"/>
      <c r="AQ81" s="455" t="str">
        <f>EUconst_CNTR_BiomassContent&amp;EUconst_Value</f>
        <v>BioC_Arvo</v>
      </c>
      <c r="AR81" s="462"/>
      <c r="AS81" s="383" t="str">
        <f>IF(AC81=TRUE,IF(COUNTIF(MSPara_SourceStreamCategory,V81)=0,"",INDEX(MSPara_CalcFactorsMatrix,MATCH(V81,MSPara_SourceStreamCategory,0),MATCH(AQ81&amp;"_"&amp;2,MSPara_CalcFactors,0))),"")</f>
        <v/>
      </c>
      <c r="AT81" s="458"/>
      <c r="AU81" s="334" t="str">
        <f>IF(OR(AA81="",AS81=EUconst_NA),"",AS81)</f>
        <v/>
      </c>
      <c r="AV81" s="376">
        <f>IF(AC81=TRUE,IF(COUNT(K81:L81)=0,0,IF(L81="",K81,L81)),0)</f>
        <v>0</v>
      </c>
      <c r="AW81" s="375" t="b">
        <f>AND(AC81=TRUE,OR(AND(F81&lt;&gt;"",NOT(ISNUMBER(AA81))),L81&lt;&gt;"",F81="",AU81=""))</f>
        <v>0</v>
      </c>
      <c r="AX81" s="457" t="b">
        <f>AND(AC81=TRUE,NOT(AW81))</f>
        <v>0</v>
      </c>
      <c r="AY81" s="325"/>
      <c r="AZ81" s="379" t="b">
        <f>AND(ISNUMBER(AA81),AU81="")</f>
        <v>0</v>
      </c>
      <c r="BA81" s="380" t="b">
        <f>AND(ISNUMBER(AA81),AU81&lt;&gt;AV81)</f>
        <v>0</v>
      </c>
      <c r="BB81" s="325"/>
      <c r="BC81" s="375" t="b">
        <f>AND(L81&lt;&gt;"",Y81=EUconst_NA)</f>
        <v>0</v>
      </c>
      <c r="BD81" s="366" t="b">
        <f>OR(AV81&gt;100%,(AV81+AV82)&gt;100%)</f>
        <v>0</v>
      </c>
      <c r="BE81" s="325"/>
      <c r="BF81" s="379" t="s">
        <v>133</v>
      </c>
      <c r="BG81" s="498" t="str">
        <f>IF(AN77=EUconst_TJ,AV77*(1-AV81),IF(AN79=EUconst_GJ,AV77*AV79/1000*(1-AV81),""))</f>
        <v/>
      </c>
      <c r="BH81" s="325"/>
      <c r="BI81" s="325"/>
      <c r="BJ81" s="325"/>
      <c r="BK81" s="325"/>
      <c r="BL81" s="325"/>
      <c r="BM81" s="325"/>
      <c r="BN81" s="325"/>
      <c r="BO81" s="325"/>
      <c r="BP81" s="325"/>
      <c r="BQ81" s="325"/>
      <c r="BR81" s="325"/>
      <c r="BS81" s="325"/>
      <c r="BT81" s="325"/>
      <c r="BU81" s="325"/>
      <c r="BV81" s="325"/>
      <c r="BW81" s="325"/>
      <c r="BX81" s="325"/>
      <c r="BY81" s="325"/>
      <c r="BZ81" s="325"/>
      <c r="CA81" s="325"/>
      <c r="CB81" s="325"/>
      <c r="CC81" s="325"/>
      <c r="CD81" s="325"/>
      <c r="CE81" s="325"/>
      <c r="CF81" s="325"/>
      <c r="CG81" s="375" t="b">
        <f>OR(CG77,Y81=EUconst_NA)</f>
        <v>0</v>
      </c>
    </row>
    <row r="82" spans="1:85" ht="12.75" customHeight="1" thickBot="1" x14ac:dyDescent="0.3">
      <c r="A82" s="318"/>
      <c r="B82" s="818"/>
      <c r="C82" s="818"/>
      <c r="D82" s="345" t="str">
        <f>Translations!$B$368</f>
        <v>Ei kestävä biomassaosuus:</v>
      </c>
      <c r="E82" s="350"/>
      <c r="F82" s="628"/>
      <c r="G82" s="1120" t="str">
        <f>IF(OR(ISBLANK(F82),F82=EUconst_NoTier),"",IF(Z82=0,EUconst_NotApplicable,IF(ISERROR(Z82),"",Z82)))</f>
        <v/>
      </c>
      <c r="H82" s="1122"/>
      <c r="I82" s="629" t="str">
        <f>IF(OR(AC82=FALSE,Y82=EUconst_NA),"","-")</f>
        <v/>
      </c>
      <c r="J82" s="447"/>
      <c r="K82" s="636" t="str">
        <f>IF(L82="",AU82,"")</f>
        <v/>
      </c>
      <c r="L82" s="630"/>
      <c r="M82" s="486" t="str">
        <f>IF(AND(E72&lt;&gt;"",OR(F82="",COUNT(K82:L82)=0),Y82&lt;&gt;EUconst_NA),EUconst_ERR_Incomplete,IF(COUNTIF(BB82:BD82,TRUE)&gt;0,EUconst_ERR_Inconsistent,""))</f>
        <v/>
      </c>
      <c r="N82" s="22"/>
      <c r="O82" s="323"/>
      <c r="P82" s="612"/>
      <c r="Q82" s="354"/>
      <c r="R82" s="354"/>
      <c r="S82" s="325"/>
      <c r="T82" s="384" t="str">
        <f>EUconst_CNTR_BiomassContent&amp;E72</f>
        <v>BioC_</v>
      </c>
      <c r="U82" s="23"/>
      <c r="V82" s="382" t="str">
        <f>V81</f>
        <v/>
      </c>
      <c r="W82" s="382" t="e">
        <f>IF(COUNTIF(MSPara_SourceStreamCategory,V82)=0,"",INDEX(MSPara_IsFossil,MATCH(V82,MSPara_SourceStreamCategory,0)))</f>
        <v>#N/A</v>
      </c>
      <c r="X82" s="23"/>
      <c r="Y82" s="452" t="str">
        <f>IF(E72="","",IF(OR(F82=EUconst_NA,W82=TRUE),EUconst_NA,INDEX(EUwideConstants!$P$153:$P$180,MATCH(T82,EUwideConstants!$S$153:$S$180,0))))</f>
        <v/>
      </c>
      <c r="Z82" s="473" t="str">
        <f>IF(ISBLANK(F82),"",IF(F82=EUconst_NA,"",INDEX(EUwideConstants!$H:$O,MATCH(T82,EUwideConstants!$S:$S,0),MATCH(F82,CNTR_TierList,0))))</f>
        <v/>
      </c>
      <c r="AA82" s="682" t="str">
        <f>IF(F82=1,1,"")</f>
        <v/>
      </c>
      <c r="AB82" s="325"/>
      <c r="AC82" s="453" t="b">
        <f>AND(AC77,Y82&lt;&gt;EUconst_NA)</f>
        <v>0</v>
      </c>
      <c r="AD82" s="325"/>
      <c r="AE82" s="463"/>
      <c r="AF82" s="461"/>
      <c r="AG82" s="466"/>
      <c r="AH82" s="468"/>
      <c r="AI82" s="468"/>
      <c r="AJ82" s="468"/>
      <c r="AK82" s="470"/>
      <c r="AL82" s="337"/>
      <c r="AM82" s="337"/>
      <c r="AN82" s="337"/>
      <c r="AO82" s="337"/>
      <c r="AP82" s="337"/>
      <c r="AQ82" s="474" t="str">
        <f>EUconst_CNTR_BiomassContent&amp;EUconst_Value</f>
        <v>BioC_Arvo</v>
      </c>
      <c r="AR82" s="463"/>
      <c r="AS82" s="385" t="str">
        <f>IF(AC82=TRUE,IF(COUNTIF(MSPara_SourceStreamCategory,V82)=0,"",INDEX(MSPara_CalcFactorsMatrix,MATCH(V82,MSPara_SourceStreamCategory,0),MATCH(AQ82&amp;"_"&amp;2,MSPara_CalcFactors,0))),"")</f>
        <v/>
      </c>
      <c r="AT82" s="459"/>
      <c r="AU82" s="477" t="str">
        <f>IF(OR(AA82="",AS82=EUconst_NA),"",AS82)</f>
        <v/>
      </c>
      <c r="AV82" s="453">
        <f>IF(AC82=TRUE,IF(COUNT(K82:L82)=0,0,IF(L82="",K82,L82)),0)</f>
        <v>0</v>
      </c>
      <c r="AW82" s="382" t="b">
        <f>AND(AC82=TRUE,OR(AND(F82&lt;&gt;"",NOT(ISNUMBER(AA82))),L82&lt;&gt;"",F82="",AU82=""))</f>
        <v>0</v>
      </c>
      <c r="AX82" s="478" t="b">
        <f>AND(AC82=TRUE,NOT(AW82))</f>
        <v>0</v>
      </c>
      <c r="AY82" s="325"/>
      <c r="AZ82" s="386" t="b">
        <f>AND(ISNUMBER(AA82),AU82="")</f>
        <v>0</v>
      </c>
      <c r="BA82" s="387" t="b">
        <f>AND(ISNUMBER(AA82),AU82&lt;&gt;AV82)</f>
        <v>0</v>
      </c>
      <c r="BB82" s="325"/>
      <c r="BC82" s="382" t="b">
        <f>AND(L82&lt;&gt;"",Y82=EUconst_NA)</f>
        <v>0</v>
      </c>
      <c r="BD82" s="382" t="b">
        <f>OR(AV81&gt;100%,(AV81+AV82)&gt;100%)</f>
        <v>0</v>
      </c>
      <c r="BE82" s="325"/>
      <c r="BF82" s="386" t="s">
        <v>134</v>
      </c>
      <c r="BG82" s="499" t="str">
        <f>IF(AN77=EUconst_TJ,AV77*AV81,IF(AN79=EUconst_GJ,AV77*AV79/1000*AV81,""))</f>
        <v/>
      </c>
      <c r="BH82" s="325"/>
      <c r="BI82" s="325"/>
      <c r="BJ82" s="325"/>
      <c r="BK82" s="325"/>
      <c r="BL82" s="325"/>
      <c r="BM82" s="325"/>
      <c r="BN82" s="325"/>
      <c r="BO82" s="325"/>
      <c r="BP82" s="325"/>
      <c r="BQ82" s="325"/>
      <c r="BR82" s="325"/>
      <c r="BS82" s="325"/>
      <c r="BT82" s="325"/>
      <c r="BU82" s="325"/>
      <c r="BV82" s="325"/>
      <c r="BW82" s="325"/>
      <c r="BX82" s="325"/>
      <c r="BY82" s="325"/>
      <c r="BZ82" s="325"/>
      <c r="CA82" s="325"/>
      <c r="CB82" s="325"/>
      <c r="CC82" s="325"/>
      <c r="CD82" s="325"/>
      <c r="CE82" s="325"/>
      <c r="CF82" s="325"/>
      <c r="CG82" s="382" t="b">
        <f>OR(CG77,Y82=EUconst_NA)</f>
        <v>0</v>
      </c>
    </row>
    <row r="83" spans="1:85" ht="5.15" customHeight="1" thickBot="1" x14ac:dyDescent="0.3">
      <c r="A83" s="318"/>
      <c r="B83" s="233"/>
      <c r="C83" s="233"/>
      <c r="D83" s="327"/>
      <c r="E83" s="22"/>
      <c r="F83" s="22"/>
      <c r="G83" s="22"/>
      <c r="H83" s="22"/>
      <c r="I83" s="22"/>
      <c r="J83" s="22"/>
      <c r="K83" s="22"/>
      <c r="L83" s="22"/>
      <c r="M83" s="488"/>
      <c r="N83" s="22"/>
      <c r="O83" s="323"/>
      <c r="P83" s="301"/>
      <c r="Q83" s="23"/>
      <c r="R83" s="23"/>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5"/>
      <c r="BD83" s="325"/>
      <c r="BE83" s="325"/>
      <c r="BF83" s="325"/>
      <c r="BG83" s="325"/>
      <c r="BH83" s="325"/>
      <c r="BI83" s="325"/>
      <c r="BJ83" s="325"/>
      <c r="BK83" s="325"/>
      <c r="BL83" s="325"/>
      <c r="BM83" s="325"/>
      <c r="BN83" s="325"/>
      <c r="BO83" s="325"/>
      <c r="BP83" s="325"/>
      <c r="BQ83" s="325"/>
      <c r="BR83" s="325"/>
      <c r="BS83" s="325"/>
      <c r="BT83" s="325"/>
      <c r="BU83" s="325"/>
      <c r="BV83" s="325"/>
      <c r="BW83" s="325"/>
      <c r="BX83" s="325"/>
      <c r="BY83" s="325"/>
      <c r="BZ83" s="325"/>
      <c r="CA83" s="325"/>
      <c r="CB83" s="325"/>
      <c r="CC83" s="325"/>
      <c r="CD83" s="325"/>
      <c r="CE83" s="325"/>
      <c r="CF83" s="325"/>
      <c r="CG83" s="325"/>
    </row>
    <row r="84" spans="1:85" ht="12.75" customHeight="1" thickBot="1" x14ac:dyDescent="0.3">
      <c r="A84" s="318"/>
      <c r="B84" s="818"/>
      <c r="C84" s="818"/>
      <c r="D84" s="345" t="str">
        <f>Translations!$B$398</f>
        <v>Soveltamisalakerroin:</v>
      </c>
      <c r="E84" s="479"/>
      <c r="F84" s="803"/>
      <c r="G84" s="1125"/>
      <c r="H84" s="1126"/>
      <c r="I84" s="492" t="s">
        <v>52</v>
      </c>
      <c r="J84" s="480"/>
      <c r="K84" s="481" t="str">
        <f>IF(L84="",AU84,"")</f>
        <v/>
      </c>
      <c r="L84" s="607"/>
      <c r="M84" s="489" t="str">
        <f>IF(AND(E72&lt;&gt;"",OR(F84="",G84="",COUNT(K84:L84)=0)),EUconst_ERR_Incomplete,IF(COUNTIF(BB84:BD84,TRUE)&gt;0,EUconst_ERR_Inconsistent,""))</f>
        <v/>
      </c>
      <c r="N84" s="22"/>
      <c r="O84" s="323"/>
      <c r="P84" s="301"/>
      <c r="Q84" s="23"/>
      <c r="R84" s="325"/>
      <c r="S84" s="10"/>
      <c r="T84" s="48" t="str">
        <f>EUconst_CNTR_ScopeFactor&amp;E72</f>
        <v>ScopeFactor_</v>
      </c>
      <c r="U84" s="248" t="str">
        <f>IF(F84="","",INDEX(ScopeAddress,MATCH(F84,ScopeTiers,0)))</f>
        <v/>
      </c>
      <c r="V84" s="382" t="str">
        <f>V77</f>
        <v/>
      </c>
      <c r="W84" s="325"/>
      <c r="X84" s="325"/>
      <c r="Y84" s="452" t="str">
        <f>IF(E72="","",IF(F84=EUconst_NA,EUconst_NA,INDEX(EUwideConstants!$P$153:$P$180,MATCH(T84,EUwideConstants!$S$153:$S$180,0))))</f>
        <v/>
      </c>
      <c r="Z84" s="473" t="str">
        <f>IF(ISBLANK(F84),"",IF(F84=EUconst_NA,"",INDEX(EUwideConstants!$H:$O,MATCH(T84,EUwideConstants!$S:$S,0),MATCH(F84,CNTR_TierList,0))))</f>
        <v/>
      </c>
      <c r="AA84" s="339" t="str">
        <f>IF(G84=EUwideConstants!$A$88,1,"")</f>
        <v/>
      </c>
      <c r="AB84" s="325"/>
      <c r="AC84" s="376" t="b">
        <f>AND(AC77,Y84&lt;&gt;EUconst_NA)</f>
        <v>0</v>
      </c>
      <c r="AD84" s="325"/>
      <c r="AE84" s="325"/>
      <c r="AF84" s="325"/>
      <c r="AG84" s="330"/>
      <c r="AH84" s="325"/>
      <c r="AI84" s="325"/>
      <c r="AJ84" s="325"/>
      <c r="AK84" s="325"/>
      <c r="AL84" s="325"/>
      <c r="AM84" s="325"/>
      <c r="AN84" s="325"/>
      <c r="AO84" s="325"/>
      <c r="AP84" s="325"/>
      <c r="AQ84" s="325"/>
      <c r="AR84" s="325"/>
      <c r="AS84" s="338">
        <v>1</v>
      </c>
      <c r="AT84" s="325"/>
      <c r="AU84" s="330" t="str">
        <f>IF(G84=EUwideConstants!$A$88,AS84,"")</f>
        <v/>
      </c>
      <c r="AV84" s="376">
        <f>IF(AC84=TRUE,IF(COUNT(K84:L84)=0,0,IF(L84="",K84,L84)),0)</f>
        <v>0</v>
      </c>
      <c r="AW84" s="375" t="b">
        <f>AND(AC84=TRUE,OR(AND(F84&lt;&gt;"",NOT(ISNUMBER(AA84))),L84&lt;&gt;"",F84="",AU84=""))</f>
        <v>0</v>
      </c>
      <c r="AX84" s="457" t="b">
        <f>AND(AC84=TRUE,NOT(AW84))</f>
        <v>0</v>
      </c>
      <c r="AY84" s="325"/>
      <c r="AZ84" s="379" t="b">
        <f>AND(ISNUMBER(AA84),AU84="")</f>
        <v>0</v>
      </c>
      <c r="BA84" s="380" t="b">
        <f>AND(ISNUMBER(AA84),AU84&lt;&gt;AV84)</f>
        <v>0</v>
      </c>
      <c r="BB84" s="325"/>
      <c r="BC84" s="33" t="b">
        <f>AND(F84&lt;&gt;"",OR(COUNTIF(INDEX(ScopeMethods,F84,),G84)=0,AND(AA84&lt;&gt;"",AU84&lt;&gt;AV84)))</f>
        <v>0</v>
      </c>
      <c r="BD84" s="325"/>
      <c r="BE84" s="325"/>
      <c r="BF84" s="325"/>
      <c r="BG84" s="325"/>
      <c r="BH84" s="325"/>
      <c r="BI84" s="325"/>
      <c r="BJ84" s="325"/>
      <c r="BK84" s="325"/>
      <c r="BL84" s="325"/>
      <c r="BM84" s="325"/>
      <c r="BN84" s="325"/>
      <c r="BO84" s="325"/>
      <c r="BP84" s="325"/>
      <c r="BQ84" s="325"/>
      <c r="BR84" s="325"/>
      <c r="BS84" s="325"/>
      <c r="BT84" s="325"/>
      <c r="BU84" s="325"/>
      <c r="BV84" s="325"/>
      <c r="BW84" s="325"/>
      <c r="BX84" s="325"/>
      <c r="BY84" s="325"/>
      <c r="BZ84" s="325"/>
      <c r="CA84" s="325"/>
      <c r="CB84" s="325"/>
      <c r="CC84" s="325"/>
      <c r="CD84" s="325"/>
      <c r="CE84" s="325"/>
      <c r="CF84" s="325"/>
      <c r="CG84" s="325"/>
    </row>
    <row r="85" spans="1:85" ht="12.75" customHeight="1" x14ac:dyDescent="0.25">
      <c r="A85" s="318"/>
      <c r="B85" s="21"/>
      <c r="C85" s="21"/>
      <c r="D85" s="21"/>
      <c r="E85" s="21"/>
      <c r="F85" s="21"/>
      <c r="G85" s="1130" t="str">
        <f>IF(G84="","",INDEX(ScopeMethodsDetails,MATCH(G84,INDEX(ScopeMethodsDetails,,1),0),2))</f>
        <v/>
      </c>
      <c r="H85" s="1131"/>
      <c r="I85" s="1131"/>
      <c r="J85" s="1131"/>
      <c r="K85" s="1131"/>
      <c r="L85" s="1131"/>
      <c r="M85" s="1132"/>
      <c r="N85" s="22"/>
      <c r="O85" s="323"/>
      <c r="P85" s="301"/>
      <c r="Q85" s="23"/>
      <c r="R85" s="23"/>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5"/>
      <c r="BP85" s="325"/>
      <c r="BQ85" s="325"/>
      <c r="BR85" s="325"/>
      <c r="BS85" s="325"/>
      <c r="BT85" s="325"/>
      <c r="BU85" s="325"/>
      <c r="BV85" s="325"/>
      <c r="BW85" s="325"/>
      <c r="BX85" s="325"/>
      <c r="BY85" s="325"/>
      <c r="BZ85" s="325"/>
      <c r="CA85" s="325"/>
      <c r="CB85" s="325"/>
      <c r="CC85" s="325"/>
      <c r="CD85" s="325"/>
      <c r="CE85" s="325"/>
      <c r="CF85" s="325"/>
      <c r="CG85" s="325"/>
    </row>
    <row r="86" spans="1:85" ht="5.15" customHeight="1" x14ac:dyDescent="0.25">
      <c r="A86" s="318"/>
      <c r="C86" s="22"/>
      <c r="D86" s="22"/>
      <c r="E86" s="22"/>
      <c r="F86" s="22"/>
      <c r="G86" s="22"/>
      <c r="H86" s="22"/>
      <c r="I86" s="22"/>
      <c r="J86" s="22"/>
      <c r="K86" s="22"/>
      <c r="L86" s="22"/>
      <c r="O86" s="323"/>
      <c r="P86" s="301"/>
      <c r="Q86" s="23"/>
      <c r="R86" s="23"/>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5"/>
      <c r="BP86" s="325"/>
      <c r="BQ86" s="325"/>
      <c r="BR86" s="325"/>
      <c r="BS86" s="325"/>
      <c r="BT86" s="325"/>
      <c r="BU86" s="325"/>
      <c r="BV86" s="325"/>
      <c r="BW86" s="325"/>
      <c r="BX86" s="325"/>
      <c r="BY86" s="325"/>
      <c r="BZ86" s="325"/>
      <c r="CA86" s="325"/>
      <c r="CB86" s="325"/>
      <c r="CC86" s="325"/>
      <c r="CD86" s="325"/>
      <c r="CE86" s="325"/>
      <c r="CF86" s="325"/>
      <c r="CG86" s="325"/>
    </row>
    <row r="87" spans="1:85" ht="12.75" customHeight="1" x14ac:dyDescent="0.25">
      <c r="A87" s="318"/>
      <c r="C87" s="22"/>
      <c r="D87" s="22"/>
      <c r="E87" s="22"/>
      <c r="F87" s="22"/>
      <c r="G87" s="1133">
        <v>1</v>
      </c>
      <c r="H87" s="1133"/>
      <c r="I87" s="1133">
        <v>2</v>
      </c>
      <c r="J87" s="1133"/>
      <c r="K87" s="1133">
        <v>3</v>
      </c>
      <c r="L87" s="1133"/>
      <c r="O87" s="323"/>
      <c r="P87" s="301"/>
      <c r="Q87" s="23"/>
      <c r="R87" s="23"/>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5"/>
      <c r="BD87" s="325"/>
      <c r="BE87" s="325"/>
      <c r="BF87" s="325"/>
      <c r="BG87" s="325"/>
      <c r="BH87" s="325"/>
      <c r="BI87" s="325"/>
      <c r="BJ87" s="325"/>
      <c r="BK87" s="325"/>
      <c r="BL87" s="325"/>
      <c r="BM87" s="325"/>
      <c r="BN87" s="325"/>
      <c r="BO87" s="325"/>
      <c r="BP87" s="325"/>
      <c r="BQ87" s="325"/>
      <c r="BR87" s="325"/>
      <c r="BS87" s="325"/>
      <c r="BT87" s="325"/>
      <c r="BU87" s="325"/>
      <c r="BV87" s="325"/>
      <c r="BW87" s="325"/>
      <c r="BX87" s="325"/>
      <c r="BY87" s="325"/>
      <c r="BZ87" s="325"/>
      <c r="CA87" s="325"/>
      <c r="CB87" s="325"/>
      <c r="CC87" s="325"/>
      <c r="CD87" s="325"/>
      <c r="CE87" s="325"/>
      <c r="CF87" s="325"/>
      <c r="CG87" s="325"/>
    </row>
    <row r="88" spans="1:85" ht="12.75" customHeight="1" x14ac:dyDescent="0.25">
      <c r="A88" s="389"/>
      <c r="B88" s="22"/>
      <c r="C88" s="22"/>
      <c r="D88" s="1134" t="str">
        <f>Translations!$B$372</f>
        <v>CRF-luokka</v>
      </c>
      <c r="E88" s="1134"/>
      <c r="F88" s="1135"/>
      <c r="G88" s="1123"/>
      <c r="H88" s="1124"/>
      <c r="I88" s="1123"/>
      <c r="J88" s="1124"/>
      <c r="K88" s="1123"/>
      <c r="L88" s="1124"/>
      <c r="M88" s="623" t="str">
        <f>IF(AND(E71&lt;&gt;"",COUNTA(G88:L88)=0,AX88=FALSE),EUconst_ERR_Incomplete,"")</f>
        <v/>
      </c>
      <c r="N88" s="22"/>
      <c r="O88" s="323"/>
      <c r="P88" s="301"/>
      <c r="Q88" s="23"/>
      <c r="R88" s="23"/>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c r="AX88" s="33" t="b">
        <f>AND(AV84&lt;&gt;"",SUM(AV84=1))</f>
        <v>0</v>
      </c>
      <c r="AY88" s="325"/>
      <c r="AZ88" s="325"/>
      <c r="BA88" s="325"/>
      <c r="BB88" s="325"/>
      <c r="BC88" s="325"/>
      <c r="BD88" s="325"/>
      <c r="BE88" s="325"/>
      <c r="BF88" s="325"/>
      <c r="BG88" s="325"/>
      <c r="BH88" s="325"/>
      <c r="BI88" s="325"/>
      <c r="BJ88" s="325"/>
      <c r="BK88" s="325"/>
      <c r="BL88" s="325"/>
      <c r="BM88" s="325"/>
      <c r="BN88" s="325"/>
      <c r="BO88" s="325"/>
      <c r="BP88" s="325"/>
      <c r="BQ88" s="325"/>
      <c r="BR88" s="325"/>
      <c r="BS88" s="325"/>
      <c r="BT88" s="325"/>
      <c r="BU88" s="325"/>
      <c r="BV88" s="325"/>
      <c r="BW88" s="325"/>
      <c r="BX88" s="325"/>
      <c r="BY88" s="325"/>
      <c r="BZ88" s="325"/>
      <c r="CA88" s="325"/>
      <c r="CB88" s="325"/>
      <c r="CC88" s="325"/>
      <c r="CD88" s="325"/>
      <c r="CE88" s="325"/>
      <c r="CF88" s="325"/>
      <c r="CG88" s="325"/>
    </row>
    <row r="89" spans="1:85" ht="5.15" customHeight="1" x14ac:dyDescent="0.25">
      <c r="A89" s="318"/>
      <c r="B89" s="21"/>
      <c r="C89" s="21"/>
      <c r="D89" s="21"/>
      <c r="E89" s="21"/>
      <c r="F89" s="21"/>
      <c r="G89" s="22"/>
      <c r="H89" s="22"/>
      <c r="I89" s="22"/>
      <c r="J89" s="22"/>
      <c r="K89" s="22"/>
      <c r="L89" s="22"/>
      <c r="M89" s="22"/>
      <c r="N89" s="22"/>
      <c r="O89" s="323"/>
      <c r="P89" s="301"/>
      <c r="Q89" s="23"/>
      <c r="R89" s="23"/>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325"/>
      <c r="BD89" s="325"/>
      <c r="BE89" s="325"/>
      <c r="BF89" s="325"/>
      <c r="BG89" s="325"/>
      <c r="BH89" s="325"/>
      <c r="BI89" s="325"/>
      <c r="BJ89" s="325"/>
      <c r="BK89" s="325"/>
      <c r="BL89" s="325"/>
      <c r="BM89" s="325"/>
      <c r="BN89" s="325"/>
      <c r="BO89" s="325"/>
      <c r="BP89" s="325"/>
      <c r="BQ89" s="325"/>
      <c r="BR89" s="325"/>
      <c r="BS89" s="325"/>
      <c r="BT89" s="325"/>
      <c r="BU89" s="325"/>
      <c r="BV89" s="325"/>
      <c r="BW89" s="325"/>
      <c r="BX89" s="325"/>
      <c r="BY89" s="325"/>
      <c r="BZ89" s="325"/>
      <c r="CA89" s="325"/>
      <c r="CB89" s="325"/>
      <c r="CC89" s="325"/>
      <c r="CD89" s="325"/>
      <c r="CE89" s="325"/>
      <c r="CF89" s="325"/>
      <c r="CG89" s="325"/>
    </row>
    <row r="90" spans="1:85" ht="8.5" customHeight="1" x14ac:dyDescent="0.25">
      <c r="A90" s="318"/>
      <c r="B90" s="21"/>
      <c r="C90" s="21"/>
      <c r="D90" s="1134"/>
      <c r="E90" s="1134"/>
      <c r="F90" s="1134"/>
      <c r="G90" s="806"/>
      <c r="H90" s="807"/>
      <c r="I90" s="806"/>
      <c r="J90" s="236"/>
      <c r="K90" s="236"/>
      <c r="L90" s="236"/>
      <c r="M90" s="807"/>
      <c r="N90" s="808"/>
      <c r="O90" s="323"/>
      <c r="P90" s="301"/>
      <c r="Q90" s="23"/>
      <c r="R90" s="23"/>
      <c r="S90" s="388"/>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5"/>
      <c r="BD90" s="325"/>
      <c r="BE90" s="325"/>
      <c r="BF90" s="325"/>
      <c r="BG90" s="325"/>
      <c r="BH90" s="325"/>
      <c r="BI90" s="325"/>
      <c r="BJ90" s="325"/>
      <c r="BK90" s="325"/>
      <c r="BL90" s="325"/>
      <c r="BM90" s="325"/>
      <c r="BN90" s="325"/>
      <c r="BO90" s="325"/>
      <c r="BP90" s="325"/>
      <c r="BQ90" s="325"/>
      <c r="BR90" s="325"/>
      <c r="BS90" s="325"/>
      <c r="BT90" s="325"/>
      <c r="BU90" s="325"/>
      <c r="BV90" s="325"/>
      <c r="BW90" s="325"/>
      <c r="BX90" s="325"/>
      <c r="BY90" s="325"/>
      <c r="BZ90" s="325"/>
      <c r="CA90" s="325"/>
      <c r="CB90" s="325"/>
      <c r="CC90" s="325"/>
      <c r="CD90" s="325"/>
      <c r="CE90" s="325"/>
      <c r="CF90" s="325"/>
      <c r="CG90" s="33" t="b">
        <f>CG77</f>
        <v>0</v>
      </c>
    </row>
    <row r="91" spans="1:85" ht="5.15" customHeight="1" x14ac:dyDescent="0.25">
      <c r="A91" s="389"/>
      <c r="B91" s="22"/>
      <c r="C91" s="22"/>
      <c r="D91" s="22"/>
      <c r="E91" s="22"/>
      <c r="F91" s="22"/>
      <c r="G91" s="22"/>
      <c r="H91" s="22"/>
      <c r="I91" s="22"/>
      <c r="J91" s="22"/>
      <c r="K91" s="22"/>
      <c r="L91" s="22"/>
      <c r="M91" s="22"/>
      <c r="N91" s="22"/>
      <c r="O91" s="323"/>
      <c r="P91" s="301"/>
      <c r="Q91" s="23"/>
      <c r="R91" s="23"/>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c r="BK91" s="325"/>
      <c r="BL91" s="325"/>
      <c r="BM91" s="325"/>
      <c r="BN91" s="325"/>
      <c r="BO91" s="325"/>
      <c r="BP91" s="325"/>
      <c r="BQ91" s="325"/>
      <c r="BR91" s="325"/>
      <c r="BS91" s="325"/>
      <c r="BT91" s="325"/>
      <c r="BU91" s="325"/>
      <c r="BV91" s="325"/>
      <c r="BW91" s="325"/>
      <c r="BX91" s="325"/>
      <c r="BY91" s="325"/>
      <c r="BZ91" s="325"/>
      <c r="CA91" s="325"/>
      <c r="CB91" s="325"/>
      <c r="CC91" s="325"/>
      <c r="CD91" s="325"/>
      <c r="CE91" s="325"/>
      <c r="CF91" s="325"/>
      <c r="CG91" s="325"/>
    </row>
    <row r="92" spans="1:85" ht="41" customHeight="1" x14ac:dyDescent="0.25">
      <c r="A92" s="389"/>
      <c r="B92" s="22"/>
      <c r="C92" s="22"/>
      <c r="D92" s="4"/>
      <c r="E92" s="1170" t="str">
        <f>Translations!$B$304</f>
        <v xml:space="preserve">Lisätiedot: 
tapa, jolla biomassan kestävyys on osoitettu; 
muut polttoainevirtaa koskevat lisätiedot. </v>
      </c>
      <c r="F92" s="1171"/>
      <c r="G92" s="1146"/>
      <c r="H92" s="1147"/>
      <c r="I92" s="1147"/>
      <c r="J92" s="1147"/>
      <c r="K92" s="1147"/>
      <c r="L92" s="1147"/>
      <c r="M92" s="1147"/>
      <c r="N92" s="1148"/>
      <c r="O92" s="323"/>
      <c r="P92" s="301"/>
      <c r="Q92" s="23"/>
      <c r="R92" s="23"/>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5"/>
      <c r="BY92" s="325"/>
      <c r="BZ92" s="325"/>
      <c r="CA92" s="325"/>
      <c r="CB92" s="325"/>
      <c r="CC92" s="325"/>
      <c r="CD92" s="325"/>
      <c r="CE92" s="325"/>
      <c r="CF92" s="325"/>
      <c r="CG92" s="33" t="b">
        <f>CG90</f>
        <v>0</v>
      </c>
    </row>
    <row r="93" spans="1:85" ht="12.75" customHeight="1" thickBot="1" x14ac:dyDescent="0.3">
      <c r="A93" s="318"/>
      <c r="B93" s="22"/>
      <c r="C93" s="319"/>
      <c r="D93" s="320"/>
      <c r="E93" s="321"/>
      <c r="F93" s="319"/>
      <c r="G93" s="322"/>
      <c r="H93" s="322"/>
      <c r="I93" s="322"/>
      <c r="J93" s="322"/>
      <c r="K93" s="322"/>
      <c r="L93" s="322"/>
      <c r="M93" s="322"/>
      <c r="N93" s="322"/>
      <c r="O93" s="323"/>
      <c r="P93" s="301"/>
      <c r="Q93" s="23"/>
      <c r="R93" s="23"/>
      <c r="S93" s="41"/>
      <c r="T93" s="41"/>
      <c r="U93" s="324"/>
      <c r="V93" s="41"/>
      <c r="W93" s="41"/>
      <c r="X93" s="324"/>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325"/>
      <c r="BN93" s="325"/>
      <c r="BO93" s="325"/>
      <c r="BP93" s="325"/>
      <c r="BQ93" s="325"/>
      <c r="BR93" s="325"/>
      <c r="BS93" s="325"/>
      <c r="BT93" s="325"/>
      <c r="BU93" s="41"/>
      <c r="BV93" s="41"/>
      <c r="BW93" s="41"/>
      <c r="BX93" s="41"/>
      <c r="BY93" s="41"/>
      <c r="BZ93" s="41"/>
      <c r="CA93" s="41"/>
      <c r="CB93" s="41"/>
      <c r="CC93" s="41"/>
      <c r="CD93" s="41"/>
      <c r="CE93" s="41"/>
      <c r="CF93" s="41"/>
      <c r="CG93" s="41"/>
    </row>
    <row r="94" spans="1:85" ht="12.75" customHeight="1" thickBot="1" x14ac:dyDescent="0.3">
      <c r="A94" s="326"/>
      <c r="B94" s="22"/>
      <c r="C94" s="22"/>
      <c r="D94" s="327"/>
      <c r="E94" s="328"/>
      <c r="F94" s="22"/>
      <c r="G94" s="1"/>
      <c r="H94" s="1"/>
      <c r="I94" s="1"/>
      <c r="J94" s="1"/>
      <c r="K94" s="22"/>
      <c r="L94" s="1"/>
      <c r="M94" s="1"/>
      <c r="N94" s="1"/>
      <c r="O94" s="323"/>
      <c r="P94" s="301"/>
      <c r="Q94" s="23"/>
      <c r="R94" s="23"/>
      <c r="S94" s="2"/>
      <c r="T94" s="20" t="str">
        <f>IF(ISBLANK(E95),"",MATCH(E95,CNTR_SourceStreamNames,0))</f>
        <v/>
      </c>
      <c r="U94" s="329" t="str">
        <f>IF(ISBLANK(E95),"",INDEX('B_Polttoainevirtojen tiedot'!$D$67:$D$91,MATCH(E95,CNTR_SourceStreamNames,0)))</f>
        <v/>
      </c>
      <c r="V94" s="60"/>
      <c r="W94" s="37"/>
      <c r="X94" s="37"/>
      <c r="Y94" s="37"/>
      <c r="Z94" s="41"/>
      <c r="AA94" s="41"/>
      <c r="AB94" s="41"/>
      <c r="AC94" s="41"/>
      <c r="AD94" s="41"/>
      <c r="AE94" s="41"/>
      <c r="AF94" s="41"/>
      <c r="AG94" s="41"/>
      <c r="AH94" s="41"/>
      <c r="AI94" s="41"/>
      <c r="AJ94" s="41"/>
      <c r="AK94" s="23"/>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30" t="s">
        <v>94</v>
      </c>
    </row>
    <row r="95" spans="1:85" ht="15" customHeight="1" thickBot="1" x14ac:dyDescent="0.3">
      <c r="A95" s="331">
        <f>C95</f>
        <v>3</v>
      </c>
      <c r="B95" s="21"/>
      <c r="C95" s="332">
        <f>C71+1</f>
        <v>3</v>
      </c>
      <c r="D95" s="21"/>
      <c r="E95" s="1117"/>
      <c r="F95" s="1118"/>
      <c r="G95" s="1118"/>
      <c r="H95" s="1118"/>
      <c r="I95" s="1118"/>
      <c r="J95" s="1119"/>
      <c r="K95" s="1138" t="str">
        <f>IF(INDEX('B_Polttoainevirtojen tiedot'!$K$100:$K$124,MATCH(U94,'B_Polttoainevirtojen tiedot'!$D$100:$D$124,0))&gt;0,INDEX('B_Polttoainevirtojen tiedot'!$K$100:$K$124,MATCH(U94,'B_Polttoainevirtojen tiedot'!$D$100:$D$124,0)),"")</f>
        <v/>
      </c>
      <c r="L95" s="1139"/>
      <c r="M95" s="328" t="str">
        <f>Translations!$B$374</f>
        <v>CO2 fossiilinen:</v>
      </c>
      <c r="N95" s="401" t="str">
        <f>IF(E96="","",BG101)</f>
        <v/>
      </c>
      <c r="O95" s="333" t="str">
        <f>EUconst_tCO2</f>
        <v>tCO2</v>
      </c>
      <c r="P95" s="610" t="str">
        <f>IF(AND(E95&lt;&gt;"",COUNTIF(P96:$P$811,"PRINT")=0),"PRINT","")</f>
        <v/>
      </c>
      <c r="Q95" s="335" t="str">
        <f>EUconst_SumCO2</f>
        <v>SUM_CO2</v>
      </c>
      <c r="R95" s="23"/>
      <c r="S95" s="2"/>
      <c r="T95" s="2"/>
      <c r="U95" s="2"/>
      <c r="V95" s="60"/>
      <c r="W95" s="37"/>
      <c r="X95" s="41"/>
      <c r="Y95" s="41"/>
      <c r="Z95" s="41"/>
      <c r="AA95" s="41"/>
      <c r="AB95" s="41"/>
      <c r="AC95" s="41"/>
      <c r="AD95" s="41"/>
      <c r="AE95" s="41"/>
      <c r="AF95" s="41"/>
      <c r="AG95" s="41"/>
      <c r="AH95" s="41"/>
      <c r="AI95" s="337"/>
      <c r="AJ95" s="337"/>
      <c r="AK95" s="337"/>
      <c r="AL95" s="337"/>
      <c r="AM95" s="337"/>
      <c r="AN95" s="337"/>
      <c r="AO95" s="337"/>
      <c r="AP95" s="337"/>
      <c r="AQ95" s="337"/>
      <c r="AR95" s="337"/>
      <c r="AS95" s="337"/>
      <c r="AT95" s="337"/>
      <c r="AU95" s="337"/>
      <c r="AV95" s="337"/>
      <c r="AW95" s="337"/>
      <c r="AX95" s="337"/>
      <c r="AY95" s="337"/>
      <c r="AZ95" s="337"/>
      <c r="BA95" s="337"/>
      <c r="BB95" s="337"/>
      <c r="BC95" s="337"/>
      <c r="BD95" s="337"/>
      <c r="BE95" s="337"/>
      <c r="BF95" s="337"/>
      <c r="BG95" s="337"/>
      <c r="BH95" s="337"/>
      <c r="BI95" s="483" t="str">
        <f>IF(E95="","",E95)</f>
        <v/>
      </c>
      <c r="BJ95" s="338" t="str">
        <f>IF(F101="","",F101)</f>
        <v/>
      </c>
      <c r="BK95" s="485">
        <f>AV101</f>
        <v>0</v>
      </c>
      <c r="BL95" s="485">
        <f>IF(BK95="","",BK95*(1-BP95))</f>
        <v>0</v>
      </c>
      <c r="BM95" s="338" t="str">
        <f>AJ101</f>
        <v/>
      </c>
      <c r="BN95" s="338" t="str">
        <f>IF(F108="","",F108)</f>
        <v/>
      </c>
      <c r="BO95" s="483" t="str">
        <f>IF(G108="","",G108)</f>
        <v/>
      </c>
      <c r="BP95" s="484">
        <f>AV108</f>
        <v>0</v>
      </c>
      <c r="BQ95" s="338" t="str">
        <f>IF(F104="","",F104)</f>
        <v/>
      </c>
      <c r="BR95" s="484">
        <f>AV104</f>
        <v>0</v>
      </c>
      <c r="BS95" s="484" t="str">
        <f>AJ104</f>
        <v/>
      </c>
      <c r="BT95" s="338" t="str">
        <f>IF(F103="","",F103)</f>
        <v/>
      </c>
      <c r="BU95" s="484">
        <f>IF(F103=EUconst_NA,"",AV103)</f>
        <v>0</v>
      </c>
      <c r="BV95" s="484" t="str">
        <f>AJ103</f>
        <v/>
      </c>
      <c r="BW95" s="338" t="str">
        <f>IF(F105="","",F105)</f>
        <v/>
      </c>
      <c r="BX95" s="484">
        <f>AV105</f>
        <v>0</v>
      </c>
      <c r="BY95" s="338" t="str">
        <f>IF(F106="","",F106)</f>
        <v/>
      </c>
      <c r="BZ95" s="484">
        <f>AV106</f>
        <v>0</v>
      </c>
      <c r="CA95" s="485" t="str">
        <f>N95</f>
        <v/>
      </c>
      <c r="CB95" s="485" t="str">
        <f>N96</f>
        <v/>
      </c>
      <c r="CC95" s="485" t="str">
        <f>R98</f>
        <v/>
      </c>
      <c r="CD95" s="485" t="str">
        <f>R100</f>
        <v/>
      </c>
      <c r="CE95" s="485" t="str">
        <f>R101</f>
        <v/>
      </c>
      <c r="CF95" s="37"/>
      <c r="CG95" s="339" t="b">
        <v>0</v>
      </c>
    </row>
    <row r="96" spans="1:85" ht="15" customHeight="1" thickBot="1" x14ac:dyDescent="0.3">
      <c r="A96" s="318"/>
      <c r="B96" s="21"/>
      <c r="C96" s="21"/>
      <c r="D96" s="21"/>
      <c r="E96" s="1127" t="str">
        <f>IF(ISBLANK(E95),"",IF(INDEX('B_Polttoainevirtojen tiedot'!$E$67:$E$91,MATCH(U94,'B_Polttoainevirtojen tiedot'!$D$67:$D$91,0))&gt;0,INDEX('B_Polttoainevirtojen tiedot'!$E$67:$E$91,MATCH(U94,'B_Polttoainevirtojen tiedot'!$D$67:$D$91,0)),""))</f>
        <v/>
      </c>
      <c r="F96" s="1128"/>
      <c r="G96" s="1128"/>
      <c r="H96" s="1128"/>
      <c r="I96" s="1128"/>
      <c r="J96" s="1129"/>
      <c r="K96" s="1138" t="str">
        <f>IF(INDEX('B_Polttoainevirtojen tiedot'!$M$100:$M$124,MATCH(U94,'B_Polttoainevirtojen tiedot'!$D$100:$D$124,0))&gt;0,INDEX('B_Polttoainevirtojen tiedot'!$M$100:$M$124,MATCH(U94,'B_Polttoainevirtojen tiedot'!$D$100:$D$124,0)),"")</f>
        <v/>
      </c>
      <c r="L96" s="1139"/>
      <c r="M96" s="340" t="str">
        <f>Translations!$B$375</f>
        <v>CO2 bio:</v>
      </c>
      <c r="N96" s="482" t="str">
        <f>IF(E96="","",BG103)</f>
        <v/>
      </c>
      <c r="O96" s="341" t="str">
        <f>EUconst_tCO2</f>
        <v>tCO2</v>
      </c>
      <c r="P96" s="301"/>
      <c r="Q96" s="335" t="str">
        <f>EUconst_SumBioCO2</f>
        <v>SUM_bioCO2</v>
      </c>
      <c r="R96" s="23"/>
      <c r="S96" s="2"/>
      <c r="T96" s="2"/>
      <c r="U96" s="2"/>
      <c r="V96" s="60"/>
      <c r="W96" s="37"/>
      <c r="X96" s="41"/>
      <c r="Y96" s="20" t="str">
        <f>Translations!$B$143</f>
        <v>Määrittämistasot</v>
      </c>
      <c r="Z96" s="325"/>
      <c r="AA96" s="325"/>
      <c r="AB96" s="325"/>
      <c r="AC96" s="325"/>
      <c r="AD96" s="325"/>
      <c r="AE96" s="20" t="s">
        <v>95</v>
      </c>
      <c r="AF96" s="41"/>
      <c r="AG96" s="342"/>
      <c r="AH96" s="325"/>
      <c r="AI96" s="325"/>
      <c r="AJ96" s="342"/>
      <c r="AK96" s="342"/>
      <c r="AL96" s="337"/>
      <c r="AM96" s="337"/>
      <c r="AN96" s="337"/>
      <c r="AO96" s="337"/>
      <c r="AP96" s="337"/>
      <c r="AQ96" s="20" t="s">
        <v>96</v>
      </c>
      <c r="AR96" s="343"/>
      <c r="AS96" s="343"/>
      <c r="AT96" s="325"/>
      <c r="AU96" s="325"/>
      <c r="AV96" s="325"/>
      <c r="AW96" s="325"/>
      <c r="AX96" s="325"/>
      <c r="AY96" s="325"/>
      <c r="AZ96" s="20" t="s">
        <v>97</v>
      </c>
      <c r="BA96" s="325"/>
      <c r="BB96" s="325"/>
      <c r="BC96" s="325"/>
      <c r="BD96" s="325"/>
      <c r="BE96" s="325"/>
      <c r="BF96" s="20" t="s">
        <v>98</v>
      </c>
      <c r="BG96" s="325"/>
      <c r="BH96" s="325"/>
      <c r="BI96" s="20" t="s">
        <v>99</v>
      </c>
      <c r="BJ96" s="338" t="str">
        <f>Translations!$B$376</f>
        <v>RFA-määrittämistaso</v>
      </c>
      <c r="BK96" s="338" t="str">
        <f>Translations!$B$377</f>
        <v>RFA</v>
      </c>
      <c r="BL96" s="338" t="str">
        <f>Translations!$B$378</f>
        <v>RFA (SF:n jälkeen)</v>
      </c>
      <c r="BM96" s="338" t="str">
        <f>Translations!$B$379</f>
        <v>RFA-yksikkö</v>
      </c>
      <c r="BN96" s="338" t="str">
        <f>Translations!$B$380</f>
        <v>SF-määrittämistaso</v>
      </c>
      <c r="BO96" s="338" t="str">
        <f>Translations!$B$380</f>
        <v>SF-määrittämistaso</v>
      </c>
      <c r="BP96" s="338" t="str">
        <f>Translations!$B$381</f>
        <v>SF</v>
      </c>
      <c r="BQ96" s="338" t="str">
        <f>Translations!$B$382</f>
        <v>EF-määrittämistaso</v>
      </c>
      <c r="BR96" s="338" t="str">
        <f>Translations!$B$383</f>
        <v>EF</v>
      </c>
      <c r="BS96" s="338" t="str">
        <f>Translations!$B$384</f>
        <v>EF-yksikkö</v>
      </c>
      <c r="BT96" s="338" t="str">
        <f>Translations!$B$385</f>
        <v>UCF-määrittämistaso</v>
      </c>
      <c r="BU96" s="338" t="str">
        <f>Translations!$B$386</f>
        <v>UCF</v>
      </c>
      <c r="BV96" s="338" t="str">
        <f>Translations!$B$387</f>
        <v>UCF-yksikkö</v>
      </c>
      <c r="BW96" s="338" t="str">
        <f>Translations!$B$388</f>
        <v>Bio-määrittämistaso</v>
      </c>
      <c r="BX96" s="338" t="s">
        <v>100</v>
      </c>
      <c r="BY96" s="338" t="str">
        <f>Translations!$B$389</f>
        <v>NonSustBio-määrittämistaso</v>
      </c>
      <c r="BZ96" s="338" t="s">
        <v>101</v>
      </c>
      <c r="CA96" s="338" t="str">
        <f>Translations!$B$390</f>
        <v>CO2 fossil</v>
      </c>
      <c r="CB96" s="338" t="str">
        <f>Translations!$B$391</f>
        <v>CO2 bio</v>
      </c>
      <c r="CC96" s="338" t="str">
        <f>Translations!$B$392</f>
        <v>CO2 non-sust</v>
      </c>
      <c r="CD96" s="338" t="s">
        <v>102</v>
      </c>
      <c r="CE96" s="338" t="s">
        <v>103</v>
      </c>
      <c r="CF96" s="325"/>
      <c r="CG96" s="325"/>
    </row>
    <row r="97" spans="1:85" ht="5.15" customHeight="1" thickBot="1" x14ac:dyDescent="0.3">
      <c r="A97" s="318"/>
      <c r="B97" s="21"/>
      <c r="C97" s="21"/>
      <c r="D97" s="21"/>
      <c r="E97" s="21"/>
      <c r="F97" s="21"/>
      <c r="G97" s="21"/>
      <c r="H97" s="22"/>
      <c r="I97" s="22"/>
      <c r="J97" s="22"/>
      <c r="K97" s="22"/>
      <c r="L97" s="22"/>
      <c r="M97" s="22"/>
      <c r="N97" s="22"/>
      <c r="O97" s="323"/>
      <c r="P97" s="301"/>
      <c r="Q97" s="23"/>
      <c r="R97" s="23"/>
      <c r="S97" s="2"/>
      <c r="T97" s="2"/>
      <c r="U97" s="2"/>
      <c r="V97" s="60"/>
      <c r="W97" s="325"/>
      <c r="X97" s="325"/>
      <c r="Y97" s="23"/>
      <c r="Z97" s="325"/>
      <c r="AA97" s="325"/>
      <c r="AB97" s="325"/>
      <c r="AC97" s="325"/>
      <c r="AD97" s="325"/>
      <c r="AE97" s="325"/>
      <c r="AF97" s="41"/>
      <c r="AG97" s="325"/>
      <c r="AH97" s="325"/>
      <c r="AI97" s="325"/>
      <c r="AJ97" s="342"/>
      <c r="AK97" s="342"/>
      <c r="AL97" s="337"/>
      <c r="AM97" s="337"/>
      <c r="AN97" s="337"/>
      <c r="AO97" s="337"/>
      <c r="AP97" s="337"/>
      <c r="AQ97" s="325"/>
      <c r="AR97" s="325"/>
      <c r="AS97" s="325"/>
      <c r="AT97" s="325"/>
      <c r="AU97" s="325"/>
      <c r="AV97" s="325"/>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25"/>
      <c r="BU97" s="325"/>
      <c r="BV97" s="325"/>
      <c r="BW97" s="325"/>
      <c r="BX97" s="325"/>
      <c r="BY97" s="325"/>
      <c r="BZ97" s="325"/>
      <c r="CA97" s="325"/>
      <c r="CB97" s="325"/>
      <c r="CC97" s="325"/>
      <c r="CD97" s="325"/>
      <c r="CE97" s="325"/>
      <c r="CF97" s="325"/>
      <c r="CG97" s="325"/>
    </row>
    <row r="98" spans="1:85" ht="12.75" customHeight="1" thickBot="1" x14ac:dyDescent="0.3">
      <c r="A98" s="318"/>
      <c r="B98" s="21"/>
      <c r="C98" s="21"/>
      <c r="D98" s="21"/>
      <c r="E98" s="1140" t="str">
        <f>IF(E95="","",HYPERLINK("#JUMP_E_Top",EUconst_FurtherGuidancePoint1))</f>
        <v/>
      </c>
      <c r="F98" s="1140"/>
      <c r="G98" s="1140"/>
      <c r="H98" s="1140"/>
      <c r="I98" s="1140"/>
      <c r="J98" s="1140"/>
      <c r="K98" s="1140"/>
      <c r="L98" s="1140"/>
      <c r="M98" s="1140"/>
      <c r="N98" s="22"/>
      <c r="O98" s="323"/>
      <c r="P98" s="301"/>
      <c r="Q98" s="335" t="str">
        <f>EUconst_SumNonSustBioCO2</f>
        <v>SUM_bioNonSustCO2</v>
      </c>
      <c r="R98" s="500" t="str">
        <f>IF(E96="","",BG104)</f>
        <v/>
      </c>
      <c r="S98" s="2"/>
      <c r="T98" s="2"/>
      <c r="U98" s="2"/>
      <c r="V98" s="325"/>
      <c r="W98" s="325"/>
      <c r="X98" s="325"/>
      <c r="Y98" s="41"/>
      <c r="Z98" s="325"/>
      <c r="AA98" s="325"/>
      <c r="AB98" s="325"/>
      <c r="AC98" s="325"/>
      <c r="AD98" s="325"/>
      <c r="AE98" s="325"/>
      <c r="AF98" s="41"/>
      <c r="AG98" s="325"/>
      <c r="AH98" s="325"/>
      <c r="AI98" s="325"/>
      <c r="AJ98" s="342"/>
      <c r="AK98" s="342"/>
      <c r="AL98" s="337"/>
      <c r="AM98" s="337"/>
      <c r="AN98" s="337"/>
      <c r="AO98" s="337"/>
      <c r="AP98" s="337"/>
      <c r="AQ98" s="325"/>
      <c r="AR98" s="325"/>
      <c r="AS98" s="325"/>
      <c r="AT98" s="325"/>
      <c r="AU98" s="325"/>
      <c r="AV98" s="325"/>
      <c r="AW98" s="325"/>
      <c r="AX98" s="325"/>
      <c r="AY98" s="325"/>
      <c r="AZ98" s="325"/>
      <c r="BA98" s="325"/>
      <c r="BB98" s="325"/>
      <c r="BC98" s="325"/>
      <c r="BD98" s="325"/>
      <c r="BE98" s="325"/>
      <c r="BF98" s="325"/>
      <c r="BG98" s="325"/>
      <c r="BH98" s="325"/>
      <c r="BI98" s="20" t="s">
        <v>104</v>
      </c>
      <c r="BJ98" s="343"/>
      <c r="BK98" s="483" t="str">
        <f>IF(G112="","",G112)</f>
        <v/>
      </c>
      <c r="BL98" s="483" t="str">
        <f>IF(I112="","",I112)</f>
        <v/>
      </c>
      <c r="BM98" s="483" t="str">
        <f>IF(K112="","",K112)</f>
        <v/>
      </c>
      <c r="BN98" s="325"/>
      <c r="BO98" s="325"/>
      <c r="BP98" s="325"/>
      <c r="BQ98" s="325"/>
      <c r="BR98" s="325"/>
      <c r="BS98" s="325"/>
      <c r="BT98" s="330"/>
      <c r="BU98" s="325"/>
      <c r="BV98" s="325"/>
      <c r="BW98" s="325"/>
      <c r="BX98" s="325"/>
      <c r="BY98" s="325"/>
      <c r="BZ98" s="325"/>
      <c r="CA98" s="325"/>
      <c r="CB98" s="325"/>
      <c r="CC98" s="325"/>
      <c r="CD98" s="325"/>
      <c r="CE98" s="325"/>
      <c r="CF98" s="325"/>
      <c r="CG98" s="325"/>
    </row>
    <row r="99" spans="1:85" ht="5.15" customHeight="1" thickBot="1" x14ac:dyDescent="0.3">
      <c r="A99" s="318"/>
      <c r="B99" s="21"/>
      <c r="C99" s="21"/>
      <c r="D99" s="21"/>
      <c r="E99" s="21"/>
      <c r="F99" s="21"/>
      <c r="G99" s="21"/>
      <c r="H99" s="22"/>
      <c r="I99" s="22"/>
      <c r="J99" s="22"/>
      <c r="K99" s="22"/>
      <c r="L99" s="22"/>
      <c r="M99" s="22"/>
      <c r="N99" s="22"/>
      <c r="O99" s="323"/>
      <c r="P99" s="259"/>
      <c r="Q99" s="2"/>
      <c r="R99" s="259"/>
      <c r="S99" s="2"/>
      <c r="T99" s="2"/>
      <c r="U99" s="2"/>
      <c r="V99" s="325"/>
      <c r="W99" s="325"/>
      <c r="X99" s="325"/>
      <c r="Y99" s="23"/>
      <c r="Z99" s="325"/>
      <c r="AA99" s="325"/>
      <c r="AB99" s="325"/>
      <c r="AC99" s="325"/>
      <c r="AD99" s="325"/>
      <c r="AE99" s="325"/>
      <c r="AF99" s="41"/>
      <c r="AG99" s="325"/>
      <c r="AH99" s="325"/>
      <c r="AI99" s="325"/>
      <c r="AJ99" s="342"/>
      <c r="AK99" s="342"/>
      <c r="AL99" s="337"/>
      <c r="AM99" s="337"/>
      <c r="AN99" s="337"/>
      <c r="AO99" s="337"/>
      <c r="AP99" s="337"/>
      <c r="AQ99" s="325"/>
      <c r="AR99" s="325"/>
      <c r="AS99" s="325"/>
      <c r="AT99" s="325"/>
      <c r="AU99" s="325"/>
      <c r="AV99" s="325"/>
      <c r="AW99" s="325"/>
      <c r="AX99" s="325"/>
      <c r="AY99" s="325"/>
      <c r="AZ99" s="325"/>
      <c r="BA99" s="325"/>
      <c r="BB99" s="325"/>
      <c r="BC99" s="325"/>
      <c r="BD99" s="325"/>
      <c r="BE99" s="325"/>
      <c r="BF99" s="325"/>
      <c r="BG99" s="325"/>
      <c r="BH99" s="325"/>
      <c r="BI99" s="325"/>
      <c r="BJ99" s="325"/>
      <c r="BK99" s="325"/>
      <c r="BL99" s="325"/>
      <c r="BM99" s="325"/>
      <c r="BN99" s="325"/>
      <c r="BO99" s="325"/>
      <c r="BP99" s="325"/>
      <c r="BQ99" s="325"/>
      <c r="BR99" s="325"/>
      <c r="BS99" s="325"/>
      <c r="BT99" s="325"/>
      <c r="BU99" s="325"/>
      <c r="BV99" s="325"/>
      <c r="BW99" s="325"/>
      <c r="BX99" s="325"/>
      <c r="BY99" s="325"/>
      <c r="BZ99" s="325"/>
      <c r="CA99" s="325"/>
      <c r="CB99" s="325"/>
      <c r="CC99" s="325"/>
      <c r="CD99" s="325"/>
      <c r="CE99" s="325"/>
      <c r="CF99" s="325"/>
      <c r="CG99" s="325"/>
    </row>
    <row r="100" spans="1:85" ht="12.75" customHeight="1" thickBot="1" x14ac:dyDescent="0.3">
      <c r="A100" s="318"/>
      <c r="B100" s="21"/>
      <c r="C100" s="21"/>
      <c r="D100" s="21"/>
      <c r="E100" s="21"/>
      <c r="F100" s="347" t="str">
        <f>Translations!$B$127</f>
        <v>Määrittämistaso</v>
      </c>
      <c r="G100" s="1141" t="str">
        <f>Translations!$B$393</f>
        <v>määrittämistason kuvaus</v>
      </c>
      <c r="H100" s="1141"/>
      <c r="I100" s="1142" t="str">
        <f>Translations!$B$394</f>
        <v>Yksikkö</v>
      </c>
      <c r="J100" s="1142"/>
      <c r="K100" s="1142" t="str">
        <f>Translations!$B$395</f>
        <v>Arvo</v>
      </c>
      <c r="L100" s="1142"/>
      <c r="M100" s="327" t="str">
        <f>Translations!$B$396</f>
        <v>virhe</v>
      </c>
      <c r="N100" s="22"/>
      <c r="O100" s="323"/>
      <c r="P100" s="611"/>
      <c r="Q100" s="335" t="str">
        <f>EUconst_SumEnergyIN</f>
        <v>SUM_EnergyIN</v>
      </c>
      <c r="R100" s="501" t="str">
        <f>IF(E96="","",BG105)</f>
        <v/>
      </c>
      <c r="S100" s="325"/>
      <c r="T100" s="325"/>
      <c r="U100" s="325"/>
      <c r="V100" s="336" t="s">
        <v>105</v>
      </c>
      <c r="W100" s="325"/>
      <c r="X100" s="325"/>
      <c r="Y100" s="23" t="s">
        <v>106</v>
      </c>
      <c r="Z100" s="23" t="s">
        <v>107</v>
      </c>
      <c r="AA100" s="325"/>
      <c r="AB100" s="325"/>
      <c r="AC100" s="343" t="s">
        <v>108</v>
      </c>
      <c r="AD100" s="325"/>
      <c r="AE100" s="325"/>
      <c r="AF100" s="325" t="s">
        <v>109</v>
      </c>
      <c r="AG100" s="325" t="s">
        <v>110</v>
      </c>
      <c r="AH100" s="23" t="s">
        <v>111</v>
      </c>
      <c r="AI100" s="342" t="s">
        <v>112</v>
      </c>
      <c r="AJ100" s="342" t="s">
        <v>113</v>
      </c>
      <c r="AK100" s="348" t="s">
        <v>114</v>
      </c>
      <c r="AL100" s="337"/>
      <c r="AM100" s="337"/>
      <c r="AN100" s="337"/>
      <c r="AO100" s="337"/>
      <c r="AP100" s="337"/>
      <c r="AQ100" s="325"/>
      <c r="AR100" s="325" t="s">
        <v>109</v>
      </c>
      <c r="AS100" s="325" t="s">
        <v>110</v>
      </c>
      <c r="AT100" s="349" t="s">
        <v>115</v>
      </c>
      <c r="AU100" s="342" t="s">
        <v>116</v>
      </c>
      <c r="AV100" s="342" t="s">
        <v>117</v>
      </c>
      <c r="AW100" s="348" t="s">
        <v>114</v>
      </c>
      <c r="AX100" s="348" t="s">
        <v>114</v>
      </c>
      <c r="AY100" s="325"/>
      <c r="AZ100" s="325"/>
      <c r="BA100" s="325"/>
      <c r="BB100" s="325" t="s">
        <v>118</v>
      </c>
      <c r="BC100" s="325"/>
      <c r="BD100" s="325"/>
      <c r="BE100" s="325"/>
      <c r="BF100" s="325"/>
      <c r="BG100" s="330" t="str">
        <f>EUconst_Fuel</f>
        <v>Poltto</v>
      </c>
      <c r="BH100" s="325"/>
      <c r="BI100" s="325"/>
      <c r="BJ100" s="325"/>
      <c r="BK100" s="325"/>
      <c r="BL100" s="325"/>
      <c r="BM100" s="325"/>
      <c r="BN100" s="325"/>
      <c r="BO100" s="325"/>
      <c r="BP100" s="325"/>
      <c r="BQ100" s="325"/>
      <c r="BR100" s="325"/>
      <c r="BS100" s="325"/>
      <c r="BT100" s="325"/>
      <c r="BU100" s="325"/>
      <c r="BV100" s="325"/>
      <c r="BW100" s="325"/>
      <c r="BX100" s="325"/>
      <c r="BY100" s="325"/>
      <c r="BZ100" s="325"/>
      <c r="CA100" s="325"/>
      <c r="CB100" s="325"/>
      <c r="CC100" s="325"/>
      <c r="CD100" s="325"/>
      <c r="CE100" s="325"/>
      <c r="CF100" s="325"/>
      <c r="CG100" s="330" t="s">
        <v>94</v>
      </c>
    </row>
    <row r="101" spans="1:85" ht="12.75" customHeight="1" thickBot="1" x14ac:dyDescent="0.3">
      <c r="A101" s="318"/>
      <c r="B101" s="21"/>
      <c r="C101" s="344"/>
      <c r="D101" s="345" t="str">
        <f>Translations!$B$356</f>
        <v>Polttoaineen määrä:</v>
      </c>
      <c r="E101" s="350"/>
      <c r="F101" s="351"/>
      <c r="G101" s="1120" t="str">
        <f>IF(OR(ISBLANK(F101),F101=EUconst_NoTier),"",IF(Z101=0,EUconst_NA,IF(ISERROR(Z101),"",Z101)))</f>
        <v/>
      </c>
      <c r="H101" s="1122"/>
      <c r="I101" s="352" t="str">
        <f>IF(J101&lt;&gt;"","",AI101)</f>
        <v/>
      </c>
      <c r="J101" s="353"/>
      <c r="K101" s="1143"/>
      <c r="L101" s="1144"/>
      <c r="M101" s="486" t="str">
        <f>IF(AND(E96&lt;&gt;"",OR(F101="",COUNT(K101)=0),Y101&lt;&gt;EUconst_NA),EUconst_ERR_Incomplete,"")</f>
        <v/>
      </c>
      <c r="N101" s="22"/>
      <c r="O101" s="323"/>
      <c r="P101" s="612"/>
      <c r="Q101" s="335" t="str">
        <f>EUconst_SumBioEnergyIN</f>
        <v>SUM_BioEnergyIN</v>
      </c>
      <c r="R101" s="501" t="str">
        <f>IF(E96="","",BG106)</f>
        <v/>
      </c>
      <c r="S101" s="325"/>
      <c r="T101" s="355" t="str">
        <f>EUconst_CNTR_ActivityData&amp;E96</f>
        <v>ActivityData_</v>
      </c>
      <c r="U101" s="23"/>
      <c r="V101" s="355" t="str">
        <f>IF(E95="","",INDEX('B_Polttoainevirtojen tiedot'!$I$67:$I$91,MATCH(U94,'B_Polttoainevirtojen tiedot'!$D$67:$D$91,0)))</f>
        <v/>
      </c>
      <c r="W101" s="342" t="s">
        <v>121</v>
      </c>
      <c r="X101" s="23"/>
      <c r="Y101" s="356" t="str">
        <f>IF(E96="","",INDEX(EUwideConstants!$P$153:$P$180,MATCH(T101,EUwideConstants!$S$153:$S$180,0)))</f>
        <v/>
      </c>
      <c r="Z101" s="357" t="str">
        <f>IF(ISBLANK(F101),"",IF(F101=EUconst_NA,"",INDEX(EUwideConstants!$H:$O,MATCH(T101,EUwideConstants!$S:$S,0),MATCH(F101,CNTR_TierList,0))))</f>
        <v/>
      </c>
      <c r="AA101" s="358" t="s">
        <v>111</v>
      </c>
      <c r="AB101" s="342"/>
      <c r="AC101" s="339" t="b">
        <f>E95&lt;&gt;""</f>
        <v>0</v>
      </c>
      <c r="AD101" s="325"/>
      <c r="AE101" s="359" t="str">
        <f>EUconst_CNTR_ActivityData&amp;EUconst_Unit</f>
        <v>ActivityData_Yksikkö</v>
      </c>
      <c r="AF101" s="360" t="str">
        <f>IF(AC101=TRUE, IF(COUNTIF(MSPara_SourceStreamCategory,V101)=0,"",INDEX(MSPara_CalcFactorsMatrix,MATCH(V101,MSPara_SourceStreamCategory,0),MATCH(AE101&amp;"_"&amp;2,MSPara_CalcFactors,0))),"")</f>
        <v/>
      </c>
      <c r="AG101" s="361" t="str">
        <f>IF(AC101=TRUE, IF(COUNTIF(MSPara_SourceStreamCategory,V101)=0,"",INDEX(MSPara_CalcFactorsMatrix,MATCH(V101,MSPara_SourceStreamCategory,0),MATCH(AE101&amp;"_"&amp;1,MSPara_CalcFactors,0))),"")</f>
        <v/>
      </c>
      <c r="AH101" s="339" t="str">
        <f>IF(OR(AF101="",AF101=EUconst_NA),IF(OR(AG101=EUconst_NA,AG101=""),"",AG101),AF101)</f>
        <v/>
      </c>
      <c r="AI101" s="356" t="str">
        <f>IF(AC101=TRUE,IF(AH101="",EUconst_t,AH101),"")</f>
        <v/>
      </c>
      <c r="AJ101" s="362" t="str">
        <f>IF(J101="",AI101,J101)</f>
        <v/>
      </c>
      <c r="AK101" s="363" t="b">
        <f>AND(E95&lt;&gt;"",J101&lt;&gt;"")</f>
        <v>0</v>
      </c>
      <c r="AL101" s="337"/>
      <c r="AM101" s="404" t="s">
        <v>122</v>
      </c>
      <c r="AN101" s="403" t="str">
        <f>AJ101</f>
        <v/>
      </c>
      <c r="AO101" s="337"/>
      <c r="AP101" s="337"/>
      <c r="AQ101" s="355" t="str">
        <f>EUconst_CNTR_ActivityData&amp;EUconst_Value</f>
        <v>ActivityData_Arvo</v>
      </c>
      <c r="AR101" s="343"/>
      <c r="AS101" s="343"/>
      <c r="AT101" s="339" t="b">
        <f>AND(AND(AH101&lt;&gt;"",AJ101&lt;&gt;""),AJ101=AH101)</f>
        <v>0</v>
      </c>
      <c r="AU101" s="325"/>
      <c r="AV101" s="339">
        <f>IF(Y101=EUconst_NA,0,IF(COUNT(K101:K101)=0,0,IF(K101="",#REF!,K101)))</f>
        <v>0</v>
      </c>
      <c r="AW101" s="346" t="b">
        <f>AND(AC101=TRUE,OR(K101&lt;&gt;"",AU101=""))</f>
        <v>0</v>
      </c>
      <c r="AX101" s="346" t="b">
        <f>AND(AC101=TRUE,NOT(AW101))</f>
        <v>0</v>
      </c>
      <c r="AY101" s="325"/>
      <c r="AZ101" s="325" t="s">
        <v>123</v>
      </c>
      <c r="BA101" s="325" t="s">
        <v>124</v>
      </c>
      <c r="BB101" s="346"/>
      <c r="BC101" s="325" t="s">
        <v>125</v>
      </c>
      <c r="BD101" s="325"/>
      <c r="BE101" s="325"/>
      <c r="BF101" s="400" t="str">
        <f>Translations!$B$390</f>
        <v>CO2 fossil</v>
      </c>
      <c r="BG101" s="495" t="str">
        <f>IF(COUNTIF(AO104:AO105,TRUE)=0,"",AV101*IF(AO104,1,AV103*AN105)*AV104*(1-AV105)*AV108)</f>
        <v/>
      </c>
      <c r="BH101" s="325"/>
      <c r="BI101" s="325"/>
      <c r="BJ101" s="325"/>
      <c r="BK101" s="325"/>
      <c r="BL101" s="325"/>
      <c r="BM101" s="325"/>
      <c r="BN101" s="325"/>
      <c r="BO101" s="325"/>
      <c r="BP101" s="325"/>
      <c r="BQ101" s="325"/>
      <c r="BR101" s="325"/>
      <c r="BS101" s="325"/>
      <c r="BT101" s="325"/>
      <c r="BU101" s="325"/>
      <c r="BV101" s="325"/>
      <c r="BW101" s="325"/>
      <c r="BX101" s="325"/>
      <c r="BY101" s="325"/>
      <c r="BZ101" s="325"/>
      <c r="CA101" s="325"/>
      <c r="CB101" s="325"/>
      <c r="CC101" s="325"/>
      <c r="CD101" s="325"/>
      <c r="CE101" s="325"/>
      <c r="CF101" s="325"/>
      <c r="CG101" s="346" t="b">
        <v>0</v>
      </c>
    </row>
    <row r="102" spans="1:85" ht="5.15" customHeight="1" thickBot="1" x14ac:dyDescent="0.3">
      <c r="A102" s="318"/>
      <c r="B102" s="21"/>
      <c r="C102" s="344"/>
      <c r="D102" s="188"/>
      <c r="E102" s="22"/>
      <c r="F102" s="22"/>
      <c r="G102" s="22"/>
      <c r="H102" s="22" t="str">
        <f>Translations!$B$397</f>
        <v xml:space="preserve"> </v>
      </c>
      <c r="I102" s="364"/>
      <c r="J102" s="364"/>
      <c r="K102" s="22"/>
      <c r="L102" s="22"/>
      <c r="M102" s="487"/>
      <c r="N102" s="22"/>
      <c r="O102" s="323"/>
      <c r="P102" s="301"/>
      <c r="Q102" s="23"/>
      <c r="R102" s="23"/>
      <c r="S102" s="325"/>
      <c r="T102" s="277"/>
      <c r="U102" s="23"/>
      <c r="V102" s="325"/>
      <c r="W102" s="325"/>
      <c r="X102" s="23"/>
      <c r="Y102" s="330"/>
      <c r="Z102" s="325"/>
      <c r="AA102" s="325"/>
      <c r="AB102" s="325"/>
      <c r="AC102" s="325"/>
      <c r="AD102" s="325"/>
      <c r="AE102" s="325"/>
      <c r="AF102" s="325"/>
      <c r="AG102" s="325"/>
      <c r="AH102" s="325"/>
      <c r="AI102" s="325"/>
      <c r="AJ102" s="325"/>
      <c r="AK102" s="325"/>
      <c r="AL102" s="337"/>
      <c r="AM102" s="337"/>
      <c r="AN102" s="337"/>
      <c r="AO102" s="337"/>
      <c r="AP102" s="337"/>
      <c r="AQ102" s="325"/>
      <c r="AR102" s="325"/>
      <c r="AS102" s="325"/>
      <c r="AT102" s="325"/>
      <c r="AU102" s="325"/>
      <c r="AV102" s="325"/>
      <c r="AW102" s="325"/>
      <c r="AX102" s="325"/>
      <c r="AY102" s="325"/>
      <c r="AZ102" s="325"/>
      <c r="BA102" s="325"/>
      <c r="BB102" s="325"/>
      <c r="BC102" s="325"/>
      <c r="BD102" s="325"/>
      <c r="BE102" s="325"/>
      <c r="BF102" s="325"/>
      <c r="BG102" s="496"/>
      <c r="BH102" s="325"/>
      <c r="BI102" s="325"/>
      <c r="BJ102" s="325"/>
      <c r="BK102" s="325"/>
      <c r="BL102" s="325"/>
      <c r="BM102" s="325"/>
      <c r="BN102" s="325"/>
      <c r="BO102" s="325"/>
      <c r="BP102" s="325"/>
      <c r="BQ102" s="325"/>
      <c r="BR102" s="325"/>
      <c r="BS102" s="325"/>
      <c r="BT102" s="325"/>
      <c r="BU102" s="325"/>
      <c r="BV102" s="325"/>
      <c r="BW102" s="325"/>
      <c r="BX102" s="325"/>
      <c r="BY102" s="325"/>
      <c r="BZ102" s="325"/>
      <c r="CA102" s="325"/>
      <c r="CB102" s="325"/>
      <c r="CC102" s="325"/>
      <c r="CD102" s="325"/>
      <c r="CE102" s="325"/>
      <c r="CF102" s="325"/>
      <c r="CG102" s="330"/>
    </row>
    <row r="103" spans="1:85" ht="12.75" customHeight="1" thickBot="1" x14ac:dyDescent="0.3">
      <c r="A103" s="318"/>
      <c r="B103" s="21"/>
      <c r="C103" s="344"/>
      <c r="D103" s="345" t="str">
        <f>Translations!$B$360</f>
        <v>Yksikön muuntokerroin:</v>
      </c>
      <c r="E103" s="350"/>
      <c r="F103" s="443"/>
      <c r="G103" s="1120" t="str">
        <f>IF(OR(ISBLANK(F103),F103=EUconst_NoTier),"",IF(Z103=0,EUconst_NotApplicable,IF(ISERROR(Z103),"",Z103)))</f>
        <v/>
      </c>
      <c r="H103" s="1122"/>
      <c r="I103" s="444" t="str">
        <f>IF(J103&lt;&gt;"","",AI103)</f>
        <v/>
      </c>
      <c r="J103" s="445"/>
      <c r="K103" s="632" t="str">
        <f>IF(L103="",AU103,"")</f>
        <v/>
      </c>
      <c r="L103" s="633"/>
      <c r="M103" s="486" t="str">
        <f>IF(AND(E96&lt;&gt;"",OR(F103="",COUNT(K103:L103)=0),Y103&lt;&gt;EUconst_NA),EUconst_ERR_Incomplete,IF(COUNTIF(BB103:BD103,TRUE)&gt;0,EUconst_ERR_Inconsistent,""))</f>
        <v/>
      </c>
      <c r="N103" s="752"/>
      <c r="O103" s="323"/>
      <c r="P103" s="301"/>
      <c r="Q103" s="23"/>
      <c r="R103" s="23"/>
      <c r="S103" s="325"/>
      <c r="T103" s="365" t="str">
        <f>EUconst_CNTR_UCF&amp;E96</f>
        <v>UCF_</v>
      </c>
      <c r="U103" s="23"/>
      <c r="V103" s="366" t="str">
        <f>V104</f>
        <v/>
      </c>
      <c r="W103" s="325"/>
      <c r="X103" s="23"/>
      <c r="Y103" s="448" t="str">
        <f>IF(E96="","",IF(OR(F103=EUconst_NA,W103=TRUE),EUconst_NA,INDEX(EUwideConstants!$P$153:$P$180,MATCH(T103,EUwideConstants!$S$153:$S$180,0))))</f>
        <v/>
      </c>
      <c r="Z103" s="471" t="str">
        <f>IF(ISBLANK(F103),"",IF(F103=EUconst_NA,"",INDEX(EUwideConstants!$H:$O,MATCH(T103,EUwideConstants!$S:$S,0),MATCH(F103,CNTR_TierList,0))))</f>
        <v/>
      </c>
      <c r="AA103" s="449" t="str">
        <f>IF(COUNTIF(EUconst_DefaultValues,Z103)&gt;0,MATCH(Z103,EUconst_DefaultValues,0),"")</f>
        <v/>
      </c>
      <c r="AB103" s="325"/>
      <c r="AC103" s="367" t="b">
        <f>AND(AC101,Y103&lt;&gt;EUconst_NA)</f>
        <v>0</v>
      </c>
      <c r="AD103" s="325"/>
      <c r="AE103" s="359" t="str">
        <f>EUconst_CNTR_UCF&amp;EUconst_Unit</f>
        <v>UCF_Yksikkö</v>
      </c>
      <c r="AF103" s="368" t="str">
        <f>IF(AC103=TRUE, IF(COUNTIF(MSPara_SourceStreamCategory,V103)=0,"",INDEX(MSPara_CalcFactorsMatrix,MATCH(V103,MSPara_SourceStreamCategory,0),MATCH(AE103&amp;"_"&amp;2,MSPara_CalcFactors,0))),"")</f>
        <v/>
      </c>
      <c r="AG103" s="372" t="str">
        <f>IF(AC103=TRUE, IF(COUNTIF(MSPara_SourceStreamCategory,V103)=0,"",INDEX(MSPara_CalcFactorsMatrix,MATCH(V103,MSPara_SourceStreamCategory,0),MATCH(AE103&amp;"_"&amp;1,MSPara_CalcFactors,0))),"")</f>
        <v/>
      </c>
      <c r="AH103" s="367" t="str">
        <f>IF(AA103="","",INDEX(AF103:AG103,3-AA103))</f>
        <v/>
      </c>
      <c r="AI103" s="367" t="str">
        <f>IF(AC103=TRUE,IF(OR(AH103="",AH103=EUconst_NA),EUconst_GJ&amp;"/"&amp;AJ101,AH103),"")</f>
        <v/>
      </c>
      <c r="AJ103" s="367" t="str">
        <f>IF(J103="",AI103,J103)</f>
        <v/>
      </c>
      <c r="AK103" s="366" t="b">
        <f>AND(E95&lt;&gt;"",J103&lt;&gt;"")</f>
        <v>0</v>
      </c>
      <c r="AL103" s="337"/>
      <c r="AM103" s="404" t="s">
        <v>127</v>
      </c>
      <c r="AN103" s="403" t="str">
        <f>IF(AJ103="",EUconst_NA,IF(AN101=EUconst_TJ,EUconst_TJ,INDEX(EUwideConstants!$C$124:$G$128,MATCH(AN101,RFAUnits,0),MATCH(AJ103,UCFUnits,0))))</f>
        <v>ei sovellettavissa</v>
      </c>
      <c r="AO103" s="337"/>
      <c r="AP103" s="337"/>
      <c r="AQ103" s="454" t="str">
        <f>EUconst_CNTR_UCF&amp;EUconst_Value</f>
        <v>UCF_Arvo</v>
      </c>
      <c r="AR103" s="475" t="str">
        <f>IF(AC103=TRUE,IF(COUNTIF(MSPara_SourceStreamCategory,V103)=0,"",INDEX(MSPara_CalcFactorsMatrix,MATCH(V103,MSPara_SourceStreamCategory,0),MATCH(AQ103&amp;"_"&amp;2,MSPara_CalcFactors,0))),"")</f>
        <v/>
      </c>
      <c r="AS103" s="371" t="str">
        <f>IF(AC103=TRUE,IF(COUNTIF(MSPara_SourceStreamCategory,V103)=0,"",INDEX(MSPara_CalcFactorsMatrix,MATCH(V103,MSPara_SourceStreamCategory,0),MATCH(AQ103&amp;"_"&amp;1,MSPara_CalcFactors,0))),"")</f>
        <v/>
      </c>
      <c r="AT103" s="369" t="b">
        <f>AND(AND(AH103&lt;&gt;"",AJ103&lt;&gt;""),AJ103=AH103)</f>
        <v>0</v>
      </c>
      <c r="AU103" s="381" t="str">
        <f>IF(AND(AA103&lt;&gt;"",AT103=TRUE),IF(OR(INDEX(AR103:AS103,3-AA103)=EUconst_NA,INDEX(AR103:AS103,3-AA103)=0),"",INDEX(AR103:AS103,3-AA103)),"")</f>
        <v/>
      </c>
      <c r="AV103" s="367">
        <f>IF(AC103=TRUE,IF(COUNT(K103:L103)=0,0,IF(L103="",K103,L103)),0)</f>
        <v>0</v>
      </c>
      <c r="AW103" s="366" t="b">
        <f>AND(AC103=TRUE,OR(AND(F103&lt;&gt;"",NOT(ISNUMBER(AA103))),L103&lt;&gt;"",F103="",AU103=""))</f>
        <v>0</v>
      </c>
      <c r="AX103" s="370" t="b">
        <f>AND(AC103=TRUE,NOT(AW103))</f>
        <v>0</v>
      </c>
      <c r="AY103" s="325"/>
      <c r="AZ103" s="373" t="b">
        <f>AND(ISNUMBER(AA103),AU103="")</f>
        <v>0</v>
      </c>
      <c r="BA103" s="399" t="b">
        <f>AND(ISNUMBER(AA103),AU103&lt;&gt;AV103)</f>
        <v>0</v>
      </c>
      <c r="BB103" s="366" t="b">
        <f>AND(E96&lt;&gt;"",F103&lt;&gt;EUconst_NA,AN103=EUconst_NA)</f>
        <v>0</v>
      </c>
      <c r="BC103" s="366" t="b">
        <f>AND(L103&lt;&gt;"",Y103=EUconst_NA)</f>
        <v>0</v>
      </c>
      <c r="BD103" s="325"/>
      <c r="BE103" s="325"/>
      <c r="BF103" s="373" t="s">
        <v>128</v>
      </c>
      <c r="BG103" s="497" t="str">
        <f>IF(COUNTIF(AO104:AO105,TRUE)=0,"",AV101*IF(AO104,1,AV103*AN105)*AV104*AV105*AV108)</f>
        <v/>
      </c>
      <c r="BH103" s="325"/>
      <c r="BI103" s="325"/>
      <c r="BJ103" s="325"/>
      <c r="BK103" s="325"/>
      <c r="BL103" s="325"/>
      <c r="BM103" s="325"/>
      <c r="BN103" s="325"/>
      <c r="BO103" s="325"/>
      <c r="BP103" s="325"/>
      <c r="BQ103" s="325"/>
      <c r="BR103" s="325"/>
      <c r="BS103" s="325"/>
      <c r="BT103" s="325"/>
      <c r="BU103" s="325"/>
      <c r="BV103" s="325"/>
      <c r="BW103" s="325"/>
      <c r="BX103" s="325"/>
      <c r="BY103" s="325"/>
      <c r="BZ103" s="325"/>
      <c r="CA103" s="325"/>
      <c r="CB103" s="325"/>
      <c r="CC103" s="325"/>
      <c r="CD103" s="325"/>
      <c r="CE103" s="325"/>
      <c r="CF103" s="325"/>
      <c r="CG103" s="375" t="b">
        <f>OR(CG101,Y103=EUconst_NA)</f>
        <v>0</v>
      </c>
    </row>
    <row r="104" spans="1:85" ht="12.75" customHeight="1" thickBot="1" x14ac:dyDescent="0.3">
      <c r="A104" s="318"/>
      <c r="B104" s="21"/>
      <c r="C104" s="344"/>
      <c r="D104" s="345" t="str">
        <f>Translations!$B$358</f>
        <v>Päästökerroin (alustava):</v>
      </c>
      <c r="E104" s="350"/>
      <c r="F104" s="624"/>
      <c r="G104" s="1120" t="str">
        <f>IF(OR(ISBLANK(F104),F104=EUconst_NoTier),"",IF(Z104=0,EUconst_NotApplicable,IF(ISERROR(Z104),"",Z104)))</f>
        <v/>
      </c>
      <c r="H104" s="1121"/>
      <c r="I104" s="625" t="str">
        <f>IF(J104&lt;&gt;"","",AI104)</f>
        <v/>
      </c>
      <c r="J104" s="631"/>
      <c r="K104" s="634" t="str">
        <f>IF(L104="",AU104,"")</f>
        <v/>
      </c>
      <c r="L104" s="754"/>
      <c r="M104" s="486" t="str">
        <f>IF(AND(E96&lt;&gt;"",OR(F104="",COUNT(K104:L104)=0),Y104&lt;&gt;EUconst_NA),EUconst_ERR_Incomplete,IF(COUNTIF(BB104:BD104,TRUE)&gt;0,EUconst_ERR_Inconsistent,""))</f>
        <v/>
      </c>
      <c r="N104" s="753"/>
      <c r="O104" s="323"/>
      <c r="P104" s="301"/>
      <c r="Q104" s="23"/>
      <c r="R104" s="23"/>
      <c r="S104" s="325"/>
      <c r="T104" s="374" t="str">
        <f>EUconst_CNTR_EF&amp;E96</f>
        <v>EF_</v>
      </c>
      <c r="U104" s="23"/>
      <c r="V104" s="375" t="str">
        <f>V101</f>
        <v/>
      </c>
      <c r="W104" s="325"/>
      <c r="X104" s="23"/>
      <c r="Y104" s="450" t="str">
        <f>IF(E96="","",IF(OR(F104=EUconst_NA,W104=TRUE),EUconst_NA,INDEX(EUwideConstants!$P$153:$P$180,MATCH(T104,EUwideConstants!$S$153:$S$180,0))))</f>
        <v/>
      </c>
      <c r="Z104" s="472" t="str">
        <f>IF(ISBLANK(F104),"",IF(F104=EUconst_NA,"",INDEX(EUwideConstants!$H:$O,MATCH(T104,EUwideConstants!$S:$S,0),MATCH(F104,CNTR_TierList,0))))</f>
        <v/>
      </c>
      <c r="AA104" s="451" t="str">
        <f>IF(COUNTIF(EUconst_DefaultValues,Z104)&gt;0,MATCH(Z104,EUconst_DefaultValues,0),"")</f>
        <v/>
      </c>
      <c r="AB104" s="325"/>
      <c r="AC104" s="376" t="b">
        <f>AND(AC101,Y104&lt;&gt;EUconst_NA)</f>
        <v>0</v>
      </c>
      <c r="AD104" s="325"/>
      <c r="AE104" s="377" t="str">
        <f>EUconst_CNTR_EF&amp;EUconst_Unit</f>
        <v>EF_Yksikkö</v>
      </c>
      <c r="AF104" s="378" t="str">
        <f>IF(AC104=TRUE, IF(COUNTIF(MSPara_SourceStreamCategory,V104)=0,"",INDEX(MSPara_CalcFactorsMatrix,MATCH(V104,MSPara_SourceStreamCategory,0),MATCH(AE104&amp;"_"&amp;2,MSPara_CalcFactors,0))),"")</f>
        <v/>
      </c>
      <c r="AG104" s="464" t="str">
        <f>IF(AC104=TRUE, IF(COUNTIF(MSPara_SourceStreamCategory,V104)=0,"",INDEX(MSPara_CalcFactorsMatrix,MATCH(V104,MSPara_SourceStreamCategory,0),MATCH(AE104&amp;"_"&amp;1,MSPara_CalcFactors,0))),"")</f>
        <v/>
      </c>
      <c r="AH104" s="376" t="str">
        <f>IF(AA104="","",INDEX(AF104:AG104,3-AA104))</f>
        <v/>
      </c>
      <c r="AI104" s="376" t="str">
        <f>IF(AC104=TRUE,IF(OR(AH104="",AH104=EUconst_NA),EUconst_tCO2&amp;"/"&amp;IF(AN103=EUconst_NA,AN101,IF(AN103=EUconst_GJ,EUconst_TJ,AN103)),AH104),"")</f>
        <v/>
      </c>
      <c r="AJ104" s="376" t="str">
        <f>IF(J104="",AI104,J104)</f>
        <v/>
      </c>
      <c r="AK104" s="375" t="b">
        <f>AND(E96&lt;&gt;"",J104&lt;&gt;"")</f>
        <v>0</v>
      </c>
      <c r="AL104" s="337"/>
      <c r="AM104" s="404" t="s">
        <v>130</v>
      </c>
      <c r="AN104" s="403" t="str">
        <f>IF(COUNTIF(RFAUnits,AN101)=0,EUconst_NA,INDEX(EUwideConstants!$C$139:$H$143,MATCH(AJ104,EFUnits,0),MATCH(AN101,EUwideConstants!$C$138:$H$138,0)))</f>
        <v>ei sovellettavissa</v>
      </c>
      <c r="AO104" s="403" t="b">
        <f>AN104&lt;&gt;EUconst_NA</f>
        <v>0</v>
      </c>
      <c r="AP104" s="337"/>
      <c r="AQ104" s="455" t="str">
        <f>EUconst_CNTR_EF&amp;EUconst_Value</f>
        <v>EF_Arvo</v>
      </c>
      <c r="AR104" s="476" t="str">
        <f>IF(AC104=TRUE,IF(COUNTIF(MSPara_SourceStreamCategory,V104)=0,"",INDEX(MSPara_CalcFactorsMatrix,MATCH(V104,MSPara_SourceStreamCategory,0),MATCH(AQ104&amp;"_"&amp;2,MSPara_CalcFactors,0))),"")</f>
        <v/>
      </c>
      <c r="AS104" s="383" t="str">
        <f>IF(AC104=TRUE,IF(COUNTIF(MSPara_SourceStreamCategory,V104)=0,"",INDEX(MSPara_CalcFactorsMatrix,MATCH(V104,MSPara_SourceStreamCategory,0),MATCH(AQ104&amp;"_"&amp;1,MSPara_CalcFactors,0))),"")</f>
        <v/>
      </c>
      <c r="AT104" s="456" t="b">
        <f>AND(AND(AH104&lt;&gt;"",AJ104&lt;&gt;""),AJ104=AH104)</f>
        <v>0</v>
      </c>
      <c r="AU104" s="334" t="str">
        <f>IF(AND(AA104&lt;&gt;"",AT104=TRUE),IF(OR(INDEX(AR104:AS104,3-AA104)=EUconst_NA,INDEX(AR104:AS104,3-AA104)=0),"",INDEX(AR104:AS104,3-AA104)),"")</f>
        <v/>
      </c>
      <c r="AV104" s="376">
        <f>IF(AC104=TRUE,IF(COUNT(K104:L104)=0,0,IF(L104="",K104,L104)),0)</f>
        <v>0</v>
      </c>
      <c r="AW104" s="375" t="b">
        <f>AND(AC104=TRUE,OR(AND(F104&lt;&gt;"",NOT(ISNUMBER(AA104))),L104&lt;&gt;"",F104="",AU104=""))</f>
        <v>0</v>
      </c>
      <c r="AX104" s="457" t="b">
        <f>AND(AC104=TRUE,NOT(AW104))</f>
        <v>0</v>
      </c>
      <c r="AY104" s="325"/>
      <c r="AZ104" s="379" t="b">
        <f>AND(ISNUMBER(AA104),AU104="")</f>
        <v>0</v>
      </c>
      <c r="BA104" s="380" t="b">
        <f>AND(ISNUMBER(AA104),AU104&lt;&gt;AV104)</f>
        <v>0</v>
      </c>
      <c r="BB104" s="382" t="b">
        <f>AND(E96&lt;&gt;"",COUNTIF(AO104:AO105,TRUE)=0)</f>
        <v>0</v>
      </c>
      <c r="BC104" s="375" t="b">
        <f>AND(L104&lt;&gt;"",Y104=EUconst_NA)</f>
        <v>0</v>
      </c>
      <c r="BD104" s="325"/>
      <c r="BE104" s="325"/>
      <c r="BF104" s="379" t="s">
        <v>131</v>
      </c>
      <c r="BG104" s="498" t="str">
        <f>IF(COUNTIF(AO104:AO105,TRUE)=0,"",AV101*IF(AO104,1,AV103*AN105)*AV104*AV106*AV108)</f>
        <v/>
      </c>
      <c r="BH104" s="325"/>
      <c r="BI104" s="325"/>
      <c r="BJ104" s="325"/>
      <c r="BK104" s="325"/>
      <c r="BL104" s="325"/>
      <c r="BM104" s="325"/>
      <c r="BN104" s="325"/>
      <c r="BO104" s="325"/>
      <c r="BP104" s="325"/>
      <c r="BQ104" s="325"/>
      <c r="BR104" s="325"/>
      <c r="BS104" s="325"/>
      <c r="BT104" s="325"/>
      <c r="BU104" s="325"/>
      <c r="BV104" s="325"/>
      <c r="BW104" s="325"/>
      <c r="BX104" s="325"/>
      <c r="BY104" s="325"/>
      <c r="BZ104" s="325"/>
      <c r="CA104" s="325"/>
      <c r="CB104" s="325"/>
      <c r="CC104" s="325"/>
      <c r="CD104" s="325"/>
      <c r="CE104" s="325"/>
      <c r="CF104" s="325"/>
      <c r="CG104" s="366" t="b">
        <f>OR(CG101,Y104=EUconst_NA)</f>
        <v>0</v>
      </c>
    </row>
    <row r="105" spans="1:85" ht="12.75" customHeight="1" x14ac:dyDescent="0.25">
      <c r="A105" s="318"/>
      <c r="B105" s="21"/>
      <c r="C105" s="344"/>
      <c r="D105" s="345" t="str">
        <f>Translations!$B$362</f>
        <v>Biomassaosuus:</v>
      </c>
      <c r="E105" s="350"/>
      <c r="F105" s="624"/>
      <c r="G105" s="1120" t="str">
        <f>IF(OR(ISBLANK(F105),F105=EUconst_NoTier),"",IF(Z105=0,EUconst_NotApplicable,IF(ISERROR(Z105),"",Z105)))</f>
        <v/>
      </c>
      <c r="H105" s="1122"/>
      <c r="I105" s="626" t="str">
        <f>IF(OR(AC105=FALSE,Y105=EUconst_NA),"","-")</f>
        <v/>
      </c>
      <c r="J105" s="446"/>
      <c r="K105" s="635" t="str">
        <f>IF(L105="",AU105,"")</f>
        <v/>
      </c>
      <c r="L105" s="627"/>
      <c r="M105" s="486" t="str">
        <f>IF(AND(E96&lt;&gt;"",OR(F105="",COUNT(K105:L105)=0),Y105&lt;&gt;EUconst_NA),EUconst_ERR_Incomplete,IF(COUNTIF(BB105:BD105,TRUE)&gt;0,EUconst_ERR_Inconsistent,""))</f>
        <v/>
      </c>
      <c r="O105" s="323"/>
      <c r="P105" s="612"/>
      <c r="Q105" s="354"/>
      <c r="R105" s="354"/>
      <c r="S105" s="325"/>
      <c r="T105" s="374" t="str">
        <f>EUconst_CNTR_BiomassContent&amp;E96</f>
        <v>BioC_</v>
      </c>
      <c r="U105" s="23"/>
      <c r="V105" s="375" t="str">
        <f>V103</f>
        <v/>
      </c>
      <c r="W105" s="366" t="e">
        <f>IF(COUNTIF(MSPara_SourceStreamCategory,V105)=0,"",INDEX(MSPara_IsFossil,MATCH(V105,MSPara_SourceStreamCategory,0)))</f>
        <v>#N/A</v>
      </c>
      <c r="X105" s="23"/>
      <c r="Y105" s="450" t="str">
        <f>IF(E96="","",IF(OR(F105=EUconst_NA,W105=TRUE),EUconst_NA,INDEX(EUwideConstants!$P$153:$P$180,MATCH(T105,EUwideConstants!$S$153:$S$180,0))))</f>
        <v/>
      </c>
      <c r="Z105" s="472" t="str">
        <f>IF(ISBLANK(F105),"",IF(F105=EUconst_NA,"",INDEX(EUwideConstants!$H:$O,MATCH(T105,EUwideConstants!$S:$S,0),MATCH(F105,CNTR_TierList,0))))</f>
        <v/>
      </c>
      <c r="AA105" s="681" t="str">
        <f>IF(F105=1,1,"")</f>
        <v/>
      </c>
      <c r="AB105" s="325"/>
      <c r="AC105" s="376" t="b">
        <f>AND(AC101,Y105&lt;&gt;EUconst_NA)</f>
        <v>0</v>
      </c>
      <c r="AD105" s="325"/>
      <c r="AE105" s="462"/>
      <c r="AF105" s="460"/>
      <c r="AG105" s="465"/>
      <c r="AH105" s="467"/>
      <c r="AI105" s="467"/>
      <c r="AJ105" s="467"/>
      <c r="AK105" s="469"/>
      <c r="AL105" s="337"/>
      <c r="AM105" s="404" t="s">
        <v>132</v>
      </c>
      <c r="AN105" s="403" t="str">
        <f>IF(AN103=EUconst_NA,EUconst_NA,INDEX(EUwideConstants!$C$139:$H$143,MATCH(AJ104,EFUnits,0),MATCH(AN103,EUwideConstants!$C$138:$H$138,0)))</f>
        <v>ei sovellettavissa</v>
      </c>
      <c r="AO105" s="403" t="b">
        <f>AN105&lt;&gt;EUconst_NA</f>
        <v>0</v>
      </c>
      <c r="AP105" s="337"/>
      <c r="AQ105" s="455" t="str">
        <f>EUconst_CNTR_BiomassContent&amp;EUconst_Value</f>
        <v>BioC_Arvo</v>
      </c>
      <c r="AR105" s="462"/>
      <c r="AS105" s="383" t="str">
        <f>IF(AC105=TRUE,IF(COUNTIF(MSPara_SourceStreamCategory,V105)=0,"",INDEX(MSPara_CalcFactorsMatrix,MATCH(V105,MSPara_SourceStreamCategory,0),MATCH(AQ105&amp;"_"&amp;2,MSPara_CalcFactors,0))),"")</f>
        <v/>
      </c>
      <c r="AT105" s="458"/>
      <c r="AU105" s="334" t="str">
        <f>IF(OR(AA105="",AS105=EUconst_NA),"",AS105)</f>
        <v/>
      </c>
      <c r="AV105" s="376">
        <f>IF(AC105=TRUE,IF(COUNT(K105:L105)=0,0,IF(L105="",K105,L105)),0)</f>
        <v>0</v>
      </c>
      <c r="AW105" s="375" t="b">
        <f>AND(AC105=TRUE,OR(AND(F105&lt;&gt;"",NOT(ISNUMBER(AA105))),L105&lt;&gt;"",F105="",AU105=""))</f>
        <v>0</v>
      </c>
      <c r="AX105" s="457" t="b">
        <f>AND(AC105=TRUE,NOT(AW105))</f>
        <v>0</v>
      </c>
      <c r="AY105" s="325"/>
      <c r="AZ105" s="379" t="b">
        <f>AND(ISNUMBER(AA105),AU105="")</f>
        <v>0</v>
      </c>
      <c r="BA105" s="380" t="b">
        <f>AND(ISNUMBER(AA105),AU105&lt;&gt;AV105)</f>
        <v>0</v>
      </c>
      <c r="BB105" s="325"/>
      <c r="BC105" s="375" t="b">
        <f>AND(L105&lt;&gt;"",Y105=EUconst_NA)</f>
        <v>0</v>
      </c>
      <c r="BD105" s="366" t="b">
        <f>OR(AV105&gt;100%,(AV105+AV106)&gt;100%)</f>
        <v>0</v>
      </c>
      <c r="BE105" s="325"/>
      <c r="BF105" s="379" t="s">
        <v>133</v>
      </c>
      <c r="BG105" s="498" t="str">
        <f>IF(AN101=EUconst_TJ,AV101*(1-AV105),IF(AN103=EUconst_GJ,AV101*AV103/1000*(1-AV105),""))</f>
        <v/>
      </c>
      <c r="BH105" s="325"/>
      <c r="BI105" s="325"/>
      <c r="BJ105" s="325"/>
      <c r="BK105" s="325"/>
      <c r="BL105" s="325"/>
      <c r="BM105" s="325"/>
      <c r="BN105" s="325"/>
      <c r="BO105" s="325"/>
      <c r="BP105" s="325"/>
      <c r="BQ105" s="325"/>
      <c r="BR105" s="325"/>
      <c r="BS105" s="325"/>
      <c r="BT105" s="325"/>
      <c r="BU105" s="325"/>
      <c r="BV105" s="325"/>
      <c r="BW105" s="325"/>
      <c r="BX105" s="325"/>
      <c r="BY105" s="325"/>
      <c r="BZ105" s="325"/>
      <c r="CA105" s="325"/>
      <c r="CB105" s="325"/>
      <c r="CC105" s="325"/>
      <c r="CD105" s="325"/>
      <c r="CE105" s="325"/>
      <c r="CF105" s="325"/>
      <c r="CG105" s="375" t="b">
        <f>OR(CG101,Y105=EUconst_NA)</f>
        <v>0</v>
      </c>
    </row>
    <row r="106" spans="1:85" ht="12.75" customHeight="1" thickBot="1" x14ac:dyDescent="0.3">
      <c r="A106" s="318"/>
      <c r="B106" s="21"/>
      <c r="C106" s="344"/>
      <c r="D106" s="345" t="str">
        <f>Translations!$B$368</f>
        <v>Ei kestävä biomassaosuus:</v>
      </c>
      <c r="E106" s="350"/>
      <c r="F106" s="628"/>
      <c r="G106" s="1120" t="str">
        <f>IF(OR(ISBLANK(F106),F106=EUconst_NoTier),"",IF(Z106=0,EUconst_NotApplicable,IF(ISERROR(Z106),"",Z106)))</f>
        <v/>
      </c>
      <c r="H106" s="1122"/>
      <c r="I106" s="629" t="str">
        <f>IF(OR(AC106=FALSE,Y106=EUconst_NA),"","-")</f>
        <v/>
      </c>
      <c r="J106" s="447"/>
      <c r="K106" s="636" t="str">
        <f>IF(L106="",AU106,"")</f>
        <v/>
      </c>
      <c r="L106" s="630"/>
      <c r="M106" s="486" t="str">
        <f>IF(AND(E96&lt;&gt;"",OR(F106="",COUNT(K106:L106)=0),Y106&lt;&gt;EUconst_NA),EUconst_ERR_Incomplete,IF(COUNTIF(BB106:BD106,TRUE)&gt;0,EUconst_ERR_Inconsistent,""))</f>
        <v/>
      </c>
      <c r="N106" s="22"/>
      <c r="O106" s="323"/>
      <c r="P106" s="612"/>
      <c r="Q106" s="354"/>
      <c r="R106" s="354"/>
      <c r="S106" s="325"/>
      <c r="T106" s="384" t="str">
        <f>EUconst_CNTR_BiomassContent&amp;E96</f>
        <v>BioC_</v>
      </c>
      <c r="U106" s="23"/>
      <c r="V106" s="382" t="str">
        <f>V105</f>
        <v/>
      </c>
      <c r="W106" s="382" t="e">
        <f>IF(COUNTIF(MSPara_SourceStreamCategory,V106)=0,"",INDEX(MSPara_IsFossil,MATCH(V106,MSPara_SourceStreamCategory,0)))</f>
        <v>#N/A</v>
      </c>
      <c r="X106" s="23"/>
      <c r="Y106" s="452" t="str">
        <f>IF(E96="","",IF(OR(F106=EUconst_NA,W106=TRUE),EUconst_NA,INDEX(EUwideConstants!$P$153:$P$180,MATCH(T106,EUwideConstants!$S$153:$S$180,0))))</f>
        <v/>
      </c>
      <c r="Z106" s="473" t="str">
        <f>IF(ISBLANK(F106),"",IF(F106=EUconst_NA,"",INDEX(EUwideConstants!$H:$O,MATCH(T106,EUwideConstants!$S:$S,0),MATCH(F106,CNTR_TierList,0))))</f>
        <v/>
      </c>
      <c r="AA106" s="682" t="str">
        <f>IF(F106=1,1,"")</f>
        <v/>
      </c>
      <c r="AB106" s="325"/>
      <c r="AC106" s="453" t="b">
        <f>AND(AC101,Y106&lt;&gt;EUconst_NA)</f>
        <v>0</v>
      </c>
      <c r="AD106" s="325"/>
      <c r="AE106" s="463"/>
      <c r="AF106" s="461"/>
      <c r="AG106" s="466"/>
      <c r="AH106" s="468"/>
      <c r="AI106" s="468"/>
      <c r="AJ106" s="468"/>
      <c r="AK106" s="470"/>
      <c r="AL106" s="337"/>
      <c r="AM106" s="337"/>
      <c r="AN106" s="337"/>
      <c r="AO106" s="337"/>
      <c r="AP106" s="337"/>
      <c r="AQ106" s="474" t="str">
        <f>EUconst_CNTR_BiomassContent&amp;EUconst_Value</f>
        <v>BioC_Arvo</v>
      </c>
      <c r="AR106" s="463"/>
      <c r="AS106" s="385" t="str">
        <f>IF(AC106=TRUE,IF(COUNTIF(MSPara_SourceStreamCategory,V106)=0,"",INDEX(MSPara_CalcFactorsMatrix,MATCH(V106,MSPara_SourceStreamCategory,0),MATCH(AQ106&amp;"_"&amp;2,MSPara_CalcFactors,0))),"")</f>
        <v/>
      </c>
      <c r="AT106" s="459"/>
      <c r="AU106" s="477" t="str">
        <f>IF(OR(AA106="",AS106=EUconst_NA),"",AS106)</f>
        <v/>
      </c>
      <c r="AV106" s="453">
        <f>IF(AC106=TRUE,IF(COUNT(K106:L106)=0,0,IF(L106="",K106,L106)),0)</f>
        <v>0</v>
      </c>
      <c r="AW106" s="382" t="b">
        <f>AND(AC106=TRUE,OR(AND(F106&lt;&gt;"",NOT(ISNUMBER(AA106))),L106&lt;&gt;"",F106="",AU106=""))</f>
        <v>0</v>
      </c>
      <c r="AX106" s="478" t="b">
        <f>AND(AC106=TRUE,NOT(AW106))</f>
        <v>0</v>
      </c>
      <c r="AY106" s="325"/>
      <c r="AZ106" s="386" t="b">
        <f>AND(ISNUMBER(AA106),AU106="")</f>
        <v>0</v>
      </c>
      <c r="BA106" s="387" t="b">
        <f>AND(ISNUMBER(AA106),AU106&lt;&gt;AV106)</f>
        <v>0</v>
      </c>
      <c r="BB106" s="325"/>
      <c r="BC106" s="382" t="b">
        <f>AND(L106&lt;&gt;"",Y106=EUconst_NA)</f>
        <v>0</v>
      </c>
      <c r="BD106" s="382" t="b">
        <f>OR(AV105&gt;100%,(AV105+AV106)&gt;100%)</f>
        <v>0</v>
      </c>
      <c r="BE106" s="325"/>
      <c r="BF106" s="386" t="s">
        <v>134</v>
      </c>
      <c r="BG106" s="499" t="str">
        <f>IF(AN101=EUconst_TJ,AV101*AV105,IF(AN103=EUconst_GJ,AV101*AV103/1000*AV105,""))</f>
        <v/>
      </c>
      <c r="BH106" s="325"/>
      <c r="BI106" s="325"/>
      <c r="BJ106" s="325"/>
      <c r="BK106" s="325"/>
      <c r="BL106" s="325"/>
      <c r="BM106" s="325"/>
      <c r="BN106" s="325"/>
      <c r="BO106" s="325"/>
      <c r="BP106" s="325"/>
      <c r="BQ106" s="325"/>
      <c r="BR106" s="325"/>
      <c r="BS106" s="325"/>
      <c r="BT106" s="325"/>
      <c r="BU106" s="325"/>
      <c r="BV106" s="325"/>
      <c r="BW106" s="325"/>
      <c r="BX106" s="325"/>
      <c r="BY106" s="325"/>
      <c r="BZ106" s="325"/>
      <c r="CA106" s="325"/>
      <c r="CB106" s="325"/>
      <c r="CC106" s="325"/>
      <c r="CD106" s="325"/>
      <c r="CE106" s="325"/>
      <c r="CF106" s="325"/>
      <c r="CG106" s="382" t="b">
        <f>OR(CG101,Y106=EUconst_NA)</f>
        <v>0</v>
      </c>
    </row>
    <row r="107" spans="1:85" ht="5.15" customHeight="1" thickBot="1" x14ac:dyDescent="0.3">
      <c r="A107" s="318"/>
      <c r="B107" s="21"/>
      <c r="C107" s="21"/>
      <c r="D107" s="327"/>
      <c r="E107" s="22"/>
      <c r="F107" s="22"/>
      <c r="G107" s="22"/>
      <c r="H107" s="22"/>
      <c r="I107" s="22"/>
      <c r="J107" s="22"/>
      <c r="K107" s="22"/>
      <c r="L107" s="22"/>
      <c r="M107" s="488"/>
      <c r="N107" s="22"/>
      <c r="O107" s="323"/>
      <c r="P107" s="301"/>
      <c r="Q107" s="23"/>
      <c r="R107" s="23"/>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5"/>
      <c r="BD107" s="325"/>
      <c r="BE107" s="325"/>
      <c r="BF107" s="325"/>
      <c r="BG107" s="325"/>
      <c r="BH107" s="325"/>
      <c r="BI107" s="325"/>
      <c r="BJ107" s="325"/>
      <c r="BK107" s="325"/>
      <c r="BL107" s="325"/>
      <c r="BM107" s="325"/>
      <c r="BN107" s="325"/>
      <c r="BO107" s="325"/>
      <c r="BP107" s="325"/>
      <c r="BQ107" s="325"/>
      <c r="BR107" s="325"/>
      <c r="BS107" s="325"/>
      <c r="BT107" s="325"/>
      <c r="BU107" s="325"/>
      <c r="BV107" s="325"/>
      <c r="BW107" s="325"/>
      <c r="BX107" s="325"/>
      <c r="BY107" s="325"/>
      <c r="BZ107" s="325"/>
      <c r="CA107" s="325"/>
      <c r="CB107" s="325"/>
      <c r="CC107" s="325"/>
      <c r="CD107" s="325"/>
      <c r="CE107" s="325"/>
      <c r="CF107" s="325"/>
      <c r="CG107" s="325"/>
    </row>
    <row r="108" spans="1:85" ht="12.75" customHeight="1" thickBot="1" x14ac:dyDescent="0.3">
      <c r="A108" s="318"/>
      <c r="B108" s="21"/>
      <c r="C108" s="344"/>
      <c r="D108" s="345" t="str">
        <f>Translations!$B$398</f>
        <v>Soveltamisalakerroin:</v>
      </c>
      <c r="E108" s="479"/>
      <c r="F108" s="803"/>
      <c r="G108" s="1125"/>
      <c r="H108" s="1126"/>
      <c r="I108" s="492" t="s">
        <v>52</v>
      </c>
      <c r="J108" s="480"/>
      <c r="K108" s="481" t="str">
        <f>IF(L108="",AU108,"")</f>
        <v/>
      </c>
      <c r="L108" s="607"/>
      <c r="M108" s="489" t="str">
        <f>IF(AND(E96&lt;&gt;"",OR(F108="",G108="",COUNT(K108:L108)=0)),EUconst_ERR_Incomplete,IF(COUNTIF(BB108:BD108,TRUE)&gt;0,EUconst_ERR_Inconsistent,""))</f>
        <v/>
      </c>
      <c r="N108" s="22"/>
      <c r="O108" s="323"/>
      <c r="P108" s="301"/>
      <c r="Q108" s="23"/>
      <c r="R108" s="325"/>
      <c r="S108" s="10"/>
      <c r="T108" s="48" t="str">
        <f>EUconst_CNTR_ScopeFactor&amp;E96</f>
        <v>ScopeFactor_</v>
      </c>
      <c r="U108" s="248" t="str">
        <f>IF(F108="","",INDEX(ScopeAddress,MATCH(F108,ScopeTiers,0)))</f>
        <v/>
      </c>
      <c r="V108" s="382" t="str">
        <f>V101</f>
        <v/>
      </c>
      <c r="W108" s="325"/>
      <c r="X108" s="325"/>
      <c r="Y108" s="452" t="str">
        <f>IF(E96="","",IF(F108=EUconst_NA,EUconst_NA,INDEX(EUwideConstants!$P$153:$P$180,MATCH(T108,EUwideConstants!$S$153:$S$180,0))))</f>
        <v/>
      </c>
      <c r="Z108" s="473" t="str">
        <f>IF(ISBLANK(F108),"",IF(F108=EUconst_NA,"",INDEX(EUwideConstants!$H:$O,MATCH(T108,EUwideConstants!$S:$S,0),MATCH(F108,CNTR_TierList,0))))</f>
        <v/>
      </c>
      <c r="AA108" s="339" t="str">
        <f>IF(G108=EUwideConstants!$A$88,1,"")</f>
        <v/>
      </c>
      <c r="AB108" s="325"/>
      <c r="AC108" s="376" t="b">
        <f>AND(AC101,Y108&lt;&gt;EUconst_NA)</f>
        <v>0</v>
      </c>
      <c r="AD108" s="325"/>
      <c r="AE108" s="325"/>
      <c r="AF108" s="325"/>
      <c r="AG108" s="330"/>
      <c r="AH108" s="325"/>
      <c r="AI108" s="325"/>
      <c r="AJ108" s="325"/>
      <c r="AK108" s="325"/>
      <c r="AL108" s="325"/>
      <c r="AM108" s="325"/>
      <c r="AN108" s="325"/>
      <c r="AO108" s="325"/>
      <c r="AP108" s="325"/>
      <c r="AQ108" s="325"/>
      <c r="AR108" s="325"/>
      <c r="AS108" s="338">
        <v>1</v>
      </c>
      <c r="AT108" s="325"/>
      <c r="AU108" s="330" t="str">
        <f>IF(G108=EUwideConstants!$A$88,AS108,"")</f>
        <v/>
      </c>
      <c r="AV108" s="376">
        <f>IF(AC108=TRUE,IF(COUNT(K108:L108)=0,0,IF(L108="",K108,L108)),0)</f>
        <v>0</v>
      </c>
      <c r="AW108" s="375" t="b">
        <f>AND(AC108=TRUE,OR(AND(F108&lt;&gt;"",NOT(ISNUMBER(AA108))),L108&lt;&gt;"",F108="",AU108=""))</f>
        <v>0</v>
      </c>
      <c r="AX108" s="457" t="b">
        <f>AND(AC108=TRUE,NOT(AW108))</f>
        <v>0</v>
      </c>
      <c r="AY108" s="325"/>
      <c r="AZ108" s="379" t="b">
        <f>AND(ISNUMBER(AA108),AU108="")</f>
        <v>0</v>
      </c>
      <c r="BA108" s="380" t="b">
        <f>AND(ISNUMBER(AA108),AU108&lt;&gt;AV108)</f>
        <v>0</v>
      </c>
      <c r="BB108" s="325"/>
      <c r="BC108" s="33" t="b">
        <f>AND(F108&lt;&gt;"",OR(COUNTIF(INDEX(ScopeMethods,F108,),G108)=0,AND(AA108&lt;&gt;"",AU108&lt;&gt;AV108)))</f>
        <v>0</v>
      </c>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5"/>
      <c r="BY108" s="325"/>
      <c r="BZ108" s="325"/>
      <c r="CA108" s="325"/>
      <c r="CB108" s="325"/>
      <c r="CC108" s="325"/>
      <c r="CD108" s="325"/>
      <c r="CE108" s="325"/>
      <c r="CF108" s="325"/>
      <c r="CG108" s="325"/>
    </row>
    <row r="109" spans="1:85" ht="12.75" customHeight="1" x14ac:dyDescent="0.25">
      <c r="A109" s="318"/>
      <c r="B109" s="21"/>
      <c r="C109" s="21"/>
      <c r="D109" s="21"/>
      <c r="E109" s="21"/>
      <c r="F109" s="21"/>
      <c r="G109" s="1130" t="str">
        <f>IF(G108="","",INDEX(ScopeMethodsDetails,MATCH(G108,INDEX(ScopeMethodsDetails,,1),0),2))</f>
        <v/>
      </c>
      <c r="H109" s="1131"/>
      <c r="I109" s="1131"/>
      <c r="J109" s="1131"/>
      <c r="K109" s="1131"/>
      <c r="L109" s="1131"/>
      <c r="M109" s="1132"/>
      <c r="N109" s="22"/>
      <c r="O109" s="323"/>
      <c r="P109" s="301"/>
      <c r="Q109" s="23"/>
      <c r="R109" s="23"/>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5"/>
      <c r="BY109" s="325"/>
      <c r="BZ109" s="325"/>
      <c r="CA109" s="325"/>
      <c r="CB109" s="325"/>
      <c r="CC109" s="325"/>
      <c r="CD109" s="325"/>
      <c r="CE109" s="325"/>
      <c r="CF109" s="325"/>
      <c r="CG109" s="325"/>
    </row>
    <row r="110" spans="1:85" ht="5.15" customHeight="1" x14ac:dyDescent="0.25">
      <c r="A110" s="318"/>
      <c r="C110" s="22"/>
      <c r="D110" s="22"/>
      <c r="E110" s="22"/>
      <c r="F110" s="22"/>
      <c r="G110" s="22"/>
      <c r="H110" s="22"/>
      <c r="I110" s="22"/>
      <c r="J110" s="22"/>
      <c r="K110" s="22"/>
      <c r="L110" s="22"/>
      <c r="O110" s="323"/>
      <c r="P110" s="301"/>
      <c r="Q110" s="23"/>
      <c r="R110" s="23"/>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325"/>
      <c r="BM110" s="325"/>
      <c r="BN110" s="325"/>
      <c r="BO110" s="325"/>
      <c r="BP110" s="325"/>
      <c r="BQ110" s="325"/>
      <c r="BR110" s="325"/>
      <c r="BS110" s="325"/>
      <c r="BT110" s="325"/>
      <c r="BU110" s="325"/>
      <c r="BV110" s="325"/>
      <c r="BW110" s="325"/>
      <c r="BX110" s="325"/>
      <c r="BY110" s="325"/>
      <c r="BZ110" s="325"/>
      <c r="CA110" s="325"/>
      <c r="CB110" s="325"/>
      <c r="CC110" s="325"/>
      <c r="CD110" s="325"/>
      <c r="CE110" s="325"/>
      <c r="CF110" s="325"/>
      <c r="CG110" s="325"/>
    </row>
    <row r="111" spans="1:85" ht="12.75" customHeight="1" x14ac:dyDescent="0.25">
      <c r="A111" s="318"/>
      <c r="C111" s="22"/>
      <c r="D111" s="22"/>
      <c r="E111" s="22"/>
      <c r="F111" s="22"/>
      <c r="G111" s="1133">
        <v>1</v>
      </c>
      <c r="H111" s="1133"/>
      <c r="I111" s="1133">
        <v>2</v>
      </c>
      <c r="J111" s="1133"/>
      <c r="K111" s="1133">
        <v>3</v>
      </c>
      <c r="L111" s="1133"/>
      <c r="O111" s="323"/>
      <c r="P111" s="301"/>
      <c r="Q111" s="23"/>
      <c r="R111" s="23"/>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c r="BK111" s="325"/>
      <c r="BL111" s="325"/>
      <c r="BM111" s="325"/>
      <c r="BN111" s="325"/>
      <c r="BO111" s="325"/>
      <c r="BP111" s="325"/>
      <c r="BQ111" s="325"/>
      <c r="BR111" s="325"/>
      <c r="BS111" s="325"/>
      <c r="BT111" s="325"/>
      <c r="BU111" s="325"/>
      <c r="BV111" s="325"/>
      <c r="BW111" s="325"/>
      <c r="BX111" s="325"/>
      <c r="BY111" s="325"/>
      <c r="BZ111" s="325"/>
      <c r="CA111" s="325"/>
      <c r="CB111" s="325"/>
      <c r="CC111" s="325"/>
      <c r="CD111" s="325"/>
      <c r="CE111" s="325"/>
      <c r="CF111" s="325"/>
      <c r="CG111" s="325"/>
    </row>
    <row r="112" spans="1:85" ht="12.75" customHeight="1" x14ac:dyDescent="0.25">
      <c r="A112" s="389"/>
      <c r="B112" s="22"/>
      <c r="C112" s="22"/>
      <c r="D112" s="1134" t="str">
        <f>Translations!$B$372</f>
        <v>CRF-luokka</v>
      </c>
      <c r="E112" s="1134"/>
      <c r="F112" s="1135"/>
      <c r="G112" s="1123"/>
      <c r="H112" s="1124"/>
      <c r="I112" s="1123"/>
      <c r="J112" s="1124"/>
      <c r="K112" s="1123"/>
      <c r="L112" s="1124"/>
      <c r="M112" s="623" t="str">
        <f>IF(AND(E95&lt;&gt;"",COUNTA(G112:L112)=0,AX112=FALSE),EUconst_ERR_Incomplete,"")</f>
        <v/>
      </c>
      <c r="N112" s="22"/>
      <c r="O112" s="323"/>
      <c r="P112" s="301"/>
      <c r="Q112" s="23"/>
      <c r="R112" s="23"/>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c r="AQ112" s="325"/>
      <c r="AR112" s="325"/>
      <c r="AS112" s="325"/>
      <c r="AT112" s="325"/>
      <c r="AU112" s="325"/>
      <c r="AV112" s="325"/>
      <c r="AW112" s="325"/>
      <c r="AX112" s="33" t="b">
        <f>AND(AV108&lt;&gt;"",SUM(AV108=1))</f>
        <v>0</v>
      </c>
      <c r="AY112" s="325"/>
      <c r="AZ112" s="325"/>
      <c r="BA112" s="325"/>
      <c r="BB112" s="325"/>
      <c r="BC112" s="325"/>
      <c r="BD112" s="325"/>
      <c r="BE112" s="325"/>
      <c r="BF112" s="325"/>
      <c r="BG112" s="325"/>
      <c r="BH112" s="325"/>
      <c r="BI112" s="325"/>
      <c r="BJ112" s="325"/>
      <c r="BK112" s="325"/>
      <c r="BL112" s="325"/>
      <c r="BM112" s="325"/>
      <c r="BN112" s="325"/>
      <c r="BO112" s="325"/>
      <c r="BP112" s="325"/>
      <c r="BQ112" s="325"/>
      <c r="BR112" s="325"/>
      <c r="BS112" s="325"/>
      <c r="BT112" s="325"/>
      <c r="BU112" s="325"/>
      <c r="BV112" s="325"/>
      <c r="BW112" s="325"/>
      <c r="BX112" s="325"/>
      <c r="BY112" s="325"/>
      <c r="BZ112" s="325"/>
      <c r="CA112" s="325"/>
      <c r="CB112" s="325"/>
      <c r="CC112" s="325"/>
      <c r="CD112" s="325"/>
      <c r="CE112" s="325"/>
      <c r="CF112" s="325"/>
      <c r="CG112" s="325"/>
    </row>
    <row r="113" spans="1:85" ht="5.15" customHeight="1" x14ac:dyDescent="0.25">
      <c r="A113" s="318"/>
      <c r="B113" s="21"/>
      <c r="C113" s="21"/>
      <c r="D113" s="21"/>
      <c r="E113" s="21"/>
      <c r="F113" s="21"/>
      <c r="G113" s="22"/>
      <c r="H113" s="22"/>
      <c r="I113" s="22"/>
      <c r="J113" s="22"/>
      <c r="K113" s="22"/>
      <c r="L113" s="22"/>
      <c r="M113" s="22"/>
      <c r="N113" s="22"/>
      <c r="O113" s="323"/>
      <c r="P113" s="301"/>
      <c r="Q113" s="23"/>
      <c r="R113" s="23"/>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325"/>
      <c r="BB113" s="325"/>
      <c r="BC113" s="325"/>
      <c r="BD113" s="325"/>
      <c r="BE113" s="325"/>
      <c r="BF113" s="325"/>
      <c r="BG113" s="325"/>
      <c r="BH113" s="325"/>
      <c r="BI113" s="325"/>
      <c r="BJ113" s="325"/>
      <c r="BK113" s="325"/>
      <c r="BL113" s="325"/>
      <c r="BM113" s="325"/>
      <c r="BN113" s="325"/>
      <c r="BO113" s="325"/>
      <c r="BP113" s="325"/>
      <c r="BQ113" s="325"/>
      <c r="BR113" s="325"/>
      <c r="BS113" s="325"/>
      <c r="BT113" s="325"/>
      <c r="BU113" s="325"/>
      <c r="BV113" s="325"/>
      <c r="BW113" s="325"/>
      <c r="BX113" s="325"/>
      <c r="BY113" s="325"/>
      <c r="BZ113" s="325"/>
      <c r="CA113" s="325"/>
      <c r="CB113" s="325"/>
      <c r="CC113" s="325"/>
      <c r="CD113" s="325"/>
      <c r="CE113" s="325"/>
      <c r="CF113" s="325"/>
      <c r="CG113" s="325"/>
    </row>
    <row r="114" spans="1:85" ht="8.5" customHeight="1" x14ac:dyDescent="0.25">
      <c r="A114" s="318"/>
      <c r="B114" s="21"/>
      <c r="C114" s="21"/>
      <c r="D114" s="1145"/>
      <c r="E114" s="1145"/>
      <c r="F114" s="1145"/>
      <c r="G114" s="806"/>
      <c r="H114" s="807"/>
      <c r="I114" s="806"/>
      <c r="J114" s="236"/>
      <c r="K114" s="236"/>
      <c r="L114" s="236"/>
      <c r="M114" s="807"/>
      <c r="N114" s="808"/>
      <c r="O114" s="323"/>
      <c r="P114" s="301"/>
      <c r="Q114" s="23"/>
      <c r="R114" s="23"/>
      <c r="S114" s="388"/>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5"/>
      <c r="AW114" s="325"/>
      <c r="AX114" s="325"/>
      <c r="AY114" s="325"/>
      <c r="AZ114" s="325"/>
      <c r="BA114" s="325"/>
      <c r="BB114" s="325"/>
      <c r="BC114" s="325"/>
      <c r="BD114" s="325"/>
      <c r="BE114" s="325"/>
      <c r="BF114" s="325"/>
      <c r="BG114" s="325"/>
      <c r="BH114" s="325"/>
      <c r="BI114" s="325"/>
      <c r="BJ114" s="325"/>
      <c r="BK114" s="325"/>
      <c r="BL114" s="325"/>
      <c r="BM114" s="325"/>
      <c r="BN114" s="325"/>
      <c r="BO114" s="325"/>
      <c r="BP114" s="325"/>
      <c r="BQ114" s="325"/>
      <c r="BR114" s="325"/>
      <c r="BS114" s="325"/>
      <c r="BT114" s="325"/>
      <c r="BU114" s="325"/>
      <c r="BV114" s="325"/>
      <c r="BW114" s="325"/>
      <c r="BX114" s="325"/>
      <c r="BY114" s="325"/>
      <c r="BZ114" s="325"/>
      <c r="CA114" s="325"/>
      <c r="CB114" s="325"/>
      <c r="CC114" s="325"/>
      <c r="CD114" s="325"/>
      <c r="CE114" s="325"/>
      <c r="CF114" s="325"/>
      <c r="CG114" s="33" t="b">
        <f>CG101</f>
        <v>0</v>
      </c>
    </row>
    <row r="115" spans="1:85" ht="5.15" customHeight="1" x14ac:dyDescent="0.25">
      <c r="A115" s="389"/>
      <c r="B115" s="22"/>
      <c r="C115" s="22"/>
      <c r="D115" s="22"/>
      <c r="E115" s="829"/>
      <c r="F115" s="829"/>
      <c r="G115" s="22"/>
      <c r="H115" s="22"/>
      <c r="I115" s="22"/>
      <c r="J115" s="22"/>
      <c r="K115" s="22"/>
      <c r="L115" s="22"/>
      <c r="M115" s="22"/>
      <c r="N115" s="22"/>
      <c r="O115" s="323"/>
      <c r="P115" s="301"/>
      <c r="Q115" s="23"/>
      <c r="R115" s="23"/>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5"/>
      <c r="BD115" s="325"/>
      <c r="BE115" s="325"/>
      <c r="BF115" s="325"/>
      <c r="BG115" s="325"/>
      <c r="BH115" s="325"/>
      <c r="BI115" s="325"/>
      <c r="BJ115" s="325"/>
      <c r="BK115" s="325"/>
      <c r="BL115" s="325"/>
      <c r="BM115" s="325"/>
      <c r="BN115" s="325"/>
      <c r="BO115" s="325"/>
      <c r="BP115" s="325"/>
      <c r="BQ115" s="325"/>
      <c r="BR115" s="325"/>
      <c r="BS115" s="325"/>
      <c r="BT115" s="325"/>
      <c r="BU115" s="325"/>
      <c r="BV115" s="325"/>
      <c r="BW115" s="325"/>
      <c r="BX115" s="325"/>
      <c r="BY115" s="325"/>
      <c r="BZ115" s="325"/>
      <c r="CA115" s="325"/>
      <c r="CB115" s="325"/>
      <c r="CC115" s="325"/>
      <c r="CD115" s="325"/>
      <c r="CE115" s="325"/>
      <c r="CF115" s="325"/>
      <c r="CG115" s="325"/>
    </row>
    <row r="116" spans="1:85" ht="50" customHeight="1" x14ac:dyDescent="0.25">
      <c r="A116" s="389"/>
      <c r="B116" s="22"/>
      <c r="C116" s="22"/>
      <c r="D116" s="4"/>
      <c r="E116" s="1116" t="str">
        <f>Translations!$B$304</f>
        <v xml:space="preserve">Lisätiedot: 
tapa, jolla biomassan kestävyys on osoitettu; 
muut polttoainevirtaa koskevat lisätiedot. </v>
      </c>
      <c r="F116" s="1137"/>
      <c r="G116" s="1146"/>
      <c r="H116" s="1147"/>
      <c r="I116" s="1147"/>
      <c r="J116" s="1147"/>
      <c r="K116" s="1147"/>
      <c r="L116" s="1147"/>
      <c r="M116" s="1147"/>
      <c r="N116" s="1148"/>
      <c r="O116" s="323"/>
      <c r="P116" s="301"/>
      <c r="Q116" s="23"/>
      <c r="R116" s="23"/>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325"/>
      <c r="BA116" s="325"/>
      <c r="BB116" s="325"/>
      <c r="BC116" s="325"/>
      <c r="BD116" s="325"/>
      <c r="BE116" s="325"/>
      <c r="BF116" s="325"/>
      <c r="BG116" s="325"/>
      <c r="BH116" s="325"/>
      <c r="BI116" s="325"/>
      <c r="BJ116" s="325"/>
      <c r="BK116" s="325"/>
      <c r="BL116" s="325"/>
      <c r="BM116" s="325"/>
      <c r="BN116" s="325"/>
      <c r="BO116" s="325"/>
      <c r="BP116" s="325"/>
      <c r="BQ116" s="325"/>
      <c r="BR116" s="325"/>
      <c r="BS116" s="325"/>
      <c r="BT116" s="325"/>
      <c r="BU116" s="325"/>
      <c r="BV116" s="325"/>
      <c r="BW116" s="325"/>
      <c r="BX116" s="325"/>
      <c r="BY116" s="325"/>
      <c r="BZ116" s="325"/>
      <c r="CA116" s="325"/>
      <c r="CB116" s="325"/>
      <c r="CC116" s="325"/>
      <c r="CD116" s="325"/>
      <c r="CE116" s="325"/>
      <c r="CF116" s="325"/>
      <c r="CG116" s="33" t="b">
        <f>CG114</f>
        <v>0</v>
      </c>
    </row>
    <row r="117" spans="1:85" ht="12.75" customHeight="1" thickBot="1" x14ac:dyDescent="0.3">
      <c r="A117" s="318"/>
      <c r="B117" s="22"/>
      <c r="C117" s="319"/>
      <c r="D117" s="320"/>
      <c r="E117" s="321"/>
      <c r="F117" s="319"/>
      <c r="G117" s="322"/>
      <c r="H117" s="322"/>
      <c r="I117" s="322"/>
      <c r="J117" s="322"/>
      <c r="K117" s="322"/>
      <c r="L117" s="322"/>
      <c r="M117" s="322"/>
      <c r="N117" s="322"/>
      <c r="O117" s="323"/>
      <c r="P117" s="301"/>
      <c r="Q117" s="23"/>
      <c r="R117" s="23"/>
      <c r="S117" s="41"/>
      <c r="T117" s="41"/>
      <c r="U117" s="324"/>
      <c r="V117" s="41"/>
      <c r="W117" s="41"/>
      <c r="X117" s="324"/>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325"/>
      <c r="BN117" s="325"/>
      <c r="BO117" s="325"/>
      <c r="BP117" s="325"/>
      <c r="BQ117" s="325"/>
      <c r="BR117" s="325"/>
      <c r="BS117" s="325"/>
      <c r="BT117" s="325"/>
      <c r="BU117" s="41"/>
      <c r="BV117" s="41"/>
      <c r="BW117" s="41"/>
      <c r="BX117" s="41"/>
      <c r="BY117" s="41"/>
      <c r="BZ117" s="41"/>
      <c r="CA117" s="41"/>
      <c r="CB117" s="41"/>
      <c r="CC117" s="41"/>
      <c r="CD117" s="41"/>
      <c r="CE117" s="41"/>
      <c r="CF117" s="41"/>
      <c r="CG117" s="41"/>
    </row>
    <row r="118" spans="1:85" ht="12.75" customHeight="1" thickBot="1" x14ac:dyDescent="0.3">
      <c r="A118" s="326"/>
      <c r="B118" s="22"/>
      <c r="C118" s="22"/>
      <c r="D118" s="327"/>
      <c r="E118" s="328"/>
      <c r="F118" s="22"/>
      <c r="G118" s="1"/>
      <c r="H118" s="1"/>
      <c r="I118" s="1"/>
      <c r="J118" s="1"/>
      <c r="K118" s="22"/>
      <c r="L118" s="1"/>
      <c r="M118" s="1"/>
      <c r="N118" s="1"/>
      <c r="O118" s="323"/>
      <c r="P118" s="301"/>
      <c r="Q118" s="23"/>
      <c r="R118" s="23"/>
      <c r="S118" s="2"/>
      <c r="T118" s="20" t="str">
        <f>IF(ISBLANK(E119),"",MATCH(E119,CNTR_SourceStreamNames,0))</f>
        <v/>
      </c>
      <c r="U118" s="329" t="str">
        <f>IF(ISBLANK(E119),"",INDEX('B_Polttoainevirtojen tiedot'!$D$67:$D$91,MATCH(E119,CNTR_SourceStreamNames,0)))</f>
        <v/>
      </c>
      <c r="V118" s="60"/>
      <c r="W118" s="37"/>
      <c r="X118" s="37"/>
      <c r="Y118" s="37"/>
      <c r="Z118" s="41"/>
      <c r="AA118" s="41"/>
      <c r="AB118" s="41"/>
      <c r="AC118" s="41"/>
      <c r="AD118" s="41"/>
      <c r="AE118" s="41"/>
      <c r="AF118" s="41"/>
      <c r="AG118" s="41"/>
      <c r="AH118" s="41"/>
      <c r="AI118" s="41"/>
      <c r="AJ118" s="41"/>
      <c r="AK118" s="23"/>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30" t="s">
        <v>94</v>
      </c>
    </row>
    <row r="119" spans="1:85" ht="15" customHeight="1" thickBot="1" x14ac:dyDescent="0.3">
      <c r="A119" s="331">
        <f>C119</f>
        <v>4</v>
      </c>
      <c r="B119" s="21"/>
      <c r="C119" s="332">
        <f>C95+1</f>
        <v>4</v>
      </c>
      <c r="D119" s="21"/>
      <c r="E119" s="1117"/>
      <c r="F119" s="1118"/>
      <c r="G119" s="1118"/>
      <c r="H119" s="1118"/>
      <c r="I119" s="1118"/>
      <c r="J119" s="1119"/>
      <c r="K119" s="1138" t="str">
        <f>IF(INDEX('B_Polttoainevirtojen tiedot'!$K$100:$K$124,MATCH(U118,'B_Polttoainevirtojen tiedot'!$D$100:$D$124,0))&gt;0,INDEX('B_Polttoainevirtojen tiedot'!$K$100:$K$124,MATCH(U118,'B_Polttoainevirtojen tiedot'!$D$100:$D$124,0)),"")</f>
        <v/>
      </c>
      <c r="L119" s="1139"/>
      <c r="M119" s="328" t="str">
        <f>Translations!$B$374</f>
        <v>CO2 fossiilinen:</v>
      </c>
      <c r="N119" s="401" t="str">
        <f>IF(E120="","",BG125)</f>
        <v/>
      </c>
      <c r="O119" s="333" t="str">
        <f>EUconst_tCO2</f>
        <v>tCO2</v>
      </c>
      <c r="P119" s="610" t="str">
        <f>IF(AND(E119&lt;&gt;"",COUNTIF(P120:$P$811,"PRINT")=0),"PRINT","")</f>
        <v/>
      </c>
      <c r="Q119" s="335" t="str">
        <f>EUconst_SumCO2</f>
        <v>SUM_CO2</v>
      </c>
      <c r="R119" s="23"/>
      <c r="S119" s="2"/>
      <c r="T119" s="2"/>
      <c r="U119" s="2"/>
      <c r="V119" s="60"/>
      <c r="W119" s="37"/>
      <c r="X119" s="41"/>
      <c r="Y119" s="41"/>
      <c r="Z119" s="41"/>
      <c r="AA119" s="41"/>
      <c r="AB119" s="41"/>
      <c r="AC119" s="41"/>
      <c r="AD119" s="41"/>
      <c r="AE119" s="41"/>
      <c r="AF119" s="41"/>
      <c r="AG119" s="41"/>
      <c r="AH119" s="41"/>
      <c r="AI119" s="337"/>
      <c r="AJ119" s="337"/>
      <c r="AK119" s="337"/>
      <c r="AL119" s="337"/>
      <c r="AM119" s="337"/>
      <c r="AN119" s="337"/>
      <c r="AO119" s="337"/>
      <c r="AP119" s="337"/>
      <c r="AQ119" s="337"/>
      <c r="AR119" s="337"/>
      <c r="AS119" s="337"/>
      <c r="AT119" s="337"/>
      <c r="AU119" s="337"/>
      <c r="AV119" s="337"/>
      <c r="AW119" s="337"/>
      <c r="AX119" s="337"/>
      <c r="AY119" s="337"/>
      <c r="AZ119" s="337"/>
      <c r="BA119" s="337"/>
      <c r="BB119" s="337"/>
      <c r="BC119" s="337"/>
      <c r="BD119" s="337"/>
      <c r="BE119" s="337"/>
      <c r="BF119" s="337"/>
      <c r="BG119" s="337"/>
      <c r="BH119" s="337"/>
      <c r="BI119" s="483" t="str">
        <f>IF(E119="","",E119)</f>
        <v/>
      </c>
      <c r="BJ119" s="338" t="str">
        <f>IF(F125="","",F125)</f>
        <v/>
      </c>
      <c r="BK119" s="485">
        <f>AV125</f>
        <v>0</v>
      </c>
      <c r="BL119" s="485">
        <f>IF(BK119="","",BK119*(1-BP119))</f>
        <v>0</v>
      </c>
      <c r="BM119" s="338" t="str">
        <f>AJ125</f>
        <v/>
      </c>
      <c r="BN119" s="338" t="str">
        <f>IF(F132="","",F132)</f>
        <v/>
      </c>
      <c r="BO119" s="483" t="str">
        <f>IF(G132="","",G132)</f>
        <v/>
      </c>
      <c r="BP119" s="484">
        <f>AV132</f>
        <v>0</v>
      </c>
      <c r="BQ119" s="338" t="str">
        <f>IF(F128="","",F128)</f>
        <v/>
      </c>
      <c r="BR119" s="484">
        <f>AV128</f>
        <v>0</v>
      </c>
      <c r="BS119" s="484" t="str">
        <f>AJ128</f>
        <v/>
      </c>
      <c r="BT119" s="338" t="str">
        <f>IF(F127="","",F127)</f>
        <v/>
      </c>
      <c r="BU119" s="484">
        <f>IF(F127=EUconst_NA,"",AV127)</f>
        <v>0</v>
      </c>
      <c r="BV119" s="484" t="str">
        <f>AJ127</f>
        <v/>
      </c>
      <c r="BW119" s="338" t="str">
        <f>IF(F129="","",F129)</f>
        <v/>
      </c>
      <c r="BX119" s="484">
        <f>AV129</f>
        <v>0</v>
      </c>
      <c r="BY119" s="338" t="str">
        <f>IF(F130="","",F130)</f>
        <v/>
      </c>
      <c r="BZ119" s="484">
        <f>AV130</f>
        <v>0</v>
      </c>
      <c r="CA119" s="485" t="str">
        <f>N119</f>
        <v/>
      </c>
      <c r="CB119" s="485" t="str">
        <f>N120</f>
        <v/>
      </c>
      <c r="CC119" s="485" t="str">
        <f>R122</f>
        <v/>
      </c>
      <c r="CD119" s="485" t="str">
        <f>R124</f>
        <v/>
      </c>
      <c r="CE119" s="485" t="str">
        <f>R125</f>
        <v/>
      </c>
      <c r="CF119" s="37"/>
      <c r="CG119" s="339" t="b">
        <v>0</v>
      </c>
    </row>
    <row r="120" spans="1:85" ht="15" customHeight="1" thickBot="1" x14ac:dyDescent="0.3">
      <c r="A120" s="318"/>
      <c r="B120" s="21"/>
      <c r="C120" s="21"/>
      <c r="D120" s="21"/>
      <c r="E120" s="1127" t="str">
        <f>IF(ISBLANK(E119),"",IF(INDEX('B_Polttoainevirtojen tiedot'!$E$67:$E$91,MATCH(U118,'B_Polttoainevirtojen tiedot'!$D$67:$D$91,0))&gt;0,INDEX('B_Polttoainevirtojen tiedot'!$E$67:$E$91,MATCH(U118,'B_Polttoainevirtojen tiedot'!$D$67:$D$91,0)),""))</f>
        <v/>
      </c>
      <c r="F120" s="1128"/>
      <c r="G120" s="1128"/>
      <c r="H120" s="1128"/>
      <c r="I120" s="1128"/>
      <c r="J120" s="1129"/>
      <c r="K120" s="1138" t="str">
        <f>IF(INDEX('B_Polttoainevirtojen tiedot'!$M$100:$M$124,MATCH(U118,'B_Polttoainevirtojen tiedot'!$D$100:$D$124,0))&gt;0,INDEX('B_Polttoainevirtojen tiedot'!$M$100:$M$124,MATCH(U118,'B_Polttoainevirtojen tiedot'!$D$100:$D$124,0)),"")</f>
        <v/>
      </c>
      <c r="L120" s="1139"/>
      <c r="M120" s="340" t="str">
        <f>Translations!$B$375</f>
        <v>CO2 bio:</v>
      </c>
      <c r="N120" s="482" t="str">
        <f>IF(E120="","",BG127)</f>
        <v/>
      </c>
      <c r="O120" s="341" t="str">
        <f>EUconst_tCO2</f>
        <v>tCO2</v>
      </c>
      <c r="P120" s="301"/>
      <c r="Q120" s="335" t="str">
        <f>EUconst_SumBioCO2</f>
        <v>SUM_bioCO2</v>
      </c>
      <c r="R120" s="23"/>
      <c r="S120" s="2"/>
      <c r="T120" s="2"/>
      <c r="U120" s="2"/>
      <c r="V120" s="60"/>
      <c r="W120" s="37"/>
      <c r="X120" s="41"/>
      <c r="Y120" s="20" t="str">
        <f>Translations!$B$143</f>
        <v>Määrittämistasot</v>
      </c>
      <c r="Z120" s="325"/>
      <c r="AA120" s="325"/>
      <c r="AB120" s="325"/>
      <c r="AC120" s="325"/>
      <c r="AD120" s="325"/>
      <c r="AE120" s="20" t="s">
        <v>95</v>
      </c>
      <c r="AF120" s="41"/>
      <c r="AG120" s="342"/>
      <c r="AH120" s="325"/>
      <c r="AI120" s="325"/>
      <c r="AJ120" s="342"/>
      <c r="AK120" s="342"/>
      <c r="AL120" s="337"/>
      <c r="AM120" s="337"/>
      <c r="AN120" s="337"/>
      <c r="AO120" s="337"/>
      <c r="AP120" s="337"/>
      <c r="AQ120" s="20" t="s">
        <v>96</v>
      </c>
      <c r="AR120" s="343"/>
      <c r="AS120" s="343"/>
      <c r="AT120" s="325"/>
      <c r="AU120" s="325"/>
      <c r="AV120" s="325"/>
      <c r="AW120" s="325"/>
      <c r="AX120" s="325"/>
      <c r="AY120" s="325"/>
      <c r="AZ120" s="20" t="s">
        <v>97</v>
      </c>
      <c r="BA120" s="325"/>
      <c r="BB120" s="325"/>
      <c r="BC120" s="325"/>
      <c r="BD120" s="325"/>
      <c r="BE120" s="325"/>
      <c r="BF120" s="20" t="s">
        <v>98</v>
      </c>
      <c r="BG120" s="325"/>
      <c r="BH120" s="325"/>
      <c r="BI120" s="20" t="s">
        <v>99</v>
      </c>
      <c r="BJ120" s="338" t="str">
        <f>Translations!$B$376</f>
        <v>RFA-määrittämistaso</v>
      </c>
      <c r="BK120" s="338" t="str">
        <f>Translations!$B$377</f>
        <v>RFA</v>
      </c>
      <c r="BL120" s="338" t="str">
        <f>Translations!$B$378</f>
        <v>RFA (SF:n jälkeen)</v>
      </c>
      <c r="BM120" s="338" t="str">
        <f>Translations!$B$379</f>
        <v>RFA-yksikkö</v>
      </c>
      <c r="BN120" s="338" t="str">
        <f>Translations!$B$380</f>
        <v>SF-määrittämistaso</v>
      </c>
      <c r="BO120" s="338" t="str">
        <f>Translations!$B$380</f>
        <v>SF-määrittämistaso</v>
      </c>
      <c r="BP120" s="338" t="str">
        <f>Translations!$B$381</f>
        <v>SF</v>
      </c>
      <c r="BQ120" s="338" t="str">
        <f>Translations!$B$382</f>
        <v>EF-määrittämistaso</v>
      </c>
      <c r="BR120" s="338" t="str">
        <f>Translations!$B$383</f>
        <v>EF</v>
      </c>
      <c r="BS120" s="338" t="str">
        <f>Translations!$B$384</f>
        <v>EF-yksikkö</v>
      </c>
      <c r="BT120" s="338" t="str">
        <f>Translations!$B$385</f>
        <v>UCF-määrittämistaso</v>
      </c>
      <c r="BU120" s="338" t="str">
        <f>Translations!$B$386</f>
        <v>UCF</v>
      </c>
      <c r="BV120" s="338" t="str">
        <f>Translations!$B$387</f>
        <v>UCF-yksikkö</v>
      </c>
      <c r="BW120" s="338" t="str">
        <f>Translations!$B$388</f>
        <v>Bio-määrittämistaso</v>
      </c>
      <c r="BX120" s="338" t="s">
        <v>100</v>
      </c>
      <c r="BY120" s="338" t="str">
        <f>Translations!$B$389</f>
        <v>NonSustBio-määrittämistaso</v>
      </c>
      <c r="BZ120" s="338" t="s">
        <v>101</v>
      </c>
      <c r="CA120" s="338" t="str">
        <f>Translations!$B$390</f>
        <v>CO2 fossil</v>
      </c>
      <c r="CB120" s="338" t="str">
        <f>Translations!$B$391</f>
        <v>CO2 bio</v>
      </c>
      <c r="CC120" s="338" t="str">
        <f>Translations!$B$392</f>
        <v>CO2 non-sust</v>
      </c>
      <c r="CD120" s="338" t="s">
        <v>102</v>
      </c>
      <c r="CE120" s="338" t="s">
        <v>103</v>
      </c>
      <c r="CF120" s="325"/>
      <c r="CG120" s="325"/>
    </row>
    <row r="121" spans="1:85" ht="5.15" customHeight="1" thickBot="1" x14ac:dyDescent="0.3">
      <c r="A121" s="318"/>
      <c r="B121" s="21"/>
      <c r="C121" s="21"/>
      <c r="D121" s="21"/>
      <c r="E121" s="21"/>
      <c r="F121" s="21"/>
      <c r="G121" s="21"/>
      <c r="H121" s="22"/>
      <c r="I121" s="22"/>
      <c r="J121" s="22"/>
      <c r="K121" s="22"/>
      <c r="L121" s="22"/>
      <c r="M121" s="22"/>
      <c r="N121" s="22"/>
      <c r="O121" s="323"/>
      <c r="P121" s="301"/>
      <c r="Q121" s="23"/>
      <c r="R121" s="23"/>
      <c r="S121" s="2"/>
      <c r="T121" s="2"/>
      <c r="U121" s="2"/>
      <c r="V121" s="60"/>
      <c r="W121" s="325"/>
      <c r="X121" s="325"/>
      <c r="Y121" s="23"/>
      <c r="Z121" s="325"/>
      <c r="AA121" s="325"/>
      <c r="AB121" s="325"/>
      <c r="AC121" s="325"/>
      <c r="AD121" s="325"/>
      <c r="AE121" s="325"/>
      <c r="AF121" s="41"/>
      <c r="AG121" s="325"/>
      <c r="AH121" s="325"/>
      <c r="AI121" s="325"/>
      <c r="AJ121" s="342"/>
      <c r="AK121" s="342"/>
      <c r="AL121" s="337"/>
      <c r="AM121" s="337"/>
      <c r="AN121" s="337"/>
      <c r="AO121" s="337"/>
      <c r="AP121" s="337"/>
      <c r="AQ121" s="325"/>
      <c r="AR121" s="325"/>
      <c r="AS121" s="325"/>
      <c r="AT121" s="325"/>
      <c r="AU121" s="325"/>
      <c r="AV121" s="325"/>
      <c r="AW121" s="325"/>
      <c r="AX121" s="325"/>
      <c r="AY121" s="325"/>
      <c r="AZ121" s="325"/>
      <c r="BA121" s="325"/>
      <c r="BB121" s="325"/>
      <c r="BC121" s="325"/>
      <c r="BD121" s="325"/>
      <c r="BE121" s="325"/>
      <c r="BF121" s="325"/>
      <c r="BG121" s="325"/>
      <c r="BH121" s="325"/>
      <c r="BI121" s="325"/>
      <c r="BJ121" s="325"/>
      <c r="BK121" s="325"/>
      <c r="BL121" s="325"/>
      <c r="BM121" s="325"/>
      <c r="BN121" s="325"/>
      <c r="BO121" s="325"/>
      <c r="BP121" s="325"/>
      <c r="BQ121" s="325"/>
      <c r="BR121" s="325"/>
      <c r="BS121" s="325"/>
      <c r="BT121" s="325"/>
      <c r="BU121" s="325"/>
      <c r="BV121" s="325"/>
      <c r="BW121" s="325"/>
      <c r="BX121" s="325"/>
      <c r="BY121" s="325"/>
      <c r="BZ121" s="325"/>
      <c r="CA121" s="325"/>
      <c r="CB121" s="325"/>
      <c r="CC121" s="325"/>
      <c r="CD121" s="325"/>
      <c r="CE121" s="325"/>
      <c r="CF121" s="325"/>
      <c r="CG121" s="325"/>
    </row>
    <row r="122" spans="1:85" ht="12.75" customHeight="1" thickBot="1" x14ac:dyDescent="0.3">
      <c r="A122" s="318"/>
      <c r="B122" s="21"/>
      <c r="C122" s="21"/>
      <c r="D122" s="21"/>
      <c r="E122" s="1140" t="str">
        <f>IF(E119="","",HYPERLINK("#JUMP_E_Top",EUconst_FurtherGuidancePoint1))</f>
        <v/>
      </c>
      <c r="F122" s="1140"/>
      <c r="G122" s="1140"/>
      <c r="H122" s="1140"/>
      <c r="I122" s="1140"/>
      <c r="J122" s="1140"/>
      <c r="K122" s="1140"/>
      <c r="L122" s="1140"/>
      <c r="M122" s="1140"/>
      <c r="N122" s="22"/>
      <c r="O122" s="323"/>
      <c r="P122" s="301"/>
      <c r="Q122" s="335" t="str">
        <f>EUconst_SumNonSustBioCO2</f>
        <v>SUM_bioNonSustCO2</v>
      </c>
      <c r="R122" s="500" t="str">
        <f>IF(E120="","",BG128)</f>
        <v/>
      </c>
      <c r="S122" s="2"/>
      <c r="T122" s="2"/>
      <c r="U122" s="2"/>
      <c r="V122" s="325"/>
      <c r="W122" s="325"/>
      <c r="X122" s="325"/>
      <c r="Y122" s="41"/>
      <c r="Z122" s="325"/>
      <c r="AA122" s="325"/>
      <c r="AB122" s="325"/>
      <c r="AC122" s="325"/>
      <c r="AD122" s="325"/>
      <c r="AE122" s="325"/>
      <c r="AF122" s="41"/>
      <c r="AG122" s="325"/>
      <c r="AH122" s="325"/>
      <c r="AI122" s="325"/>
      <c r="AJ122" s="342"/>
      <c r="AK122" s="342"/>
      <c r="AL122" s="337"/>
      <c r="AM122" s="337"/>
      <c r="AN122" s="337"/>
      <c r="AO122" s="337"/>
      <c r="AP122" s="337"/>
      <c r="AQ122" s="325"/>
      <c r="AR122" s="325"/>
      <c r="AS122" s="325"/>
      <c r="AT122" s="325"/>
      <c r="AU122" s="325"/>
      <c r="AV122" s="325"/>
      <c r="AW122" s="325"/>
      <c r="AX122" s="325"/>
      <c r="AY122" s="325"/>
      <c r="AZ122" s="325"/>
      <c r="BA122" s="325"/>
      <c r="BB122" s="325"/>
      <c r="BC122" s="325"/>
      <c r="BD122" s="325"/>
      <c r="BE122" s="325"/>
      <c r="BF122" s="325"/>
      <c r="BG122" s="325"/>
      <c r="BH122" s="325"/>
      <c r="BI122" s="20" t="s">
        <v>104</v>
      </c>
      <c r="BJ122" s="343"/>
      <c r="BK122" s="483" t="str">
        <f>IF(G136="","",G136)</f>
        <v/>
      </c>
      <c r="BL122" s="483" t="str">
        <f>IF(I136="","",I136)</f>
        <v/>
      </c>
      <c r="BM122" s="483" t="str">
        <f>IF(K136="","",K136)</f>
        <v/>
      </c>
      <c r="BN122" s="325"/>
      <c r="BO122" s="325"/>
      <c r="BP122" s="325"/>
      <c r="BQ122" s="325"/>
      <c r="BR122" s="325"/>
      <c r="BS122" s="325"/>
      <c r="BT122" s="330"/>
      <c r="BU122" s="325"/>
      <c r="BV122" s="325"/>
      <c r="BW122" s="325"/>
      <c r="BX122" s="325"/>
      <c r="BY122" s="325"/>
      <c r="BZ122" s="325"/>
      <c r="CA122" s="325"/>
      <c r="CB122" s="325"/>
      <c r="CC122" s="325"/>
      <c r="CD122" s="325"/>
      <c r="CE122" s="325"/>
      <c r="CF122" s="325"/>
      <c r="CG122" s="325"/>
    </row>
    <row r="123" spans="1:85" ht="5.15" customHeight="1" thickBot="1" x14ac:dyDescent="0.3">
      <c r="A123" s="318"/>
      <c r="B123" s="21"/>
      <c r="C123" s="21"/>
      <c r="D123" s="21"/>
      <c r="E123" s="21"/>
      <c r="F123" s="21"/>
      <c r="G123" s="21"/>
      <c r="H123" s="22"/>
      <c r="I123" s="22"/>
      <c r="J123" s="22"/>
      <c r="K123" s="22"/>
      <c r="L123" s="22"/>
      <c r="M123" s="22"/>
      <c r="N123" s="22"/>
      <c r="O123" s="323"/>
      <c r="P123" s="259"/>
      <c r="Q123" s="2"/>
      <c r="R123" s="259"/>
      <c r="S123" s="2"/>
      <c r="T123" s="2"/>
      <c r="U123" s="2"/>
      <c r="V123" s="325"/>
      <c r="W123" s="325"/>
      <c r="X123" s="325"/>
      <c r="Y123" s="23"/>
      <c r="Z123" s="325"/>
      <c r="AA123" s="325"/>
      <c r="AB123" s="325"/>
      <c r="AC123" s="325"/>
      <c r="AD123" s="325"/>
      <c r="AE123" s="325"/>
      <c r="AF123" s="41"/>
      <c r="AG123" s="325"/>
      <c r="AH123" s="325"/>
      <c r="AI123" s="325"/>
      <c r="AJ123" s="342"/>
      <c r="AK123" s="342"/>
      <c r="AL123" s="337"/>
      <c r="AM123" s="337"/>
      <c r="AN123" s="337"/>
      <c r="AO123" s="337"/>
      <c r="AP123" s="337"/>
      <c r="AQ123" s="325"/>
      <c r="AR123" s="325"/>
      <c r="AS123" s="325"/>
      <c r="AT123" s="325"/>
      <c r="AU123" s="325"/>
      <c r="AV123" s="325"/>
      <c r="AW123" s="325"/>
      <c r="AX123" s="325"/>
      <c r="AY123" s="325"/>
      <c r="AZ123" s="325"/>
      <c r="BA123" s="325"/>
      <c r="BB123" s="325"/>
      <c r="BC123" s="325"/>
      <c r="BD123" s="325"/>
      <c r="BE123" s="325"/>
      <c r="BF123" s="325"/>
      <c r="BG123" s="325"/>
      <c r="BH123" s="325"/>
      <c r="BI123" s="325"/>
      <c r="BJ123" s="325"/>
      <c r="BK123" s="325"/>
      <c r="BL123" s="325"/>
      <c r="BM123" s="325"/>
      <c r="BN123" s="325"/>
      <c r="BO123" s="325"/>
      <c r="BP123" s="325"/>
      <c r="BQ123" s="325"/>
      <c r="BR123" s="325"/>
      <c r="BS123" s="325"/>
      <c r="BT123" s="325"/>
      <c r="BU123" s="325"/>
      <c r="BV123" s="325"/>
      <c r="BW123" s="325"/>
      <c r="BX123" s="325"/>
      <c r="BY123" s="325"/>
      <c r="BZ123" s="325"/>
      <c r="CA123" s="325"/>
      <c r="CB123" s="325"/>
      <c r="CC123" s="325"/>
      <c r="CD123" s="325"/>
      <c r="CE123" s="325"/>
      <c r="CF123" s="325"/>
      <c r="CG123" s="325"/>
    </row>
    <row r="124" spans="1:85" ht="12.75" customHeight="1" thickBot="1" x14ac:dyDescent="0.3">
      <c r="A124" s="318"/>
      <c r="B124" s="21"/>
      <c r="C124" s="21"/>
      <c r="D124" s="21"/>
      <c r="E124" s="21"/>
      <c r="F124" s="347" t="str">
        <f>Translations!$B$127</f>
        <v>Määrittämistaso</v>
      </c>
      <c r="G124" s="1141" t="str">
        <f>Translations!$B$393</f>
        <v>määrittämistason kuvaus</v>
      </c>
      <c r="H124" s="1141"/>
      <c r="I124" s="1142" t="str">
        <f>Translations!$B$394</f>
        <v>Yksikkö</v>
      </c>
      <c r="J124" s="1142"/>
      <c r="K124" s="1142" t="str">
        <f>Translations!$B$395</f>
        <v>Arvo</v>
      </c>
      <c r="L124" s="1142"/>
      <c r="M124" s="327" t="str">
        <f>Translations!$B$396</f>
        <v>virhe</v>
      </c>
      <c r="N124" s="22"/>
      <c r="O124" s="323"/>
      <c r="P124" s="611"/>
      <c r="Q124" s="335" t="str">
        <f>EUconst_SumEnergyIN</f>
        <v>SUM_EnergyIN</v>
      </c>
      <c r="R124" s="501" t="str">
        <f>IF(E120="","",BG129)</f>
        <v/>
      </c>
      <c r="S124" s="325"/>
      <c r="T124" s="325"/>
      <c r="U124" s="325"/>
      <c r="V124" s="336" t="s">
        <v>105</v>
      </c>
      <c r="W124" s="325"/>
      <c r="X124" s="325"/>
      <c r="Y124" s="23" t="s">
        <v>106</v>
      </c>
      <c r="Z124" s="23" t="s">
        <v>107</v>
      </c>
      <c r="AA124" s="325"/>
      <c r="AB124" s="325"/>
      <c r="AC124" s="343" t="s">
        <v>108</v>
      </c>
      <c r="AD124" s="325"/>
      <c r="AE124" s="325"/>
      <c r="AF124" s="325" t="s">
        <v>109</v>
      </c>
      <c r="AG124" s="325" t="s">
        <v>110</v>
      </c>
      <c r="AH124" s="23" t="s">
        <v>111</v>
      </c>
      <c r="AI124" s="342" t="s">
        <v>112</v>
      </c>
      <c r="AJ124" s="342" t="s">
        <v>113</v>
      </c>
      <c r="AK124" s="348" t="s">
        <v>114</v>
      </c>
      <c r="AL124" s="337"/>
      <c r="AM124" s="337"/>
      <c r="AN124" s="337"/>
      <c r="AO124" s="337"/>
      <c r="AP124" s="337"/>
      <c r="AQ124" s="325"/>
      <c r="AR124" s="325" t="s">
        <v>109</v>
      </c>
      <c r="AS124" s="325" t="s">
        <v>110</v>
      </c>
      <c r="AT124" s="349" t="s">
        <v>115</v>
      </c>
      <c r="AU124" s="342" t="s">
        <v>116</v>
      </c>
      <c r="AV124" s="342" t="s">
        <v>117</v>
      </c>
      <c r="AW124" s="348" t="s">
        <v>114</v>
      </c>
      <c r="AX124" s="348" t="s">
        <v>114</v>
      </c>
      <c r="AY124" s="325"/>
      <c r="AZ124" s="325"/>
      <c r="BA124" s="325"/>
      <c r="BB124" s="325" t="s">
        <v>118</v>
      </c>
      <c r="BC124" s="325"/>
      <c r="BD124" s="325"/>
      <c r="BE124" s="325"/>
      <c r="BF124" s="325"/>
      <c r="BG124" s="330" t="str">
        <f>EUconst_Fuel</f>
        <v>Poltto</v>
      </c>
      <c r="BH124" s="325"/>
      <c r="BI124" s="325"/>
      <c r="BJ124" s="325"/>
      <c r="BK124" s="325"/>
      <c r="BL124" s="325"/>
      <c r="BM124" s="325"/>
      <c r="BN124" s="325"/>
      <c r="BO124" s="325"/>
      <c r="BP124" s="325"/>
      <c r="BQ124" s="325"/>
      <c r="BR124" s="325"/>
      <c r="BS124" s="325"/>
      <c r="BT124" s="325"/>
      <c r="BU124" s="325"/>
      <c r="BV124" s="325"/>
      <c r="BW124" s="325"/>
      <c r="BX124" s="325"/>
      <c r="BY124" s="325"/>
      <c r="BZ124" s="325"/>
      <c r="CA124" s="325"/>
      <c r="CB124" s="325"/>
      <c r="CC124" s="325"/>
      <c r="CD124" s="325"/>
      <c r="CE124" s="325"/>
      <c r="CF124" s="325"/>
      <c r="CG124" s="330" t="s">
        <v>94</v>
      </c>
    </row>
    <row r="125" spans="1:85" ht="12.75" customHeight="1" thickBot="1" x14ac:dyDescent="0.3">
      <c r="A125" s="318"/>
      <c r="B125" s="21"/>
      <c r="C125" s="344"/>
      <c r="D125" s="345" t="str">
        <f>Translations!$B$356</f>
        <v>Polttoaineen määrä:</v>
      </c>
      <c r="E125" s="350"/>
      <c r="F125" s="351"/>
      <c r="G125" s="1120" t="str">
        <f>IF(OR(ISBLANK(F125),F125=EUconst_NoTier),"",IF(Z125=0,EUconst_NA,IF(ISERROR(Z125),"",Z125)))</f>
        <v/>
      </c>
      <c r="H125" s="1122"/>
      <c r="I125" s="352" t="str">
        <f>IF(J125&lt;&gt;"","",AI125)</f>
        <v/>
      </c>
      <c r="J125" s="353"/>
      <c r="K125" s="1143"/>
      <c r="L125" s="1144"/>
      <c r="M125" s="486" t="str">
        <f>IF(AND(E120&lt;&gt;"",OR(F125="",COUNT(K125)=0),Y125&lt;&gt;EUconst_NA),EUconst_ERR_Incomplete,"")</f>
        <v/>
      </c>
      <c r="N125" s="22"/>
      <c r="O125" s="323"/>
      <c r="P125" s="612"/>
      <c r="Q125" s="335" t="str">
        <f>EUconst_SumBioEnergyIN</f>
        <v>SUM_BioEnergyIN</v>
      </c>
      <c r="R125" s="501" t="str">
        <f>IF(E120="","",BG130)</f>
        <v/>
      </c>
      <c r="S125" s="325"/>
      <c r="T125" s="355" t="str">
        <f>EUconst_CNTR_ActivityData&amp;E120</f>
        <v>ActivityData_</v>
      </c>
      <c r="U125" s="23"/>
      <c r="V125" s="355" t="str">
        <f>IF(E119="","",INDEX('B_Polttoainevirtojen tiedot'!$I$67:$I$91,MATCH(U118,'B_Polttoainevirtojen tiedot'!$D$67:$D$91,0)))</f>
        <v/>
      </c>
      <c r="W125" s="342" t="s">
        <v>121</v>
      </c>
      <c r="X125" s="23"/>
      <c r="Y125" s="356" t="str">
        <f>IF(E120="","",INDEX(EUwideConstants!$P$153:$P$180,MATCH(T125,EUwideConstants!$S$153:$S$180,0)))</f>
        <v/>
      </c>
      <c r="Z125" s="357" t="str">
        <f>IF(ISBLANK(F125),"",IF(F125=EUconst_NA,"",INDEX(EUwideConstants!$H:$O,MATCH(T125,EUwideConstants!$S:$S,0),MATCH(F125,CNTR_TierList,0))))</f>
        <v/>
      </c>
      <c r="AA125" s="358" t="s">
        <v>111</v>
      </c>
      <c r="AB125" s="342"/>
      <c r="AC125" s="339" t="b">
        <f>E119&lt;&gt;""</f>
        <v>0</v>
      </c>
      <c r="AD125" s="325"/>
      <c r="AE125" s="359" t="str">
        <f>EUconst_CNTR_ActivityData&amp;EUconst_Unit</f>
        <v>ActivityData_Yksikkö</v>
      </c>
      <c r="AF125" s="360" t="str">
        <f>IF(AC125=TRUE, IF(COUNTIF(MSPara_SourceStreamCategory,V125)=0,"",INDEX(MSPara_CalcFactorsMatrix,MATCH(V125,MSPara_SourceStreamCategory,0),MATCH(AE125&amp;"_"&amp;2,MSPara_CalcFactors,0))),"")</f>
        <v/>
      </c>
      <c r="AG125" s="361" t="str">
        <f>IF(AC125=TRUE, IF(COUNTIF(MSPara_SourceStreamCategory,V125)=0,"",INDEX(MSPara_CalcFactorsMatrix,MATCH(V125,MSPara_SourceStreamCategory,0),MATCH(AE125&amp;"_"&amp;1,MSPara_CalcFactors,0))),"")</f>
        <v/>
      </c>
      <c r="AH125" s="339" t="str">
        <f>IF(OR(AF125="",AF125=EUconst_NA),IF(OR(AG125=EUconst_NA,AG125=""),"",AG125),AF125)</f>
        <v/>
      </c>
      <c r="AI125" s="356" t="str">
        <f>IF(AC125=TRUE,IF(AH125="",EUconst_t,AH125),"")</f>
        <v/>
      </c>
      <c r="AJ125" s="362" t="str">
        <f>IF(J125="",AI125,J125)</f>
        <v/>
      </c>
      <c r="AK125" s="363" t="b">
        <f>AND(E119&lt;&gt;"",J125&lt;&gt;"")</f>
        <v>0</v>
      </c>
      <c r="AL125" s="337"/>
      <c r="AM125" s="404" t="s">
        <v>122</v>
      </c>
      <c r="AN125" s="403" t="str">
        <f>AJ125</f>
        <v/>
      </c>
      <c r="AO125" s="337"/>
      <c r="AP125" s="337"/>
      <c r="AQ125" s="355" t="str">
        <f>EUconst_CNTR_ActivityData&amp;EUconst_Value</f>
        <v>ActivityData_Arvo</v>
      </c>
      <c r="AR125" s="343"/>
      <c r="AS125" s="343"/>
      <c r="AT125" s="339" t="b">
        <f>AND(AND(AH125&lt;&gt;"",AJ125&lt;&gt;""),AJ125=AH125)</f>
        <v>0</v>
      </c>
      <c r="AU125" s="325"/>
      <c r="AV125" s="339">
        <f>IF(Y125=EUconst_NA,0,IF(COUNT(K125:K125)=0,0,IF(K125="",#REF!,K125)))</f>
        <v>0</v>
      </c>
      <c r="AW125" s="346" t="b">
        <f>AND(AC125=TRUE,OR(K125&lt;&gt;"",AU125=""))</f>
        <v>0</v>
      </c>
      <c r="AX125" s="346" t="b">
        <f>AND(AC125=TRUE,NOT(AW125))</f>
        <v>0</v>
      </c>
      <c r="AY125" s="325"/>
      <c r="AZ125" s="325" t="s">
        <v>123</v>
      </c>
      <c r="BA125" s="325" t="s">
        <v>124</v>
      </c>
      <c r="BB125" s="346"/>
      <c r="BC125" s="325" t="s">
        <v>125</v>
      </c>
      <c r="BD125" s="325"/>
      <c r="BE125" s="325"/>
      <c r="BF125" s="400" t="str">
        <f>Translations!$B$390</f>
        <v>CO2 fossil</v>
      </c>
      <c r="BG125" s="495" t="str">
        <f>IF(COUNTIF(AO128:AO129,TRUE)=0,"",AV125*IF(AO128,1,AV127*AN129)*AV128*(1-AV129)*AV132)</f>
        <v/>
      </c>
      <c r="BH125" s="325"/>
      <c r="BI125" s="325"/>
      <c r="BJ125" s="325"/>
      <c r="BK125" s="325"/>
      <c r="BL125" s="325"/>
      <c r="BM125" s="325"/>
      <c r="BN125" s="325"/>
      <c r="BO125" s="325"/>
      <c r="BP125" s="325"/>
      <c r="BQ125" s="325"/>
      <c r="BR125" s="325"/>
      <c r="BS125" s="325"/>
      <c r="BT125" s="325"/>
      <c r="BU125" s="325"/>
      <c r="BV125" s="325"/>
      <c r="BW125" s="325"/>
      <c r="BX125" s="325"/>
      <c r="BY125" s="325"/>
      <c r="BZ125" s="325"/>
      <c r="CA125" s="325"/>
      <c r="CB125" s="325"/>
      <c r="CC125" s="325"/>
      <c r="CD125" s="325"/>
      <c r="CE125" s="325"/>
      <c r="CF125" s="325"/>
      <c r="CG125" s="346" t="b">
        <v>0</v>
      </c>
    </row>
    <row r="126" spans="1:85" ht="5.15" customHeight="1" thickBot="1" x14ac:dyDescent="0.3">
      <c r="A126" s="318"/>
      <c r="B126" s="21"/>
      <c r="C126" s="344"/>
      <c r="D126" s="188"/>
      <c r="E126" s="22"/>
      <c r="F126" s="22"/>
      <c r="G126" s="22"/>
      <c r="H126" s="22" t="str">
        <f>Translations!$B$397</f>
        <v xml:space="preserve"> </v>
      </c>
      <c r="I126" s="364"/>
      <c r="J126" s="364"/>
      <c r="K126" s="22"/>
      <c r="L126" s="22"/>
      <c r="M126" s="487"/>
      <c r="N126" s="22"/>
      <c r="O126" s="323"/>
      <c r="P126" s="301"/>
      <c r="Q126" s="23"/>
      <c r="R126" s="23"/>
      <c r="S126" s="325"/>
      <c r="T126" s="277"/>
      <c r="U126" s="23"/>
      <c r="V126" s="325"/>
      <c r="W126" s="325"/>
      <c r="X126" s="23"/>
      <c r="Y126" s="330"/>
      <c r="Z126" s="325"/>
      <c r="AA126" s="325"/>
      <c r="AB126" s="325"/>
      <c r="AC126" s="325"/>
      <c r="AD126" s="325"/>
      <c r="AE126" s="325"/>
      <c r="AF126" s="325"/>
      <c r="AG126" s="325"/>
      <c r="AH126" s="325"/>
      <c r="AI126" s="325"/>
      <c r="AJ126" s="325"/>
      <c r="AK126" s="325"/>
      <c r="AL126" s="337"/>
      <c r="AM126" s="337"/>
      <c r="AN126" s="337"/>
      <c r="AO126" s="337"/>
      <c r="AP126" s="337"/>
      <c r="AQ126" s="325"/>
      <c r="AR126" s="325"/>
      <c r="AS126" s="325"/>
      <c r="AT126" s="325"/>
      <c r="AU126" s="325"/>
      <c r="AV126" s="325"/>
      <c r="AW126" s="325"/>
      <c r="AX126" s="325"/>
      <c r="AY126" s="325"/>
      <c r="AZ126" s="325"/>
      <c r="BA126" s="325"/>
      <c r="BB126" s="325"/>
      <c r="BC126" s="325"/>
      <c r="BD126" s="325"/>
      <c r="BE126" s="325"/>
      <c r="BF126" s="325"/>
      <c r="BG126" s="496"/>
      <c r="BH126" s="325"/>
      <c r="BI126" s="325"/>
      <c r="BJ126" s="325"/>
      <c r="BK126" s="325"/>
      <c r="BL126" s="325"/>
      <c r="BM126" s="325"/>
      <c r="BN126" s="325"/>
      <c r="BO126" s="325"/>
      <c r="BP126" s="325"/>
      <c r="BQ126" s="325"/>
      <c r="BR126" s="325"/>
      <c r="BS126" s="325"/>
      <c r="BT126" s="325"/>
      <c r="BU126" s="325"/>
      <c r="BV126" s="325"/>
      <c r="BW126" s="325"/>
      <c r="BX126" s="325"/>
      <c r="BY126" s="325"/>
      <c r="BZ126" s="325"/>
      <c r="CA126" s="325"/>
      <c r="CB126" s="325"/>
      <c r="CC126" s="325"/>
      <c r="CD126" s="325"/>
      <c r="CE126" s="325"/>
      <c r="CF126" s="325"/>
      <c r="CG126" s="330"/>
    </row>
    <row r="127" spans="1:85" ht="12.75" customHeight="1" thickBot="1" x14ac:dyDescent="0.3">
      <c r="A127" s="318"/>
      <c r="B127" s="21"/>
      <c r="C127" s="344"/>
      <c r="D127" s="345" t="str">
        <f>Translations!$B$360</f>
        <v>Yksikön muuntokerroin:</v>
      </c>
      <c r="E127" s="350"/>
      <c r="F127" s="443"/>
      <c r="G127" s="1120" t="str">
        <f>IF(OR(ISBLANK(F127),F127=EUconst_NoTier),"",IF(Z127=0,EUconst_NotApplicable,IF(ISERROR(Z127),"",Z127)))</f>
        <v/>
      </c>
      <c r="H127" s="1122"/>
      <c r="I127" s="444" t="str">
        <f>IF(J127&lt;&gt;"","",AI127)</f>
        <v/>
      </c>
      <c r="J127" s="445"/>
      <c r="K127" s="632" t="str">
        <f>IF(L127="",AU127,"")</f>
        <v/>
      </c>
      <c r="L127" s="849"/>
      <c r="M127" s="486" t="str">
        <f>IF(AND(E120&lt;&gt;"",OR(F127="",COUNT(K127:L127)=0),Y127&lt;&gt;EUconst_NA),EUconst_ERR_Incomplete,IF(COUNTIF(BB127:BD127,TRUE)&gt;0,EUconst_ERR_Inconsistent,""))</f>
        <v/>
      </c>
      <c r="N127" s="752"/>
      <c r="O127" s="323"/>
      <c r="P127" s="301"/>
      <c r="Q127" s="23"/>
      <c r="R127" s="23"/>
      <c r="S127" s="325"/>
      <c r="T127" s="365" t="str">
        <f>EUconst_CNTR_UCF&amp;E120</f>
        <v>UCF_</v>
      </c>
      <c r="U127" s="23"/>
      <c r="V127" s="366" t="str">
        <f>V128</f>
        <v/>
      </c>
      <c r="W127" s="325"/>
      <c r="X127" s="23"/>
      <c r="Y127" s="448" t="str">
        <f>IF(E120="","",IF(OR(F127=EUconst_NA,W127=TRUE),EUconst_NA,INDEX(EUwideConstants!$P$153:$P$180,MATCH(T127,EUwideConstants!$S$153:$S$180,0))))</f>
        <v/>
      </c>
      <c r="Z127" s="471" t="str">
        <f>IF(ISBLANK(F127),"",IF(F127=EUconst_NA,"",INDEX(EUwideConstants!$H:$O,MATCH(T127,EUwideConstants!$S:$S,0),MATCH(F127,CNTR_TierList,0))))</f>
        <v/>
      </c>
      <c r="AA127" s="449" t="str">
        <f>IF(COUNTIF(EUconst_DefaultValues,Z127)&gt;0,MATCH(Z127,EUconst_DefaultValues,0),"")</f>
        <v/>
      </c>
      <c r="AB127" s="325"/>
      <c r="AC127" s="367" t="b">
        <f>AND(AC125,Y127&lt;&gt;EUconst_NA)</f>
        <v>0</v>
      </c>
      <c r="AD127" s="325"/>
      <c r="AE127" s="359" t="str">
        <f>EUconst_CNTR_UCF&amp;EUconst_Unit</f>
        <v>UCF_Yksikkö</v>
      </c>
      <c r="AF127" s="368" t="str">
        <f>IF(AC127=TRUE, IF(COUNTIF(MSPara_SourceStreamCategory,V127)=0,"",INDEX(MSPara_CalcFactorsMatrix,MATCH(V127,MSPara_SourceStreamCategory,0),MATCH(AE127&amp;"_"&amp;2,MSPara_CalcFactors,0))),"")</f>
        <v/>
      </c>
      <c r="AG127" s="372" t="str">
        <f>IF(AC127=TRUE, IF(COUNTIF(MSPara_SourceStreamCategory,V127)=0,"",INDEX(MSPara_CalcFactorsMatrix,MATCH(V127,MSPara_SourceStreamCategory,0),MATCH(AE127&amp;"_"&amp;1,MSPara_CalcFactors,0))),"")</f>
        <v/>
      </c>
      <c r="AH127" s="367" t="str">
        <f>IF(AA127="","",INDEX(AF127:AG127,3-AA127))</f>
        <v/>
      </c>
      <c r="AI127" s="367" t="str">
        <f>IF(AC127=TRUE,IF(OR(AH127="",AH127=EUconst_NA),EUconst_GJ&amp;"/"&amp;AJ125,AH127),"")</f>
        <v/>
      </c>
      <c r="AJ127" s="367" t="str">
        <f>IF(J127="",AI127,J127)</f>
        <v/>
      </c>
      <c r="AK127" s="366" t="b">
        <f>AND(E119&lt;&gt;"",J127&lt;&gt;"")</f>
        <v>0</v>
      </c>
      <c r="AL127" s="337"/>
      <c r="AM127" s="404" t="s">
        <v>127</v>
      </c>
      <c r="AN127" s="403" t="str">
        <f>IF(AJ127="",EUconst_NA,IF(AN125=EUconst_TJ,EUconst_TJ,INDEX(EUwideConstants!$C$124:$G$128,MATCH(AN125,RFAUnits,0),MATCH(AJ127,UCFUnits,0))))</f>
        <v>ei sovellettavissa</v>
      </c>
      <c r="AO127" s="337"/>
      <c r="AP127" s="337"/>
      <c r="AQ127" s="454" t="str">
        <f>EUconst_CNTR_UCF&amp;EUconst_Value</f>
        <v>UCF_Arvo</v>
      </c>
      <c r="AR127" s="475" t="str">
        <f>IF(AC127=TRUE,IF(COUNTIF(MSPara_SourceStreamCategory,V127)=0,"",INDEX(MSPara_CalcFactorsMatrix,MATCH(V127,MSPara_SourceStreamCategory,0),MATCH(AQ127&amp;"_"&amp;2,MSPara_CalcFactors,0))),"")</f>
        <v/>
      </c>
      <c r="AS127" s="371" t="str">
        <f>IF(AC127=TRUE,IF(COUNTIF(MSPara_SourceStreamCategory,V127)=0,"",INDEX(MSPara_CalcFactorsMatrix,MATCH(V127,MSPara_SourceStreamCategory,0),MATCH(AQ127&amp;"_"&amp;1,MSPara_CalcFactors,0))),"")</f>
        <v/>
      </c>
      <c r="AT127" s="369" t="b">
        <f>AND(AND(AH127&lt;&gt;"",AJ127&lt;&gt;""),AJ127=AH127)</f>
        <v>0</v>
      </c>
      <c r="AU127" s="381" t="str">
        <f>IF(AND(AA127&lt;&gt;"",AT127=TRUE),IF(OR(INDEX(AR127:AS127,3-AA127)=EUconst_NA,INDEX(AR127:AS127,3-AA127)=0),"",INDEX(AR127:AS127,3-AA127)),"")</f>
        <v/>
      </c>
      <c r="AV127" s="367">
        <f>IF(AC127=TRUE,IF(COUNT(K127:L127)=0,0,IF(L127="",K127,L127)),0)</f>
        <v>0</v>
      </c>
      <c r="AW127" s="366" t="b">
        <f>AND(AC127=TRUE,OR(AND(F127&lt;&gt;"",NOT(ISNUMBER(AA127))),L127&lt;&gt;"",F127="",AU127=""))</f>
        <v>0</v>
      </c>
      <c r="AX127" s="370" t="b">
        <f>AND(AC127=TRUE,NOT(AW127))</f>
        <v>0</v>
      </c>
      <c r="AY127" s="325"/>
      <c r="AZ127" s="373" t="b">
        <f>AND(ISNUMBER(AA127),AU127="")</f>
        <v>0</v>
      </c>
      <c r="BA127" s="399" t="b">
        <f>AND(ISNUMBER(AA127),AU127&lt;&gt;AV127)</f>
        <v>0</v>
      </c>
      <c r="BB127" s="366" t="b">
        <f>AND(E120&lt;&gt;"",F127&lt;&gt;EUconst_NA,AN127=EUconst_NA)</f>
        <v>0</v>
      </c>
      <c r="BC127" s="366" t="b">
        <f>AND(L127&lt;&gt;"",Y127=EUconst_NA)</f>
        <v>0</v>
      </c>
      <c r="BD127" s="325"/>
      <c r="BE127" s="325"/>
      <c r="BF127" s="373" t="s">
        <v>128</v>
      </c>
      <c r="BG127" s="497" t="str">
        <f>IF(COUNTIF(AO128:AO129,TRUE)=0,"",AV125*IF(AO128,1,AV127*AN129)*AV128*AV129*AV132)</f>
        <v/>
      </c>
      <c r="BH127" s="325"/>
      <c r="BI127" s="325"/>
      <c r="BJ127" s="325"/>
      <c r="BK127" s="325"/>
      <c r="BL127" s="325"/>
      <c r="BM127" s="325"/>
      <c r="BN127" s="325"/>
      <c r="BO127" s="325"/>
      <c r="BP127" s="325"/>
      <c r="BQ127" s="325"/>
      <c r="BR127" s="325"/>
      <c r="BS127" s="325"/>
      <c r="BT127" s="325"/>
      <c r="BU127" s="325"/>
      <c r="BV127" s="325"/>
      <c r="BW127" s="325"/>
      <c r="BX127" s="325"/>
      <c r="BY127" s="325"/>
      <c r="BZ127" s="325"/>
      <c r="CA127" s="325"/>
      <c r="CB127" s="325"/>
      <c r="CC127" s="325"/>
      <c r="CD127" s="325"/>
      <c r="CE127" s="325"/>
      <c r="CF127" s="325"/>
      <c r="CG127" s="375" t="b">
        <f>OR(CG125,Y127=EUconst_NA)</f>
        <v>0</v>
      </c>
    </row>
    <row r="128" spans="1:85" ht="12.75" customHeight="1" thickBot="1" x14ac:dyDescent="0.3">
      <c r="A128" s="318"/>
      <c r="B128" s="21"/>
      <c r="C128" s="344"/>
      <c r="D128" s="345" t="str">
        <f>Translations!$B$358</f>
        <v>Päästökerroin (alustava):</v>
      </c>
      <c r="E128" s="350"/>
      <c r="F128" s="624"/>
      <c r="G128" s="1120" t="str">
        <f>IF(OR(ISBLANK(F128),F128=EUconst_NoTier),"",IF(Z128=0,EUconst_NotApplicable,IF(ISERROR(Z128),"",Z128)))</f>
        <v/>
      </c>
      <c r="H128" s="1121"/>
      <c r="I128" s="625" t="str">
        <f>IF(J128&lt;&gt;"","",AI128)</f>
        <v/>
      </c>
      <c r="J128" s="631"/>
      <c r="K128" s="634" t="str">
        <f>IF(L128="",AU128,"")</f>
        <v/>
      </c>
      <c r="L128" s="850"/>
      <c r="M128" s="486" t="str">
        <f>IF(AND(E120&lt;&gt;"",OR(F128="",COUNT(K128:L128)=0),Y128&lt;&gt;EUconst_NA),EUconst_ERR_Incomplete,IF(COUNTIF(BB128:BD128,TRUE)&gt;0,EUconst_ERR_Inconsistent,""))</f>
        <v/>
      </c>
      <c r="N128" s="753"/>
      <c r="O128" s="323"/>
      <c r="P128" s="301"/>
      <c r="Q128" s="23"/>
      <c r="R128" s="23"/>
      <c r="S128" s="325"/>
      <c r="T128" s="374" t="str">
        <f>EUconst_CNTR_EF&amp;E120</f>
        <v>EF_</v>
      </c>
      <c r="U128" s="23"/>
      <c r="V128" s="375" t="str">
        <f>V125</f>
        <v/>
      </c>
      <c r="W128" s="325"/>
      <c r="X128" s="23"/>
      <c r="Y128" s="450" t="str">
        <f>IF(E120="","",IF(OR(F128=EUconst_NA,W128=TRUE),EUconst_NA,INDEX(EUwideConstants!$P$153:$P$180,MATCH(T128,EUwideConstants!$S$153:$S$180,0))))</f>
        <v/>
      </c>
      <c r="Z128" s="472" t="str">
        <f>IF(ISBLANK(F128),"",IF(F128=EUconst_NA,"",INDEX(EUwideConstants!$H:$O,MATCH(T128,EUwideConstants!$S:$S,0),MATCH(F128,CNTR_TierList,0))))</f>
        <v/>
      </c>
      <c r="AA128" s="451" t="str">
        <f>IF(COUNTIF(EUconst_DefaultValues,Z128)&gt;0,MATCH(Z128,EUconst_DefaultValues,0),"")</f>
        <v/>
      </c>
      <c r="AB128" s="325"/>
      <c r="AC128" s="376" t="b">
        <f>AND(AC125,Y128&lt;&gt;EUconst_NA)</f>
        <v>0</v>
      </c>
      <c r="AD128" s="325"/>
      <c r="AE128" s="377" t="str">
        <f>EUconst_CNTR_EF&amp;EUconst_Unit</f>
        <v>EF_Yksikkö</v>
      </c>
      <c r="AF128" s="378" t="str">
        <f>IF(AC128=TRUE, IF(COUNTIF(MSPara_SourceStreamCategory,V128)=0,"",INDEX(MSPara_CalcFactorsMatrix,MATCH(V128,MSPara_SourceStreamCategory,0),MATCH(AE128&amp;"_"&amp;2,MSPara_CalcFactors,0))),"")</f>
        <v/>
      </c>
      <c r="AG128" s="464" t="str">
        <f>IF(AC128=TRUE, IF(COUNTIF(MSPara_SourceStreamCategory,V128)=0,"",INDEX(MSPara_CalcFactorsMatrix,MATCH(V128,MSPara_SourceStreamCategory,0),MATCH(AE128&amp;"_"&amp;1,MSPara_CalcFactors,0))),"")</f>
        <v/>
      </c>
      <c r="AH128" s="376" t="str">
        <f>IF(AA128="","",INDEX(AF128:AG128,3-AA128))</f>
        <v/>
      </c>
      <c r="AI128" s="376" t="str">
        <f>IF(AC128=TRUE,IF(OR(AH128="",AH128=EUconst_NA),EUconst_tCO2&amp;"/"&amp;IF(AN127=EUconst_NA,AN125,IF(AN127=EUconst_GJ,EUconst_TJ,AN127)),AH128),"")</f>
        <v/>
      </c>
      <c r="AJ128" s="376" t="str">
        <f>IF(J128="",AI128,J128)</f>
        <v/>
      </c>
      <c r="AK128" s="375" t="b">
        <f>AND(E120&lt;&gt;"",J128&lt;&gt;"")</f>
        <v>0</v>
      </c>
      <c r="AL128" s="337"/>
      <c r="AM128" s="404" t="s">
        <v>130</v>
      </c>
      <c r="AN128" s="403" t="str">
        <f>IF(COUNTIF(RFAUnits,AN125)=0,EUconst_NA,INDEX(EUwideConstants!$C$139:$H$143,MATCH(AJ128,EFUnits,0),MATCH(AN125,EUwideConstants!$C$138:$H$138,0)))</f>
        <v>ei sovellettavissa</v>
      </c>
      <c r="AO128" s="403" t="b">
        <f>AN128&lt;&gt;EUconst_NA</f>
        <v>0</v>
      </c>
      <c r="AP128" s="337"/>
      <c r="AQ128" s="455" t="str">
        <f>EUconst_CNTR_EF&amp;EUconst_Value</f>
        <v>EF_Arvo</v>
      </c>
      <c r="AR128" s="476" t="str">
        <f>IF(AC128=TRUE,IF(COUNTIF(MSPara_SourceStreamCategory,V128)=0,"",INDEX(MSPara_CalcFactorsMatrix,MATCH(V128,MSPara_SourceStreamCategory,0),MATCH(AQ128&amp;"_"&amp;2,MSPara_CalcFactors,0))),"")</f>
        <v/>
      </c>
      <c r="AS128" s="383" t="str">
        <f>IF(AC128=TRUE,IF(COUNTIF(MSPara_SourceStreamCategory,V128)=0,"",INDEX(MSPara_CalcFactorsMatrix,MATCH(V128,MSPara_SourceStreamCategory,0),MATCH(AQ128&amp;"_"&amp;1,MSPara_CalcFactors,0))),"")</f>
        <v/>
      </c>
      <c r="AT128" s="456" t="b">
        <f>AND(AND(AH128&lt;&gt;"",AJ128&lt;&gt;""),AJ128=AH128)</f>
        <v>0</v>
      </c>
      <c r="AU128" s="334" t="str">
        <f>IF(AND(AA128&lt;&gt;"",AT128=TRUE),IF(OR(INDEX(AR128:AS128,3-AA128)=EUconst_NA,INDEX(AR128:AS128,3-AA128)=0),"",INDEX(AR128:AS128,3-AA128)),"")</f>
        <v/>
      </c>
      <c r="AV128" s="376">
        <f>IF(AC128=TRUE,IF(COUNT(K128:L128)=0,0,IF(L128="",K128,L128)),0)</f>
        <v>0</v>
      </c>
      <c r="AW128" s="375" t="b">
        <f>AND(AC128=TRUE,OR(AND(F128&lt;&gt;"",NOT(ISNUMBER(AA128))),L128&lt;&gt;"",F128="",AU128=""))</f>
        <v>0</v>
      </c>
      <c r="AX128" s="457" t="b">
        <f>AND(AC128=TRUE,NOT(AW128))</f>
        <v>0</v>
      </c>
      <c r="AY128" s="325"/>
      <c r="AZ128" s="379" t="b">
        <f>AND(ISNUMBER(AA128),AU128="")</f>
        <v>0</v>
      </c>
      <c r="BA128" s="380" t="b">
        <f>AND(ISNUMBER(AA128),AU128&lt;&gt;AV128)</f>
        <v>0</v>
      </c>
      <c r="BB128" s="382" t="b">
        <f>AND(E120&lt;&gt;"",COUNTIF(AO128:AO129,TRUE)=0)</f>
        <v>0</v>
      </c>
      <c r="BC128" s="375" t="b">
        <f>AND(L128&lt;&gt;"",Y128=EUconst_NA)</f>
        <v>0</v>
      </c>
      <c r="BD128" s="325"/>
      <c r="BE128" s="325"/>
      <c r="BF128" s="379" t="s">
        <v>131</v>
      </c>
      <c r="BG128" s="498" t="str">
        <f>IF(COUNTIF(AO128:AO129,TRUE)=0,"",AV125*IF(AO128,1,AV127*AN129)*AV128*AV130*AV132)</f>
        <v/>
      </c>
      <c r="BH128" s="325"/>
      <c r="BI128" s="325"/>
      <c r="BJ128" s="325"/>
      <c r="BK128" s="325"/>
      <c r="BL128" s="325"/>
      <c r="BM128" s="325"/>
      <c r="BN128" s="325"/>
      <c r="BO128" s="325"/>
      <c r="BP128" s="325"/>
      <c r="BQ128" s="325"/>
      <c r="BR128" s="325"/>
      <c r="BS128" s="325"/>
      <c r="BT128" s="325"/>
      <c r="BU128" s="325"/>
      <c r="BV128" s="325"/>
      <c r="BW128" s="325"/>
      <c r="BX128" s="325"/>
      <c r="BY128" s="325"/>
      <c r="BZ128" s="325"/>
      <c r="CA128" s="325"/>
      <c r="CB128" s="325"/>
      <c r="CC128" s="325"/>
      <c r="CD128" s="325"/>
      <c r="CE128" s="325"/>
      <c r="CF128" s="325"/>
      <c r="CG128" s="366" t="b">
        <f>OR(CG125,Y128=EUconst_NA)</f>
        <v>0</v>
      </c>
    </row>
    <row r="129" spans="1:85" ht="12.75" customHeight="1" x14ac:dyDescent="0.25">
      <c r="A129" s="318"/>
      <c r="B129" s="21"/>
      <c r="C129" s="344"/>
      <c r="D129" s="345" t="str">
        <f>Translations!$B$362</f>
        <v>Biomassaosuus:</v>
      </c>
      <c r="E129" s="350"/>
      <c r="F129" s="624"/>
      <c r="G129" s="1120" t="str">
        <f>IF(OR(ISBLANK(F129),F129=EUconst_NoTier),"",IF(Z129=0,EUconst_NotApplicable,IF(ISERROR(Z129),"",Z129)))</f>
        <v/>
      </c>
      <c r="H129" s="1122"/>
      <c r="I129" s="626" t="str">
        <f>IF(OR(AC129=FALSE,Y129=EUconst_NA),"","-")</f>
        <v/>
      </c>
      <c r="J129" s="446"/>
      <c r="K129" s="635" t="str">
        <f>IF(L129="",AU129,"")</f>
        <v/>
      </c>
      <c r="L129" s="851"/>
      <c r="M129" s="486" t="str">
        <f>IF(AND(E120&lt;&gt;"",OR(F129="",COUNT(K129:L129)=0),Y129&lt;&gt;EUconst_NA),EUconst_ERR_Incomplete,IF(COUNTIF(BB129:BD129,TRUE)&gt;0,EUconst_ERR_Inconsistent,""))</f>
        <v/>
      </c>
      <c r="O129" s="323"/>
      <c r="P129" s="612"/>
      <c r="Q129" s="354"/>
      <c r="R129" s="354"/>
      <c r="S129" s="325"/>
      <c r="T129" s="374" t="str">
        <f>EUconst_CNTR_BiomassContent&amp;E120</f>
        <v>BioC_</v>
      </c>
      <c r="U129" s="23"/>
      <c r="V129" s="375" t="str">
        <f>V127</f>
        <v/>
      </c>
      <c r="W129" s="366" t="e">
        <f>IF(COUNTIF(MSPara_SourceStreamCategory,V129)=0,"",INDEX(MSPara_IsFossil,MATCH(V129,MSPara_SourceStreamCategory,0)))</f>
        <v>#N/A</v>
      </c>
      <c r="X129" s="23"/>
      <c r="Y129" s="450" t="str">
        <f>IF(E120="","",IF(OR(F129=EUconst_NA,W129=TRUE),EUconst_NA,INDEX(EUwideConstants!$P$153:$P$180,MATCH(T129,EUwideConstants!$S$153:$S$180,0))))</f>
        <v/>
      </c>
      <c r="Z129" s="472" t="str">
        <f>IF(ISBLANK(F129),"",IF(F129=EUconst_NA,"",INDEX(EUwideConstants!$H:$O,MATCH(T129,EUwideConstants!$S:$S,0),MATCH(F129,CNTR_TierList,0))))</f>
        <v/>
      </c>
      <c r="AA129" s="681" t="str">
        <f>IF(F129=1,1,"")</f>
        <v/>
      </c>
      <c r="AB129" s="325"/>
      <c r="AC129" s="376" t="b">
        <f>AND(AC125,Y129&lt;&gt;EUconst_NA)</f>
        <v>0</v>
      </c>
      <c r="AD129" s="325"/>
      <c r="AE129" s="462"/>
      <c r="AF129" s="460"/>
      <c r="AG129" s="465"/>
      <c r="AH129" s="467"/>
      <c r="AI129" s="467"/>
      <c r="AJ129" s="467"/>
      <c r="AK129" s="469"/>
      <c r="AL129" s="337"/>
      <c r="AM129" s="404" t="s">
        <v>132</v>
      </c>
      <c r="AN129" s="403" t="str">
        <f>IF(AN127=EUconst_NA,EUconst_NA,INDEX(EUwideConstants!$C$139:$H$143,MATCH(AJ128,EFUnits,0),MATCH(AN127,EUwideConstants!$C$138:$H$138,0)))</f>
        <v>ei sovellettavissa</v>
      </c>
      <c r="AO129" s="403" t="b">
        <f>AN129&lt;&gt;EUconst_NA</f>
        <v>0</v>
      </c>
      <c r="AP129" s="337"/>
      <c r="AQ129" s="455" t="str">
        <f>EUconst_CNTR_BiomassContent&amp;EUconst_Value</f>
        <v>BioC_Arvo</v>
      </c>
      <c r="AR129" s="462"/>
      <c r="AS129" s="383" t="str">
        <f>IF(AC129=TRUE,IF(COUNTIF(MSPara_SourceStreamCategory,V129)=0,"",INDEX(MSPara_CalcFactorsMatrix,MATCH(V129,MSPara_SourceStreamCategory,0),MATCH(AQ129&amp;"_"&amp;2,MSPara_CalcFactors,0))),"")</f>
        <v/>
      </c>
      <c r="AT129" s="458"/>
      <c r="AU129" s="334" t="str">
        <f>IF(OR(AA129="",AS129=EUconst_NA),"",AS129)</f>
        <v/>
      </c>
      <c r="AV129" s="376">
        <f>IF(AC129=TRUE,IF(COUNT(K129:L129)=0,0,IF(L129="",K129,L129)),0)</f>
        <v>0</v>
      </c>
      <c r="AW129" s="375" t="b">
        <f>AND(AC129=TRUE,OR(AND(F129&lt;&gt;"",NOT(ISNUMBER(AA129))),L129&lt;&gt;"",F129="",AU129=""))</f>
        <v>0</v>
      </c>
      <c r="AX129" s="457" t="b">
        <f>AND(AC129=TRUE,NOT(AW129))</f>
        <v>0</v>
      </c>
      <c r="AY129" s="325"/>
      <c r="AZ129" s="379" t="b">
        <f>AND(ISNUMBER(AA129),AU129="")</f>
        <v>0</v>
      </c>
      <c r="BA129" s="380" t="b">
        <f>AND(ISNUMBER(AA129),AU129&lt;&gt;AV129)</f>
        <v>0</v>
      </c>
      <c r="BB129" s="325"/>
      <c r="BC129" s="375" t="b">
        <f>AND(L129&lt;&gt;"",Y129=EUconst_NA)</f>
        <v>0</v>
      </c>
      <c r="BD129" s="366" t="b">
        <f>OR(AV129&gt;100%,(AV129+AV130)&gt;100%)</f>
        <v>0</v>
      </c>
      <c r="BE129" s="325"/>
      <c r="BF129" s="379" t="s">
        <v>133</v>
      </c>
      <c r="BG129" s="498" t="str">
        <f>IF(AN125=EUconst_TJ,AV125*(1-AV129),IF(AN127=EUconst_GJ,AV125*AV127/1000*(1-AV129),""))</f>
        <v/>
      </c>
      <c r="BH129" s="325"/>
      <c r="BI129" s="325"/>
      <c r="BJ129" s="325"/>
      <c r="BK129" s="325"/>
      <c r="BL129" s="325"/>
      <c r="BM129" s="325"/>
      <c r="BN129" s="325"/>
      <c r="BO129" s="325"/>
      <c r="BP129" s="325"/>
      <c r="BQ129" s="325"/>
      <c r="BR129" s="325"/>
      <c r="BS129" s="325"/>
      <c r="BT129" s="325"/>
      <c r="BU129" s="325"/>
      <c r="BV129" s="325"/>
      <c r="BW129" s="325"/>
      <c r="BX129" s="325"/>
      <c r="BY129" s="325"/>
      <c r="BZ129" s="325"/>
      <c r="CA129" s="325"/>
      <c r="CB129" s="325"/>
      <c r="CC129" s="325"/>
      <c r="CD129" s="325"/>
      <c r="CE129" s="325"/>
      <c r="CF129" s="325"/>
      <c r="CG129" s="375" t="b">
        <f>OR(CG125,Y129=EUconst_NA)</f>
        <v>0</v>
      </c>
    </row>
    <row r="130" spans="1:85" ht="12.75" customHeight="1" thickBot="1" x14ac:dyDescent="0.3">
      <c r="A130" s="318"/>
      <c r="B130" s="21"/>
      <c r="C130" s="344"/>
      <c r="D130" s="345" t="str">
        <f>Translations!$B$368</f>
        <v>Ei kestävä biomassaosuus:</v>
      </c>
      <c r="E130" s="350"/>
      <c r="F130" s="628"/>
      <c r="G130" s="1120" t="str">
        <f>IF(OR(ISBLANK(F130),F130=EUconst_NoTier),"",IF(Z130=0,EUconst_NotApplicable,IF(ISERROR(Z130),"",Z130)))</f>
        <v/>
      </c>
      <c r="H130" s="1122"/>
      <c r="I130" s="629" t="str">
        <f>IF(OR(AC130=FALSE,Y130=EUconst_NA),"","-")</f>
        <v/>
      </c>
      <c r="J130" s="447"/>
      <c r="K130" s="636" t="str">
        <f>IF(L130="",AU130,"")</f>
        <v/>
      </c>
      <c r="L130" s="852"/>
      <c r="M130" s="486" t="str">
        <f>IF(AND(E120&lt;&gt;"",OR(F130="",COUNT(K130:L130)=0),Y130&lt;&gt;EUconst_NA),EUconst_ERR_Incomplete,IF(COUNTIF(BB130:BD130,TRUE)&gt;0,EUconst_ERR_Inconsistent,""))</f>
        <v/>
      </c>
      <c r="N130" s="22"/>
      <c r="O130" s="323"/>
      <c r="P130" s="612"/>
      <c r="Q130" s="354"/>
      <c r="R130" s="354"/>
      <c r="S130" s="325"/>
      <c r="T130" s="384" t="str">
        <f>EUconst_CNTR_BiomassContent&amp;E120</f>
        <v>BioC_</v>
      </c>
      <c r="U130" s="23"/>
      <c r="V130" s="382" t="str">
        <f>V129</f>
        <v/>
      </c>
      <c r="W130" s="382" t="e">
        <f>IF(COUNTIF(MSPara_SourceStreamCategory,V130)=0,"",INDEX(MSPara_IsFossil,MATCH(V130,MSPara_SourceStreamCategory,0)))</f>
        <v>#N/A</v>
      </c>
      <c r="X130" s="23"/>
      <c r="Y130" s="452" t="str">
        <f>IF(E120="","",IF(OR(F130=EUconst_NA,W130=TRUE),EUconst_NA,INDEX(EUwideConstants!$P$153:$P$180,MATCH(T130,EUwideConstants!$S$153:$S$180,0))))</f>
        <v/>
      </c>
      <c r="Z130" s="473" t="str">
        <f>IF(ISBLANK(F130),"",IF(F130=EUconst_NA,"",INDEX(EUwideConstants!$H:$O,MATCH(T130,EUwideConstants!$S:$S,0),MATCH(F130,CNTR_TierList,0))))</f>
        <v/>
      </c>
      <c r="AA130" s="682" t="str">
        <f>IF(F130=1,1,"")</f>
        <v/>
      </c>
      <c r="AB130" s="325"/>
      <c r="AC130" s="453" t="b">
        <f>AND(AC125,Y130&lt;&gt;EUconst_NA)</f>
        <v>0</v>
      </c>
      <c r="AD130" s="325"/>
      <c r="AE130" s="463"/>
      <c r="AF130" s="461"/>
      <c r="AG130" s="466"/>
      <c r="AH130" s="468"/>
      <c r="AI130" s="468"/>
      <c r="AJ130" s="468"/>
      <c r="AK130" s="470"/>
      <c r="AL130" s="337"/>
      <c r="AM130" s="337"/>
      <c r="AN130" s="337"/>
      <c r="AO130" s="337"/>
      <c r="AP130" s="337"/>
      <c r="AQ130" s="474" t="str">
        <f>EUconst_CNTR_BiomassContent&amp;EUconst_Value</f>
        <v>BioC_Arvo</v>
      </c>
      <c r="AR130" s="463"/>
      <c r="AS130" s="385" t="str">
        <f>IF(AC130=TRUE,IF(COUNTIF(MSPara_SourceStreamCategory,V130)=0,"",INDEX(MSPara_CalcFactorsMatrix,MATCH(V130,MSPara_SourceStreamCategory,0),MATCH(AQ130&amp;"_"&amp;2,MSPara_CalcFactors,0))),"")</f>
        <v/>
      </c>
      <c r="AT130" s="459"/>
      <c r="AU130" s="477" t="str">
        <f>IF(OR(AA130="",AS130=EUconst_NA),"",AS130)</f>
        <v/>
      </c>
      <c r="AV130" s="453">
        <f>IF(AC130=TRUE,IF(COUNT(K130:L130)=0,0,IF(L130="",K130,L130)),0)</f>
        <v>0</v>
      </c>
      <c r="AW130" s="382" t="b">
        <f>AND(AC130=TRUE,OR(AND(F130&lt;&gt;"",NOT(ISNUMBER(AA130))),L130&lt;&gt;"",F130="",AU130=""))</f>
        <v>0</v>
      </c>
      <c r="AX130" s="478" t="b">
        <f>AND(AC130=TRUE,NOT(AW130))</f>
        <v>0</v>
      </c>
      <c r="AY130" s="325"/>
      <c r="AZ130" s="386" t="b">
        <f>AND(ISNUMBER(AA130),AU130="")</f>
        <v>0</v>
      </c>
      <c r="BA130" s="387" t="b">
        <f>AND(ISNUMBER(AA130),AU130&lt;&gt;AV130)</f>
        <v>0</v>
      </c>
      <c r="BB130" s="325"/>
      <c r="BC130" s="382" t="b">
        <f>AND(L130&lt;&gt;"",Y130=EUconst_NA)</f>
        <v>0</v>
      </c>
      <c r="BD130" s="382" t="b">
        <f>OR(AV129&gt;100%,(AV129+AV130)&gt;100%)</f>
        <v>0</v>
      </c>
      <c r="BE130" s="325"/>
      <c r="BF130" s="386" t="s">
        <v>134</v>
      </c>
      <c r="BG130" s="499" t="str">
        <f>IF(AN125=EUconst_TJ,AV125*AV129,IF(AN127=EUconst_GJ,AV125*AV127/1000*AV129,""))</f>
        <v/>
      </c>
      <c r="BH130" s="325"/>
      <c r="BI130" s="325"/>
      <c r="BJ130" s="325"/>
      <c r="BK130" s="325"/>
      <c r="BL130" s="325"/>
      <c r="BM130" s="325"/>
      <c r="BN130" s="325"/>
      <c r="BO130" s="325"/>
      <c r="BP130" s="325"/>
      <c r="BQ130" s="325"/>
      <c r="BR130" s="325"/>
      <c r="BS130" s="325"/>
      <c r="BT130" s="325"/>
      <c r="BU130" s="325"/>
      <c r="BV130" s="325"/>
      <c r="BW130" s="325"/>
      <c r="BX130" s="325"/>
      <c r="BY130" s="325"/>
      <c r="BZ130" s="325"/>
      <c r="CA130" s="325"/>
      <c r="CB130" s="325"/>
      <c r="CC130" s="325"/>
      <c r="CD130" s="325"/>
      <c r="CE130" s="325"/>
      <c r="CF130" s="325"/>
      <c r="CG130" s="382" t="b">
        <f>OR(CG125,Y130=EUconst_NA)</f>
        <v>0</v>
      </c>
    </row>
    <row r="131" spans="1:85" ht="5.15" customHeight="1" thickBot="1" x14ac:dyDescent="0.3">
      <c r="A131" s="318"/>
      <c r="B131" s="21"/>
      <c r="C131" s="21"/>
      <c r="D131" s="327"/>
      <c r="E131" s="22"/>
      <c r="F131" s="22"/>
      <c r="G131" s="22"/>
      <c r="H131" s="22"/>
      <c r="I131" s="22"/>
      <c r="J131" s="22"/>
      <c r="K131" s="22"/>
      <c r="L131" s="22"/>
      <c r="M131" s="488"/>
      <c r="N131" s="22"/>
      <c r="O131" s="323"/>
      <c r="P131" s="301"/>
      <c r="Q131" s="23"/>
      <c r="R131" s="23"/>
      <c r="S131" s="325"/>
      <c r="T131" s="325"/>
      <c r="U131" s="325"/>
      <c r="V131" s="325"/>
      <c r="W131" s="325"/>
      <c r="X131" s="325"/>
      <c r="Y131" s="325"/>
      <c r="Z131" s="325"/>
      <c r="AA131" s="325"/>
      <c r="AB131" s="325"/>
      <c r="AC131" s="325"/>
      <c r="AD131" s="325"/>
      <c r="AE131" s="325"/>
      <c r="AF131" s="325"/>
      <c r="AG131" s="325"/>
      <c r="AH131" s="325"/>
      <c r="AI131" s="325"/>
      <c r="AJ131" s="325"/>
      <c r="AK131" s="325"/>
      <c r="AL131" s="325"/>
      <c r="AM131" s="325"/>
      <c r="AN131" s="325"/>
      <c r="AO131" s="325"/>
      <c r="AP131" s="325"/>
      <c r="AQ131" s="325"/>
      <c r="AR131" s="325"/>
      <c r="AS131" s="325"/>
      <c r="AT131" s="325"/>
      <c r="AU131" s="325"/>
      <c r="AV131" s="325"/>
      <c r="AW131" s="325"/>
      <c r="AX131" s="325"/>
      <c r="AY131" s="325"/>
      <c r="AZ131" s="325"/>
      <c r="BA131" s="325"/>
      <c r="BB131" s="325"/>
      <c r="BC131" s="325"/>
      <c r="BD131" s="325"/>
      <c r="BE131" s="325"/>
      <c r="BF131" s="325"/>
      <c r="BG131" s="325"/>
      <c r="BH131" s="325"/>
      <c r="BI131" s="325"/>
      <c r="BJ131" s="325"/>
      <c r="BK131" s="325"/>
      <c r="BL131" s="325"/>
      <c r="BM131" s="325"/>
      <c r="BN131" s="325"/>
      <c r="BO131" s="325"/>
      <c r="BP131" s="325"/>
      <c r="BQ131" s="325"/>
      <c r="BR131" s="325"/>
      <c r="BS131" s="325"/>
      <c r="BT131" s="325"/>
      <c r="BU131" s="325"/>
      <c r="BV131" s="325"/>
      <c r="BW131" s="325"/>
      <c r="BX131" s="325"/>
      <c r="BY131" s="325"/>
      <c r="BZ131" s="325"/>
      <c r="CA131" s="325"/>
      <c r="CB131" s="325"/>
      <c r="CC131" s="325"/>
      <c r="CD131" s="325"/>
      <c r="CE131" s="325"/>
      <c r="CF131" s="325"/>
      <c r="CG131" s="325"/>
    </row>
    <row r="132" spans="1:85" ht="12.75" customHeight="1" thickBot="1" x14ac:dyDescent="0.3">
      <c r="A132" s="318"/>
      <c r="B132" s="21"/>
      <c r="C132" s="344"/>
      <c r="D132" s="345" t="str">
        <f>Translations!$B$398</f>
        <v>Soveltamisalakerroin:</v>
      </c>
      <c r="E132" s="479"/>
      <c r="F132" s="803"/>
      <c r="G132" s="1125"/>
      <c r="H132" s="1126"/>
      <c r="I132" s="492" t="s">
        <v>52</v>
      </c>
      <c r="J132" s="480"/>
      <c r="K132" s="481" t="str">
        <f>IF(L132="",AU132,"")</f>
        <v/>
      </c>
      <c r="L132" s="607"/>
      <c r="M132" s="489" t="str">
        <f>IF(AND(E120&lt;&gt;"",OR(F132="",G132="",COUNT(K132:L132)=0)),EUconst_ERR_Incomplete,IF(COUNTIF(BB132:BD132,TRUE)&gt;0,EUconst_ERR_Inconsistent,""))</f>
        <v/>
      </c>
      <c r="N132" s="22"/>
      <c r="O132" s="323"/>
      <c r="P132" s="301"/>
      <c r="Q132" s="23"/>
      <c r="R132" s="325"/>
      <c r="S132" s="10"/>
      <c r="T132" s="48" t="str">
        <f>EUconst_CNTR_ScopeFactor&amp;E120</f>
        <v>ScopeFactor_</v>
      </c>
      <c r="U132" s="248" t="str">
        <f>IF(F132="","",INDEX(ScopeAddress,MATCH(F132,ScopeTiers,0)))</f>
        <v/>
      </c>
      <c r="V132" s="382" t="str">
        <f>V125</f>
        <v/>
      </c>
      <c r="W132" s="325"/>
      <c r="X132" s="325"/>
      <c r="Y132" s="452" t="str">
        <f>IF(E120="","",IF(F132=EUconst_NA,EUconst_NA,INDEX(EUwideConstants!$P$153:$P$180,MATCH(T132,EUwideConstants!$S$153:$S$180,0))))</f>
        <v/>
      </c>
      <c r="Z132" s="473" t="str">
        <f>IF(ISBLANK(F132),"",IF(F132=EUconst_NA,"",INDEX(EUwideConstants!$H:$O,MATCH(T132,EUwideConstants!$S:$S,0),MATCH(F132,CNTR_TierList,0))))</f>
        <v/>
      </c>
      <c r="AA132" s="339" t="str">
        <f>IF(G132=EUwideConstants!$A$88,1,"")</f>
        <v/>
      </c>
      <c r="AB132" s="325"/>
      <c r="AC132" s="376" t="b">
        <f>AND(AC125,Y132&lt;&gt;EUconst_NA)</f>
        <v>0</v>
      </c>
      <c r="AD132" s="325"/>
      <c r="AE132" s="325"/>
      <c r="AF132" s="325"/>
      <c r="AG132" s="330"/>
      <c r="AH132" s="325"/>
      <c r="AI132" s="325"/>
      <c r="AJ132" s="325"/>
      <c r="AK132" s="325"/>
      <c r="AL132" s="325"/>
      <c r="AM132" s="325"/>
      <c r="AN132" s="325"/>
      <c r="AO132" s="325"/>
      <c r="AP132" s="325"/>
      <c r="AQ132" s="325"/>
      <c r="AR132" s="325"/>
      <c r="AS132" s="338">
        <v>1</v>
      </c>
      <c r="AT132" s="325"/>
      <c r="AU132" s="330" t="str">
        <f>IF(G132=EUwideConstants!$A$88,AS132,"")</f>
        <v/>
      </c>
      <c r="AV132" s="376">
        <f>IF(AC132=TRUE,IF(COUNT(K132:L132)=0,0,IF(L132="",K132,L132)),0)</f>
        <v>0</v>
      </c>
      <c r="AW132" s="375" t="b">
        <f>AND(AC132=TRUE,OR(AND(F132&lt;&gt;"",NOT(ISNUMBER(AA132))),L132&lt;&gt;"",F132="",AU132=""))</f>
        <v>0</v>
      </c>
      <c r="AX132" s="457" t="b">
        <f>AND(AC132=TRUE,NOT(AW132))</f>
        <v>0</v>
      </c>
      <c r="AY132" s="325"/>
      <c r="AZ132" s="379" t="b">
        <f>AND(ISNUMBER(AA132),AU132="")</f>
        <v>0</v>
      </c>
      <c r="BA132" s="380" t="b">
        <f>AND(ISNUMBER(AA132),AU132&lt;&gt;AV132)</f>
        <v>0</v>
      </c>
      <c r="BB132" s="325"/>
      <c r="BC132" s="33" t="b">
        <f>AND(F132&lt;&gt;"",OR(COUNTIF(INDEX(ScopeMethods,F132,),G132)=0,AND(AA132&lt;&gt;"",AU132&lt;&gt;AV132)))</f>
        <v>0</v>
      </c>
      <c r="BD132" s="325"/>
      <c r="BE132" s="325"/>
      <c r="BF132" s="325"/>
      <c r="BG132" s="325"/>
      <c r="BH132" s="325"/>
      <c r="BI132" s="325"/>
      <c r="BJ132" s="325"/>
      <c r="BK132" s="325"/>
      <c r="BL132" s="325"/>
      <c r="BM132" s="325"/>
      <c r="BN132" s="325"/>
      <c r="BO132" s="325"/>
      <c r="BP132" s="325"/>
      <c r="BQ132" s="325"/>
      <c r="BR132" s="325"/>
      <c r="BS132" s="325"/>
      <c r="BT132" s="325"/>
      <c r="BU132" s="325"/>
      <c r="BV132" s="325"/>
      <c r="BW132" s="325"/>
      <c r="BX132" s="325"/>
      <c r="BY132" s="325"/>
      <c r="BZ132" s="325"/>
      <c r="CA132" s="325"/>
      <c r="CB132" s="325"/>
      <c r="CC132" s="325"/>
      <c r="CD132" s="325"/>
      <c r="CE132" s="325"/>
      <c r="CF132" s="325"/>
      <c r="CG132" s="325"/>
    </row>
    <row r="133" spans="1:85" ht="12.75" customHeight="1" x14ac:dyDescent="0.25">
      <c r="A133" s="318"/>
      <c r="B133" s="21"/>
      <c r="C133" s="21"/>
      <c r="D133" s="21"/>
      <c r="E133" s="21"/>
      <c r="F133" s="21"/>
      <c r="G133" s="1130" t="str">
        <f>IF(G132="","",INDEX(ScopeMethodsDetails,MATCH(G132,INDEX(ScopeMethodsDetails,,1),0),2))</f>
        <v/>
      </c>
      <c r="H133" s="1131"/>
      <c r="I133" s="1131"/>
      <c r="J133" s="1131"/>
      <c r="K133" s="1131"/>
      <c r="L133" s="1131"/>
      <c r="M133" s="1132"/>
      <c r="N133" s="22"/>
      <c r="O133" s="323"/>
      <c r="P133" s="301"/>
      <c r="Q133" s="23"/>
      <c r="R133" s="23"/>
      <c r="S133" s="325"/>
      <c r="T133" s="325"/>
      <c r="U133" s="325"/>
      <c r="V133" s="325"/>
      <c r="W133" s="325"/>
      <c r="X133" s="325"/>
      <c r="Y133" s="325"/>
      <c r="Z133" s="325"/>
      <c r="AA133" s="325"/>
      <c r="AB133" s="325"/>
      <c r="AC133" s="325"/>
      <c r="AD133" s="325"/>
      <c r="AE133" s="325"/>
      <c r="AF133" s="325"/>
      <c r="AG133" s="325"/>
      <c r="AH133" s="325"/>
      <c r="AI133" s="325"/>
      <c r="AJ133" s="325"/>
      <c r="AK133" s="325"/>
      <c r="AL133" s="325"/>
      <c r="AM133" s="325"/>
      <c r="AN133" s="325"/>
      <c r="AO133" s="325"/>
      <c r="AP133" s="325"/>
      <c r="AQ133" s="325"/>
      <c r="AR133" s="325"/>
      <c r="AS133" s="325"/>
      <c r="AT133" s="325"/>
      <c r="AU133" s="325"/>
      <c r="AV133" s="325"/>
      <c r="AW133" s="325"/>
      <c r="AX133" s="325"/>
      <c r="AY133" s="325"/>
      <c r="AZ133" s="325"/>
      <c r="BA133" s="325"/>
      <c r="BB133" s="325"/>
      <c r="BC133" s="325"/>
      <c r="BD133" s="325"/>
      <c r="BE133" s="325"/>
      <c r="BF133" s="325"/>
      <c r="BG133" s="325"/>
      <c r="BH133" s="325"/>
      <c r="BI133" s="325"/>
      <c r="BJ133" s="325"/>
      <c r="BK133" s="325"/>
      <c r="BL133" s="325"/>
      <c r="BM133" s="325"/>
      <c r="BN133" s="325"/>
      <c r="BO133" s="325"/>
      <c r="BP133" s="325"/>
      <c r="BQ133" s="325"/>
      <c r="BR133" s="325"/>
      <c r="BS133" s="325"/>
      <c r="BT133" s="325"/>
      <c r="BU133" s="325"/>
      <c r="BV133" s="325"/>
      <c r="BW133" s="325"/>
      <c r="BX133" s="325"/>
      <c r="BY133" s="325"/>
      <c r="BZ133" s="325"/>
      <c r="CA133" s="325"/>
      <c r="CB133" s="325"/>
      <c r="CC133" s="325"/>
      <c r="CD133" s="325"/>
      <c r="CE133" s="325"/>
      <c r="CF133" s="325"/>
      <c r="CG133" s="325"/>
    </row>
    <row r="134" spans="1:85" ht="5.15" customHeight="1" x14ac:dyDescent="0.25">
      <c r="A134" s="318"/>
      <c r="C134" s="22"/>
      <c r="D134" s="22"/>
      <c r="E134" s="22"/>
      <c r="F134" s="22"/>
      <c r="G134" s="22"/>
      <c r="H134" s="22"/>
      <c r="I134" s="22"/>
      <c r="J134" s="22"/>
      <c r="K134" s="22"/>
      <c r="L134" s="22"/>
      <c r="O134" s="323"/>
      <c r="P134" s="301"/>
      <c r="Q134" s="23"/>
      <c r="R134" s="23"/>
      <c r="S134" s="325"/>
      <c r="T134" s="325"/>
      <c r="U134" s="325"/>
      <c r="V134" s="325"/>
      <c r="W134" s="325"/>
      <c r="X134" s="325"/>
      <c r="Y134" s="325"/>
      <c r="Z134" s="325"/>
      <c r="AA134" s="325"/>
      <c r="AB134" s="325"/>
      <c r="AC134" s="325"/>
      <c r="AD134" s="325"/>
      <c r="AE134" s="325"/>
      <c r="AF134" s="325"/>
      <c r="AG134" s="325"/>
      <c r="AH134" s="325"/>
      <c r="AI134" s="325"/>
      <c r="AJ134" s="325"/>
      <c r="AK134" s="325"/>
      <c r="AL134" s="325"/>
      <c r="AM134" s="325"/>
      <c r="AN134" s="325"/>
      <c r="AO134" s="325"/>
      <c r="AP134" s="325"/>
      <c r="AQ134" s="325"/>
      <c r="AR134" s="325"/>
      <c r="AS134" s="325"/>
      <c r="AT134" s="325"/>
      <c r="AU134" s="325"/>
      <c r="AV134" s="325"/>
      <c r="AW134" s="325"/>
      <c r="AX134" s="325"/>
      <c r="AY134" s="325"/>
      <c r="AZ134" s="325"/>
      <c r="BA134" s="325"/>
      <c r="BB134" s="325"/>
      <c r="BC134" s="325"/>
      <c r="BD134" s="325"/>
      <c r="BE134" s="325"/>
      <c r="BF134" s="325"/>
      <c r="BG134" s="325"/>
      <c r="BH134" s="325"/>
      <c r="BI134" s="325"/>
      <c r="BJ134" s="325"/>
      <c r="BK134" s="325"/>
      <c r="BL134" s="325"/>
      <c r="BM134" s="325"/>
      <c r="BN134" s="325"/>
      <c r="BO134" s="325"/>
      <c r="BP134" s="325"/>
      <c r="BQ134" s="325"/>
      <c r="BR134" s="325"/>
      <c r="BS134" s="325"/>
      <c r="BT134" s="325"/>
      <c r="BU134" s="325"/>
      <c r="BV134" s="325"/>
      <c r="BW134" s="325"/>
      <c r="BX134" s="325"/>
      <c r="BY134" s="325"/>
      <c r="BZ134" s="325"/>
      <c r="CA134" s="325"/>
      <c r="CB134" s="325"/>
      <c r="CC134" s="325"/>
      <c r="CD134" s="325"/>
      <c r="CE134" s="325"/>
      <c r="CF134" s="325"/>
      <c r="CG134" s="325"/>
    </row>
    <row r="135" spans="1:85" ht="12.75" customHeight="1" x14ac:dyDescent="0.25">
      <c r="A135" s="318"/>
      <c r="C135" s="22"/>
      <c r="D135" s="22"/>
      <c r="E135" s="22"/>
      <c r="F135" s="22"/>
      <c r="G135" s="1133">
        <v>1</v>
      </c>
      <c r="H135" s="1133"/>
      <c r="I135" s="1133">
        <v>2</v>
      </c>
      <c r="J135" s="1133"/>
      <c r="K135" s="1133">
        <v>3</v>
      </c>
      <c r="L135" s="1133"/>
      <c r="O135" s="323"/>
      <c r="P135" s="301"/>
      <c r="Q135" s="23"/>
      <c r="R135" s="23"/>
      <c r="S135" s="325"/>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325"/>
      <c r="AP135" s="325"/>
      <c r="AQ135" s="325"/>
      <c r="AR135" s="325"/>
      <c r="AS135" s="325"/>
      <c r="AT135" s="325"/>
      <c r="AU135" s="325"/>
      <c r="AV135" s="325"/>
      <c r="AW135" s="325"/>
      <c r="AX135" s="325"/>
      <c r="AY135" s="325"/>
      <c r="AZ135" s="325"/>
      <c r="BA135" s="325"/>
      <c r="BB135" s="325"/>
      <c r="BC135" s="325"/>
      <c r="BD135" s="325"/>
      <c r="BE135" s="325"/>
      <c r="BF135" s="325"/>
      <c r="BG135" s="325"/>
      <c r="BH135" s="325"/>
      <c r="BI135" s="325"/>
      <c r="BJ135" s="325"/>
      <c r="BK135" s="325"/>
      <c r="BL135" s="325"/>
      <c r="BM135" s="325"/>
      <c r="BN135" s="325"/>
      <c r="BO135" s="325"/>
      <c r="BP135" s="325"/>
      <c r="BQ135" s="325"/>
      <c r="BR135" s="325"/>
      <c r="BS135" s="325"/>
      <c r="BT135" s="325"/>
      <c r="BU135" s="325"/>
      <c r="BV135" s="325"/>
      <c r="BW135" s="325"/>
      <c r="BX135" s="325"/>
      <c r="BY135" s="325"/>
      <c r="BZ135" s="325"/>
      <c r="CA135" s="325"/>
      <c r="CB135" s="325"/>
      <c r="CC135" s="325"/>
      <c r="CD135" s="325"/>
      <c r="CE135" s="325"/>
      <c r="CF135" s="325"/>
      <c r="CG135" s="325"/>
    </row>
    <row r="136" spans="1:85" ht="12.75" customHeight="1" x14ac:dyDescent="0.25">
      <c r="A136" s="389"/>
      <c r="B136" s="22"/>
      <c r="C136" s="22"/>
      <c r="D136" s="1134" t="str">
        <f>Translations!$B$372</f>
        <v>CRF-luokka</v>
      </c>
      <c r="E136" s="1134"/>
      <c r="F136" s="1135"/>
      <c r="G136" s="1123"/>
      <c r="H136" s="1124"/>
      <c r="I136" s="1123"/>
      <c r="J136" s="1124"/>
      <c r="K136" s="1123"/>
      <c r="L136" s="1124"/>
      <c r="M136" s="623" t="str">
        <f>IF(AND(E119&lt;&gt;"",COUNTA(G136:L136)=0,AX136=FALSE),EUconst_ERR_Incomplete,"")</f>
        <v/>
      </c>
      <c r="N136" s="22"/>
      <c r="O136" s="323"/>
      <c r="P136" s="301"/>
      <c r="Q136" s="23"/>
      <c r="R136" s="23"/>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c r="AQ136" s="325"/>
      <c r="AR136" s="325"/>
      <c r="AS136" s="325"/>
      <c r="AT136" s="325"/>
      <c r="AU136" s="325"/>
      <c r="AV136" s="325"/>
      <c r="AW136" s="325"/>
      <c r="AX136" s="33" t="b">
        <f>AND(AV132&lt;&gt;"",SUM(AV132=1))</f>
        <v>0</v>
      </c>
      <c r="AY136" s="325"/>
      <c r="AZ136" s="325"/>
      <c r="BA136" s="325"/>
      <c r="BB136" s="325"/>
      <c r="BC136" s="325"/>
      <c r="BD136" s="325"/>
      <c r="BE136" s="325"/>
      <c r="BF136" s="325"/>
      <c r="BG136" s="325"/>
      <c r="BH136" s="325"/>
      <c r="BI136" s="325"/>
      <c r="BJ136" s="325"/>
      <c r="BK136" s="325"/>
      <c r="BL136" s="325"/>
      <c r="BM136" s="325"/>
      <c r="BN136" s="325"/>
      <c r="BO136" s="325"/>
      <c r="BP136" s="325"/>
      <c r="BQ136" s="325"/>
      <c r="BR136" s="325"/>
      <c r="BS136" s="325"/>
      <c r="BT136" s="325"/>
      <c r="BU136" s="325"/>
      <c r="BV136" s="325"/>
      <c r="BW136" s="325"/>
      <c r="BX136" s="325"/>
      <c r="BY136" s="325"/>
      <c r="BZ136" s="325"/>
      <c r="CA136" s="325"/>
      <c r="CB136" s="325"/>
      <c r="CC136" s="325"/>
      <c r="CD136" s="325"/>
      <c r="CE136" s="325"/>
      <c r="CF136" s="325"/>
      <c r="CG136" s="325"/>
    </row>
    <row r="137" spans="1:85" ht="5.15" customHeight="1" x14ac:dyDescent="0.25">
      <c r="A137" s="318"/>
      <c r="B137" s="21"/>
      <c r="C137" s="21"/>
      <c r="D137" s="21"/>
      <c r="E137" s="21"/>
      <c r="F137" s="21"/>
      <c r="G137" s="22"/>
      <c r="H137" s="22"/>
      <c r="I137" s="22"/>
      <c r="J137" s="22"/>
      <c r="K137" s="22"/>
      <c r="L137" s="22"/>
      <c r="M137" s="22"/>
      <c r="N137" s="22"/>
      <c r="O137" s="323"/>
      <c r="P137" s="301"/>
      <c r="Q137" s="23"/>
      <c r="R137" s="23"/>
      <c r="S137" s="325"/>
      <c r="T137" s="325"/>
      <c r="U137" s="325"/>
      <c r="V137" s="325"/>
      <c r="W137" s="325"/>
      <c r="X137" s="325"/>
      <c r="Y137" s="325"/>
      <c r="Z137" s="325"/>
      <c r="AA137" s="325"/>
      <c r="AB137" s="325"/>
      <c r="AC137" s="325"/>
      <c r="AD137" s="325"/>
      <c r="AE137" s="325"/>
      <c r="AF137" s="325"/>
      <c r="AG137" s="325"/>
      <c r="AH137" s="325"/>
      <c r="AI137" s="325"/>
      <c r="AJ137" s="325"/>
      <c r="AK137" s="325"/>
      <c r="AL137" s="325"/>
      <c r="AM137" s="325"/>
      <c r="AN137" s="325"/>
      <c r="AO137" s="325"/>
      <c r="AP137" s="325"/>
      <c r="AQ137" s="325"/>
      <c r="AR137" s="325"/>
      <c r="AS137" s="325"/>
      <c r="AT137" s="325"/>
      <c r="AU137" s="325"/>
      <c r="AV137" s="325"/>
      <c r="AW137" s="325"/>
      <c r="AX137" s="325"/>
      <c r="AY137" s="325"/>
      <c r="AZ137" s="325"/>
      <c r="BA137" s="325"/>
      <c r="BB137" s="325"/>
      <c r="BC137" s="325"/>
      <c r="BD137" s="325"/>
      <c r="BE137" s="325"/>
      <c r="BF137" s="325"/>
      <c r="BG137" s="325"/>
      <c r="BH137" s="325"/>
      <c r="BI137" s="325"/>
      <c r="BJ137" s="325"/>
      <c r="BK137" s="325"/>
      <c r="BL137" s="325"/>
      <c r="BM137" s="325"/>
      <c r="BN137" s="325"/>
      <c r="BO137" s="325"/>
      <c r="BP137" s="325"/>
      <c r="BQ137" s="325"/>
      <c r="BR137" s="325"/>
      <c r="BS137" s="325"/>
      <c r="BT137" s="325"/>
      <c r="BU137" s="325"/>
      <c r="BV137" s="325"/>
      <c r="BW137" s="325"/>
      <c r="BX137" s="325"/>
      <c r="BY137" s="325"/>
      <c r="BZ137" s="325"/>
      <c r="CA137" s="325"/>
      <c r="CB137" s="325"/>
      <c r="CC137" s="325"/>
      <c r="CD137" s="325"/>
      <c r="CE137" s="325"/>
      <c r="CF137" s="325"/>
      <c r="CG137" s="325"/>
    </row>
    <row r="138" spans="1:85" ht="0.5" customHeight="1" x14ac:dyDescent="0.25">
      <c r="A138" s="318"/>
      <c r="B138" s="21"/>
      <c r="C138" s="21"/>
      <c r="D138" s="1116" t="str">
        <f>Translations!$B$304</f>
        <v xml:space="preserve">Lisätiedot: 
tapa, jolla biomassan kestävyys on osoitettu; 
muut polttoainevirtaa koskevat lisätiedot. </v>
      </c>
      <c r="E138" s="1116"/>
      <c r="F138" s="1116"/>
      <c r="G138" s="806"/>
      <c r="H138" s="807"/>
      <c r="I138" s="806"/>
      <c r="J138" s="236"/>
      <c r="K138" s="236"/>
      <c r="L138" s="236"/>
      <c r="M138" s="807"/>
      <c r="N138" s="808"/>
      <c r="O138" s="323"/>
      <c r="P138" s="301"/>
      <c r="Q138" s="23"/>
      <c r="R138" s="23"/>
      <c r="S138" s="388"/>
      <c r="T138" s="325"/>
      <c r="U138" s="325"/>
      <c r="V138" s="325"/>
      <c r="W138" s="325"/>
      <c r="X138" s="325"/>
      <c r="Y138" s="325"/>
      <c r="Z138" s="325"/>
      <c r="AA138" s="325"/>
      <c r="AB138" s="325"/>
      <c r="AC138" s="325"/>
      <c r="AD138" s="325"/>
      <c r="AE138" s="325"/>
      <c r="AF138" s="325"/>
      <c r="AG138" s="325"/>
      <c r="AH138" s="325"/>
      <c r="AI138" s="325"/>
      <c r="AJ138" s="325"/>
      <c r="AK138" s="325"/>
      <c r="AL138" s="325"/>
      <c r="AM138" s="325"/>
      <c r="AN138" s="325"/>
      <c r="AO138" s="325"/>
      <c r="AP138" s="325"/>
      <c r="AQ138" s="325"/>
      <c r="AR138" s="325"/>
      <c r="AS138" s="325"/>
      <c r="AT138" s="325"/>
      <c r="AU138" s="325"/>
      <c r="AV138" s="325"/>
      <c r="AW138" s="325"/>
      <c r="AX138" s="325"/>
      <c r="AY138" s="325"/>
      <c r="AZ138" s="325"/>
      <c r="BA138" s="325"/>
      <c r="BB138" s="325"/>
      <c r="BC138" s="325"/>
      <c r="BD138" s="325"/>
      <c r="BE138" s="325"/>
      <c r="BF138" s="325"/>
      <c r="BG138" s="325"/>
      <c r="BH138" s="325"/>
      <c r="BI138" s="325"/>
      <c r="BJ138" s="325"/>
      <c r="BK138" s="325"/>
      <c r="BL138" s="325"/>
      <c r="BM138" s="325"/>
      <c r="BN138" s="325"/>
      <c r="BO138" s="325"/>
      <c r="BP138" s="325"/>
      <c r="BQ138" s="325"/>
      <c r="BR138" s="325"/>
      <c r="BS138" s="325"/>
      <c r="BT138" s="325"/>
      <c r="BU138" s="325"/>
      <c r="BV138" s="325"/>
      <c r="BW138" s="325"/>
      <c r="BX138" s="325"/>
      <c r="BY138" s="325"/>
      <c r="BZ138" s="325"/>
      <c r="CA138" s="325"/>
      <c r="CB138" s="325"/>
      <c r="CC138" s="325"/>
      <c r="CD138" s="325"/>
      <c r="CE138" s="325"/>
      <c r="CF138" s="325"/>
      <c r="CG138" s="33" t="b">
        <f>CG125</f>
        <v>0</v>
      </c>
    </row>
    <row r="139" spans="1:85" ht="5" hidden="1" customHeight="1" x14ac:dyDescent="0.25">
      <c r="A139" s="389"/>
      <c r="B139" s="22"/>
      <c r="C139" s="22"/>
      <c r="D139" s="1116"/>
      <c r="E139" s="1116"/>
      <c r="F139" s="1116"/>
      <c r="G139" s="22"/>
      <c r="H139" s="22"/>
      <c r="I139" s="22"/>
      <c r="J139" s="22"/>
      <c r="K139" s="22"/>
      <c r="L139" s="22"/>
      <c r="M139" s="22"/>
      <c r="N139" s="22"/>
      <c r="O139" s="323"/>
      <c r="P139" s="301"/>
      <c r="Q139" s="23"/>
      <c r="R139" s="23"/>
      <c r="S139" s="325"/>
      <c r="T139" s="325"/>
      <c r="U139" s="325"/>
      <c r="V139" s="325"/>
      <c r="W139" s="325"/>
      <c r="X139" s="325"/>
      <c r="Y139" s="325"/>
      <c r="Z139" s="325"/>
      <c r="AA139" s="325"/>
      <c r="AB139" s="325"/>
      <c r="AC139" s="325"/>
      <c r="AD139" s="325"/>
      <c r="AE139" s="325"/>
      <c r="AF139" s="325"/>
      <c r="AG139" s="325"/>
      <c r="AH139" s="325"/>
      <c r="AI139" s="325"/>
      <c r="AJ139" s="325"/>
      <c r="AK139" s="325"/>
      <c r="AL139" s="325"/>
      <c r="AM139" s="325"/>
      <c r="AN139" s="325"/>
      <c r="AO139" s="325"/>
      <c r="AP139" s="325"/>
      <c r="AQ139" s="325"/>
      <c r="AR139" s="325"/>
      <c r="AS139" s="325"/>
      <c r="AT139" s="325"/>
      <c r="AU139" s="325"/>
      <c r="AV139" s="325"/>
      <c r="AW139" s="325"/>
      <c r="AX139" s="325"/>
      <c r="AY139" s="325"/>
      <c r="AZ139" s="325"/>
      <c r="BA139" s="325"/>
      <c r="BB139" s="325"/>
      <c r="BC139" s="325"/>
      <c r="BD139" s="325"/>
      <c r="BE139" s="325"/>
      <c r="BF139" s="325"/>
      <c r="BG139" s="325"/>
      <c r="BH139" s="325"/>
      <c r="BI139" s="325"/>
      <c r="BJ139" s="325"/>
      <c r="BK139" s="325"/>
      <c r="BL139" s="325"/>
      <c r="BM139" s="325"/>
      <c r="BN139" s="325"/>
      <c r="BO139" s="325"/>
      <c r="BP139" s="325"/>
      <c r="BQ139" s="325"/>
      <c r="BR139" s="325"/>
      <c r="BS139" s="325"/>
      <c r="BT139" s="325"/>
      <c r="BU139" s="325"/>
      <c r="BV139" s="325"/>
      <c r="BW139" s="325"/>
      <c r="BX139" s="325"/>
      <c r="BY139" s="325"/>
      <c r="BZ139" s="325"/>
      <c r="CA139" s="325"/>
      <c r="CB139" s="325"/>
      <c r="CC139" s="325"/>
      <c r="CD139" s="325"/>
      <c r="CE139" s="325"/>
      <c r="CF139" s="325"/>
      <c r="CG139" s="325"/>
    </row>
    <row r="140" spans="1:85" ht="48.5" customHeight="1" x14ac:dyDescent="0.25">
      <c r="A140" s="389"/>
      <c r="B140" s="22"/>
      <c r="C140" s="22"/>
      <c r="D140" s="1116"/>
      <c r="E140" s="1116"/>
      <c r="F140" s="1116"/>
      <c r="G140" s="1146"/>
      <c r="H140" s="1147"/>
      <c r="I140" s="1147"/>
      <c r="J140" s="1147"/>
      <c r="K140" s="1147"/>
      <c r="L140" s="1147"/>
      <c r="M140" s="1147"/>
      <c r="N140" s="1148"/>
      <c r="O140" s="323"/>
      <c r="P140" s="301"/>
      <c r="Q140" s="23"/>
      <c r="R140" s="23"/>
      <c r="S140" s="325"/>
      <c r="T140" s="325"/>
      <c r="U140" s="325"/>
      <c r="V140" s="325"/>
      <c r="W140" s="325"/>
      <c r="X140" s="325"/>
      <c r="Y140" s="325"/>
      <c r="Z140" s="325"/>
      <c r="AA140" s="325"/>
      <c r="AB140" s="325"/>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5"/>
      <c r="BB140" s="325"/>
      <c r="BC140" s="325"/>
      <c r="BD140" s="325"/>
      <c r="BE140" s="325"/>
      <c r="BF140" s="325"/>
      <c r="BG140" s="325"/>
      <c r="BH140" s="325"/>
      <c r="BI140" s="325"/>
      <c r="BJ140" s="325"/>
      <c r="BK140" s="325"/>
      <c r="BL140" s="325"/>
      <c r="BM140" s="325"/>
      <c r="BN140" s="325"/>
      <c r="BO140" s="325"/>
      <c r="BP140" s="325"/>
      <c r="BQ140" s="325"/>
      <c r="BR140" s="325"/>
      <c r="BS140" s="325"/>
      <c r="BT140" s="325"/>
      <c r="BU140" s="325"/>
      <c r="BV140" s="325"/>
      <c r="BW140" s="325"/>
      <c r="BX140" s="325"/>
      <c r="BY140" s="325"/>
      <c r="BZ140" s="325"/>
      <c r="CA140" s="325"/>
      <c r="CB140" s="325"/>
      <c r="CC140" s="325"/>
      <c r="CD140" s="325"/>
      <c r="CE140" s="325"/>
      <c r="CF140" s="325"/>
      <c r="CG140" s="33" t="b">
        <f>CG138</f>
        <v>0</v>
      </c>
    </row>
    <row r="141" spans="1:85" ht="12.75" customHeight="1" thickBot="1" x14ac:dyDescent="0.3">
      <c r="A141" s="318"/>
      <c r="B141" s="22"/>
      <c r="C141" s="319"/>
      <c r="D141" s="320"/>
      <c r="E141" s="321"/>
      <c r="F141" s="319"/>
      <c r="G141" s="322"/>
      <c r="H141" s="322"/>
      <c r="I141" s="322"/>
      <c r="J141" s="322"/>
      <c r="K141" s="322"/>
      <c r="L141" s="322"/>
      <c r="M141" s="322"/>
      <c r="N141" s="322"/>
      <c r="O141" s="323"/>
      <c r="P141" s="301"/>
      <c r="Q141" s="23"/>
      <c r="R141" s="23"/>
      <c r="S141" s="41"/>
      <c r="T141" s="41"/>
      <c r="U141" s="324"/>
      <c r="V141" s="41"/>
      <c r="W141" s="41"/>
      <c r="X141" s="324"/>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325"/>
      <c r="BN141" s="325"/>
      <c r="BO141" s="325"/>
      <c r="BP141" s="325"/>
      <c r="BQ141" s="325"/>
      <c r="BR141" s="325"/>
      <c r="BS141" s="325"/>
      <c r="BT141" s="325"/>
      <c r="BU141" s="41"/>
      <c r="BV141" s="41"/>
      <c r="BW141" s="41"/>
      <c r="BX141" s="41"/>
      <c r="BY141" s="41"/>
      <c r="BZ141" s="41"/>
      <c r="CA141" s="41"/>
      <c r="CB141" s="41"/>
      <c r="CC141" s="41"/>
      <c r="CD141" s="41"/>
      <c r="CE141" s="41"/>
      <c r="CF141" s="41"/>
      <c r="CG141" s="41"/>
    </row>
    <row r="142" spans="1:85" ht="12.75" customHeight="1" thickBot="1" x14ac:dyDescent="0.3">
      <c r="A142" s="326"/>
      <c r="B142" s="22"/>
      <c r="C142" s="22"/>
      <c r="D142" s="327"/>
      <c r="E142" s="328"/>
      <c r="F142" s="22"/>
      <c r="G142" s="1"/>
      <c r="H142" s="1"/>
      <c r="I142" s="1"/>
      <c r="J142" s="1"/>
      <c r="K142" s="22"/>
      <c r="L142" s="1"/>
      <c r="M142" s="1"/>
      <c r="N142" s="1"/>
      <c r="O142" s="323"/>
      <c r="P142" s="301"/>
      <c r="Q142" s="23"/>
      <c r="R142" s="23"/>
      <c r="S142" s="2"/>
      <c r="T142" s="20" t="str">
        <f>IF(ISBLANK(E143),"",MATCH(E143,CNTR_SourceStreamNames,0))</f>
        <v/>
      </c>
      <c r="U142" s="329" t="str">
        <f>IF(ISBLANK(E143),"",INDEX('B_Polttoainevirtojen tiedot'!$D$67:$D$91,MATCH(E143,CNTR_SourceStreamNames,0)))</f>
        <v/>
      </c>
      <c r="V142" s="60"/>
      <c r="W142" s="37"/>
      <c r="X142" s="37"/>
      <c r="Y142" s="37"/>
      <c r="Z142" s="41"/>
      <c r="AA142" s="41"/>
      <c r="AB142" s="41"/>
      <c r="AC142" s="41"/>
      <c r="AD142" s="41"/>
      <c r="AE142" s="41"/>
      <c r="AF142" s="41"/>
      <c r="AG142" s="41"/>
      <c r="AH142" s="41"/>
      <c r="AI142" s="41"/>
      <c r="AJ142" s="41"/>
      <c r="AK142" s="23"/>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30" t="s">
        <v>94</v>
      </c>
    </row>
    <row r="143" spans="1:85" ht="15" customHeight="1" thickBot="1" x14ac:dyDescent="0.3">
      <c r="A143" s="331">
        <f>C143</f>
        <v>5</v>
      </c>
      <c r="B143" s="21"/>
      <c r="C143" s="332">
        <f>C119+1</f>
        <v>5</v>
      </c>
      <c r="D143" s="21"/>
      <c r="E143" s="1117"/>
      <c r="F143" s="1118"/>
      <c r="G143" s="1118"/>
      <c r="H143" s="1118"/>
      <c r="I143" s="1118"/>
      <c r="J143" s="1119"/>
      <c r="K143" s="1138" t="str">
        <f>IF(INDEX('B_Polttoainevirtojen tiedot'!$K$100:$K$124,MATCH(U142,'B_Polttoainevirtojen tiedot'!$D$100:$D$124,0))&gt;0,INDEX('B_Polttoainevirtojen tiedot'!$K$100:$K$124,MATCH(U142,'B_Polttoainevirtojen tiedot'!$D$100:$D$124,0)),"")</f>
        <v/>
      </c>
      <c r="L143" s="1139"/>
      <c r="M143" s="328" t="str">
        <f>Translations!$B$374</f>
        <v>CO2 fossiilinen:</v>
      </c>
      <c r="N143" s="401" t="str">
        <f>IF(E144="","",BG149)</f>
        <v/>
      </c>
      <c r="O143" s="333" t="str">
        <f>EUconst_tCO2</f>
        <v>tCO2</v>
      </c>
      <c r="P143" s="610" t="str">
        <f>IF(AND(E143&lt;&gt;"",COUNTIF(P144:$P$811,"PRINT")=0),"PRINT","")</f>
        <v/>
      </c>
      <c r="Q143" s="335" t="str">
        <f>EUconst_SumCO2</f>
        <v>SUM_CO2</v>
      </c>
      <c r="R143" s="23"/>
      <c r="S143" s="2"/>
      <c r="T143" s="2"/>
      <c r="U143" s="2"/>
      <c r="V143" s="60"/>
      <c r="W143" s="37"/>
      <c r="X143" s="41"/>
      <c r="Y143" s="41"/>
      <c r="Z143" s="41"/>
      <c r="AA143" s="41"/>
      <c r="AB143" s="41"/>
      <c r="AC143" s="41"/>
      <c r="AD143" s="41"/>
      <c r="AE143" s="41"/>
      <c r="AF143" s="41"/>
      <c r="AG143" s="41"/>
      <c r="AH143" s="41"/>
      <c r="AI143" s="337"/>
      <c r="AJ143" s="337"/>
      <c r="AK143" s="337"/>
      <c r="AL143" s="337"/>
      <c r="AM143" s="337"/>
      <c r="AN143" s="337"/>
      <c r="AO143" s="337"/>
      <c r="AP143" s="337"/>
      <c r="AQ143" s="337"/>
      <c r="AR143" s="337"/>
      <c r="AS143" s="337"/>
      <c r="AT143" s="337"/>
      <c r="AU143" s="337"/>
      <c r="AV143" s="337"/>
      <c r="AW143" s="337"/>
      <c r="AX143" s="337"/>
      <c r="AY143" s="337"/>
      <c r="AZ143" s="337"/>
      <c r="BA143" s="337"/>
      <c r="BB143" s="337"/>
      <c r="BC143" s="337"/>
      <c r="BD143" s="337"/>
      <c r="BE143" s="337"/>
      <c r="BF143" s="337"/>
      <c r="BG143" s="337"/>
      <c r="BH143" s="337"/>
      <c r="BI143" s="483" t="str">
        <f>IF(E143="","",E143)</f>
        <v/>
      </c>
      <c r="BJ143" s="338" t="str">
        <f>IF(F149="","",F149)</f>
        <v/>
      </c>
      <c r="BK143" s="485">
        <f>AV149</f>
        <v>0</v>
      </c>
      <c r="BL143" s="485">
        <f>IF(BK143="","",BK143*(1-BP143))</f>
        <v>0</v>
      </c>
      <c r="BM143" s="338" t="str">
        <f>AJ149</f>
        <v/>
      </c>
      <c r="BN143" s="338" t="str">
        <f>IF(F156="","",F156)</f>
        <v/>
      </c>
      <c r="BO143" s="483" t="str">
        <f>IF(G156="","",G156)</f>
        <v/>
      </c>
      <c r="BP143" s="484">
        <f>AV156</f>
        <v>0</v>
      </c>
      <c r="BQ143" s="338" t="str">
        <f>IF(F152="","",F152)</f>
        <v/>
      </c>
      <c r="BR143" s="484">
        <f>AV152</f>
        <v>0</v>
      </c>
      <c r="BS143" s="484" t="str">
        <f>AJ152</f>
        <v/>
      </c>
      <c r="BT143" s="338" t="str">
        <f>IF(F151="","",F151)</f>
        <v/>
      </c>
      <c r="BU143" s="484">
        <f>IF(F151=EUconst_NA,"",AV151)</f>
        <v>0</v>
      </c>
      <c r="BV143" s="484" t="str">
        <f>AJ151</f>
        <v/>
      </c>
      <c r="BW143" s="338" t="str">
        <f>IF(F153="","",F153)</f>
        <v/>
      </c>
      <c r="BX143" s="484">
        <f>AV153</f>
        <v>0</v>
      </c>
      <c r="BY143" s="338" t="str">
        <f>IF(F154="","",F154)</f>
        <v/>
      </c>
      <c r="BZ143" s="484">
        <f>AV154</f>
        <v>0</v>
      </c>
      <c r="CA143" s="485" t="str">
        <f>N143</f>
        <v/>
      </c>
      <c r="CB143" s="485" t="str">
        <f>N144</f>
        <v/>
      </c>
      <c r="CC143" s="485" t="str">
        <f>R146</f>
        <v/>
      </c>
      <c r="CD143" s="485" t="str">
        <f>R148</f>
        <v/>
      </c>
      <c r="CE143" s="485" t="str">
        <f>R149</f>
        <v/>
      </c>
      <c r="CF143" s="37"/>
      <c r="CG143" s="339" t="b">
        <v>0</v>
      </c>
    </row>
    <row r="144" spans="1:85" ht="15" customHeight="1" thickBot="1" x14ac:dyDescent="0.3">
      <c r="A144" s="318"/>
      <c r="B144" s="21"/>
      <c r="C144" s="21"/>
      <c r="D144" s="21"/>
      <c r="E144" s="1127" t="str">
        <f>IF(ISBLANK(E143),"",IF(INDEX('B_Polttoainevirtojen tiedot'!$E$67:$E$91,MATCH(U142,'B_Polttoainevirtojen tiedot'!$D$67:$D$91,0))&gt;0,INDEX('B_Polttoainevirtojen tiedot'!$E$67:$E$91,MATCH(U142,'B_Polttoainevirtojen tiedot'!$D$67:$D$91,0)),""))</f>
        <v/>
      </c>
      <c r="F144" s="1128"/>
      <c r="G144" s="1128"/>
      <c r="H144" s="1128"/>
      <c r="I144" s="1128"/>
      <c r="J144" s="1129"/>
      <c r="K144" s="1138" t="str">
        <f>IF(INDEX('B_Polttoainevirtojen tiedot'!$M$100:$M$124,MATCH(U142,'B_Polttoainevirtojen tiedot'!$D$100:$D$124,0))&gt;0,INDEX('B_Polttoainevirtojen tiedot'!$M$100:$M$124,MATCH(U142,'B_Polttoainevirtojen tiedot'!$D$100:$D$124,0)),"")</f>
        <v/>
      </c>
      <c r="L144" s="1139"/>
      <c r="M144" s="340" t="str">
        <f>Translations!$B$375</f>
        <v>CO2 bio:</v>
      </c>
      <c r="N144" s="482" t="str">
        <f>IF(E144="","",BG151)</f>
        <v/>
      </c>
      <c r="O144" s="341" t="str">
        <f>EUconst_tCO2</f>
        <v>tCO2</v>
      </c>
      <c r="P144" s="301"/>
      <c r="Q144" s="335" t="str">
        <f>EUconst_SumBioCO2</f>
        <v>SUM_bioCO2</v>
      </c>
      <c r="R144" s="23"/>
      <c r="S144" s="2"/>
      <c r="T144" s="2"/>
      <c r="U144" s="2"/>
      <c r="V144" s="60"/>
      <c r="W144" s="37"/>
      <c r="X144" s="41"/>
      <c r="Y144" s="20" t="str">
        <f>Translations!$B$143</f>
        <v>Määrittämistasot</v>
      </c>
      <c r="Z144" s="325"/>
      <c r="AA144" s="325"/>
      <c r="AB144" s="325"/>
      <c r="AC144" s="325"/>
      <c r="AD144" s="325"/>
      <c r="AE144" s="20" t="s">
        <v>95</v>
      </c>
      <c r="AF144" s="41"/>
      <c r="AG144" s="342"/>
      <c r="AH144" s="325"/>
      <c r="AI144" s="325"/>
      <c r="AJ144" s="342"/>
      <c r="AK144" s="342"/>
      <c r="AL144" s="337"/>
      <c r="AM144" s="337"/>
      <c r="AN144" s="337"/>
      <c r="AO144" s="337"/>
      <c r="AP144" s="337"/>
      <c r="AQ144" s="20" t="s">
        <v>96</v>
      </c>
      <c r="AR144" s="343"/>
      <c r="AS144" s="343"/>
      <c r="AT144" s="325"/>
      <c r="AU144" s="325"/>
      <c r="AV144" s="325"/>
      <c r="AW144" s="325"/>
      <c r="AX144" s="325"/>
      <c r="AY144" s="325"/>
      <c r="AZ144" s="20" t="s">
        <v>97</v>
      </c>
      <c r="BA144" s="325"/>
      <c r="BB144" s="325"/>
      <c r="BC144" s="325"/>
      <c r="BD144" s="325"/>
      <c r="BE144" s="325"/>
      <c r="BF144" s="20" t="s">
        <v>98</v>
      </c>
      <c r="BG144" s="325"/>
      <c r="BH144" s="325"/>
      <c r="BI144" s="20" t="s">
        <v>99</v>
      </c>
      <c r="BJ144" s="338" t="str">
        <f>Translations!$B$376</f>
        <v>RFA-määrittämistaso</v>
      </c>
      <c r="BK144" s="338" t="str">
        <f>Translations!$B$377</f>
        <v>RFA</v>
      </c>
      <c r="BL144" s="338" t="str">
        <f>Translations!$B$378</f>
        <v>RFA (SF:n jälkeen)</v>
      </c>
      <c r="BM144" s="338" t="str">
        <f>Translations!$B$379</f>
        <v>RFA-yksikkö</v>
      </c>
      <c r="BN144" s="338" t="str">
        <f>Translations!$B$380</f>
        <v>SF-määrittämistaso</v>
      </c>
      <c r="BO144" s="338" t="str">
        <f>Translations!$B$380</f>
        <v>SF-määrittämistaso</v>
      </c>
      <c r="BP144" s="338" t="str">
        <f>Translations!$B$381</f>
        <v>SF</v>
      </c>
      <c r="BQ144" s="338" t="str">
        <f>Translations!$B$382</f>
        <v>EF-määrittämistaso</v>
      </c>
      <c r="BR144" s="338" t="str">
        <f>Translations!$B$383</f>
        <v>EF</v>
      </c>
      <c r="BS144" s="338" t="str">
        <f>Translations!$B$384</f>
        <v>EF-yksikkö</v>
      </c>
      <c r="BT144" s="338" t="str">
        <f>Translations!$B$385</f>
        <v>UCF-määrittämistaso</v>
      </c>
      <c r="BU144" s="338" t="str">
        <f>Translations!$B$386</f>
        <v>UCF</v>
      </c>
      <c r="BV144" s="338" t="str">
        <f>Translations!$B$387</f>
        <v>UCF-yksikkö</v>
      </c>
      <c r="BW144" s="338" t="str">
        <f>Translations!$B$388</f>
        <v>Bio-määrittämistaso</v>
      </c>
      <c r="BX144" s="338" t="s">
        <v>100</v>
      </c>
      <c r="BY144" s="338" t="str">
        <f>Translations!$B$389</f>
        <v>NonSustBio-määrittämistaso</v>
      </c>
      <c r="BZ144" s="338" t="s">
        <v>101</v>
      </c>
      <c r="CA144" s="338" t="str">
        <f>Translations!$B$390</f>
        <v>CO2 fossil</v>
      </c>
      <c r="CB144" s="338" t="str">
        <f>Translations!$B$391</f>
        <v>CO2 bio</v>
      </c>
      <c r="CC144" s="338" t="str">
        <f>Translations!$B$392</f>
        <v>CO2 non-sust</v>
      </c>
      <c r="CD144" s="338" t="s">
        <v>102</v>
      </c>
      <c r="CE144" s="338" t="s">
        <v>103</v>
      </c>
      <c r="CF144" s="325"/>
      <c r="CG144" s="325"/>
    </row>
    <row r="145" spans="1:85" ht="5.15" customHeight="1" thickBot="1" x14ac:dyDescent="0.3">
      <c r="A145" s="318"/>
      <c r="B145" s="21"/>
      <c r="C145" s="21"/>
      <c r="D145" s="21"/>
      <c r="E145" s="21"/>
      <c r="F145" s="21"/>
      <c r="G145" s="21"/>
      <c r="H145" s="22"/>
      <c r="I145" s="22"/>
      <c r="J145" s="22"/>
      <c r="K145" s="22"/>
      <c r="L145" s="22"/>
      <c r="M145" s="22"/>
      <c r="N145" s="22"/>
      <c r="O145" s="323"/>
      <c r="P145" s="301"/>
      <c r="Q145" s="23"/>
      <c r="R145" s="23"/>
      <c r="S145" s="2"/>
      <c r="T145" s="2"/>
      <c r="U145" s="2"/>
      <c r="V145" s="60"/>
      <c r="W145" s="325"/>
      <c r="X145" s="325"/>
      <c r="Y145" s="23"/>
      <c r="Z145" s="325"/>
      <c r="AA145" s="325"/>
      <c r="AB145" s="325"/>
      <c r="AC145" s="325"/>
      <c r="AD145" s="325"/>
      <c r="AE145" s="325"/>
      <c r="AF145" s="41"/>
      <c r="AG145" s="325"/>
      <c r="AH145" s="325"/>
      <c r="AI145" s="325"/>
      <c r="AJ145" s="342"/>
      <c r="AK145" s="342"/>
      <c r="AL145" s="337"/>
      <c r="AM145" s="337"/>
      <c r="AN145" s="337"/>
      <c r="AO145" s="337"/>
      <c r="AP145" s="337"/>
      <c r="AQ145" s="325"/>
      <c r="AR145" s="325"/>
      <c r="AS145" s="325"/>
      <c r="AT145" s="325"/>
      <c r="AU145" s="325"/>
      <c r="AV145" s="325"/>
      <c r="AW145" s="325"/>
      <c r="AX145" s="325"/>
      <c r="AY145" s="325"/>
      <c r="AZ145" s="325"/>
      <c r="BA145" s="325"/>
      <c r="BB145" s="325"/>
      <c r="BC145" s="325"/>
      <c r="BD145" s="325"/>
      <c r="BE145" s="325"/>
      <c r="BF145" s="325"/>
      <c r="BG145" s="325"/>
      <c r="BH145" s="325"/>
      <c r="BI145" s="325"/>
      <c r="BJ145" s="325"/>
      <c r="BK145" s="325"/>
      <c r="BL145" s="325"/>
      <c r="BM145" s="325"/>
      <c r="BN145" s="325"/>
      <c r="BO145" s="325"/>
      <c r="BP145" s="325"/>
      <c r="BQ145" s="325"/>
      <c r="BR145" s="325"/>
      <c r="BS145" s="325"/>
      <c r="BT145" s="325"/>
      <c r="BU145" s="325"/>
      <c r="BV145" s="325"/>
      <c r="BW145" s="325"/>
      <c r="BX145" s="325"/>
      <c r="BY145" s="325"/>
      <c r="BZ145" s="325"/>
      <c r="CA145" s="325"/>
      <c r="CB145" s="325"/>
      <c r="CC145" s="325"/>
      <c r="CD145" s="325"/>
      <c r="CE145" s="325"/>
      <c r="CF145" s="325"/>
      <c r="CG145" s="325"/>
    </row>
    <row r="146" spans="1:85" ht="12.75" customHeight="1" thickBot="1" x14ac:dyDescent="0.3">
      <c r="A146" s="318"/>
      <c r="B146" s="21"/>
      <c r="C146" s="21"/>
      <c r="D146" s="21"/>
      <c r="E146" s="1140" t="str">
        <f>IF(E143="","",HYPERLINK("#JUMP_E_Top",EUconst_FurtherGuidancePoint1))</f>
        <v/>
      </c>
      <c r="F146" s="1140"/>
      <c r="G146" s="1140"/>
      <c r="H146" s="1140"/>
      <c r="I146" s="1140"/>
      <c r="J146" s="1140"/>
      <c r="K146" s="1140"/>
      <c r="L146" s="1140"/>
      <c r="M146" s="1140"/>
      <c r="N146" s="22"/>
      <c r="O146" s="323"/>
      <c r="P146" s="301"/>
      <c r="Q146" s="335" t="str">
        <f>EUconst_SumNonSustBioCO2</f>
        <v>SUM_bioNonSustCO2</v>
      </c>
      <c r="R146" s="500" t="str">
        <f>IF(E144="","",BG152)</f>
        <v/>
      </c>
      <c r="S146" s="2"/>
      <c r="T146" s="2"/>
      <c r="U146" s="2"/>
      <c r="V146" s="325"/>
      <c r="W146" s="325"/>
      <c r="X146" s="325"/>
      <c r="Y146" s="41"/>
      <c r="Z146" s="325"/>
      <c r="AA146" s="325"/>
      <c r="AB146" s="325"/>
      <c r="AC146" s="325"/>
      <c r="AD146" s="325"/>
      <c r="AE146" s="325"/>
      <c r="AF146" s="41"/>
      <c r="AG146" s="325"/>
      <c r="AH146" s="325"/>
      <c r="AI146" s="325"/>
      <c r="AJ146" s="342"/>
      <c r="AK146" s="342"/>
      <c r="AL146" s="337"/>
      <c r="AM146" s="337"/>
      <c r="AN146" s="337"/>
      <c r="AO146" s="337"/>
      <c r="AP146" s="337"/>
      <c r="AQ146" s="325"/>
      <c r="AR146" s="325"/>
      <c r="AS146" s="325"/>
      <c r="AT146" s="325"/>
      <c r="AU146" s="325"/>
      <c r="AV146" s="325"/>
      <c r="AW146" s="325"/>
      <c r="AX146" s="325"/>
      <c r="AY146" s="325"/>
      <c r="AZ146" s="325"/>
      <c r="BA146" s="325"/>
      <c r="BB146" s="325"/>
      <c r="BC146" s="325"/>
      <c r="BD146" s="325"/>
      <c r="BE146" s="325"/>
      <c r="BF146" s="325"/>
      <c r="BG146" s="325"/>
      <c r="BH146" s="325"/>
      <c r="BI146" s="20" t="s">
        <v>104</v>
      </c>
      <c r="BJ146" s="343"/>
      <c r="BK146" s="483" t="str">
        <f>IF(G160="","",G160)</f>
        <v/>
      </c>
      <c r="BL146" s="483" t="str">
        <f>IF(I160="","",I160)</f>
        <v/>
      </c>
      <c r="BM146" s="483" t="str">
        <f>IF(K160="","",K160)</f>
        <v/>
      </c>
      <c r="BN146" s="325"/>
      <c r="BO146" s="325"/>
      <c r="BP146" s="325"/>
      <c r="BQ146" s="325"/>
      <c r="BR146" s="325"/>
      <c r="BS146" s="325"/>
      <c r="BT146" s="330"/>
      <c r="BU146" s="325"/>
      <c r="BV146" s="325"/>
      <c r="BW146" s="325"/>
      <c r="BX146" s="325"/>
      <c r="BY146" s="325"/>
      <c r="BZ146" s="325"/>
      <c r="CA146" s="325"/>
      <c r="CB146" s="325"/>
      <c r="CC146" s="325"/>
      <c r="CD146" s="325"/>
      <c r="CE146" s="325"/>
      <c r="CF146" s="325"/>
      <c r="CG146" s="325"/>
    </row>
    <row r="147" spans="1:85" ht="5.15" customHeight="1" thickBot="1" x14ac:dyDescent="0.3">
      <c r="A147" s="318"/>
      <c r="B147" s="21"/>
      <c r="C147" s="21"/>
      <c r="D147" s="21"/>
      <c r="E147" s="21"/>
      <c r="F147" s="21"/>
      <c r="G147" s="21"/>
      <c r="H147" s="22"/>
      <c r="I147" s="22"/>
      <c r="J147" s="22"/>
      <c r="K147" s="22"/>
      <c r="L147" s="22"/>
      <c r="M147" s="22"/>
      <c r="N147" s="22"/>
      <c r="O147" s="323"/>
      <c r="P147" s="259"/>
      <c r="Q147" s="2"/>
      <c r="R147" s="259"/>
      <c r="S147" s="2"/>
      <c r="T147" s="2"/>
      <c r="U147" s="2"/>
      <c r="V147" s="325"/>
      <c r="W147" s="325"/>
      <c r="X147" s="325"/>
      <c r="Y147" s="23"/>
      <c r="Z147" s="325"/>
      <c r="AA147" s="325"/>
      <c r="AB147" s="325"/>
      <c r="AC147" s="325"/>
      <c r="AD147" s="325"/>
      <c r="AE147" s="325"/>
      <c r="AF147" s="41"/>
      <c r="AG147" s="325"/>
      <c r="AH147" s="325"/>
      <c r="AI147" s="325"/>
      <c r="AJ147" s="342"/>
      <c r="AK147" s="342"/>
      <c r="AL147" s="337"/>
      <c r="AM147" s="337"/>
      <c r="AN147" s="337"/>
      <c r="AO147" s="337"/>
      <c r="AP147" s="337"/>
      <c r="AQ147" s="325"/>
      <c r="AR147" s="325"/>
      <c r="AS147" s="325"/>
      <c r="AT147" s="325"/>
      <c r="AU147" s="325"/>
      <c r="AV147" s="325"/>
      <c r="AW147" s="325"/>
      <c r="AX147" s="325"/>
      <c r="AY147" s="325"/>
      <c r="AZ147" s="325"/>
      <c r="BA147" s="325"/>
      <c r="BB147" s="325"/>
      <c r="BC147" s="325"/>
      <c r="BD147" s="325"/>
      <c r="BE147" s="325"/>
      <c r="BF147" s="325"/>
      <c r="BG147" s="325"/>
      <c r="BH147" s="325"/>
      <c r="BI147" s="325"/>
      <c r="BJ147" s="325"/>
      <c r="BK147" s="325"/>
      <c r="BL147" s="325"/>
      <c r="BM147" s="325"/>
      <c r="BN147" s="325"/>
      <c r="BO147" s="325"/>
      <c r="BP147" s="325"/>
      <c r="BQ147" s="325"/>
      <c r="BR147" s="325"/>
      <c r="BS147" s="325"/>
      <c r="BT147" s="325"/>
      <c r="BU147" s="325"/>
      <c r="BV147" s="325"/>
      <c r="BW147" s="325"/>
      <c r="BX147" s="325"/>
      <c r="BY147" s="325"/>
      <c r="BZ147" s="325"/>
      <c r="CA147" s="325"/>
      <c r="CB147" s="325"/>
      <c r="CC147" s="325"/>
      <c r="CD147" s="325"/>
      <c r="CE147" s="325"/>
      <c r="CF147" s="325"/>
      <c r="CG147" s="325"/>
    </row>
    <row r="148" spans="1:85" ht="12.75" customHeight="1" thickBot="1" x14ac:dyDescent="0.3">
      <c r="A148" s="318"/>
      <c r="B148" s="21"/>
      <c r="C148" s="21"/>
      <c r="D148" s="21"/>
      <c r="E148" s="21"/>
      <c r="F148" s="347" t="str">
        <f>Translations!$B$127</f>
        <v>Määrittämistaso</v>
      </c>
      <c r="G148" s="1141" t="str">
        <f>Translations!$B$393</f>
        <v>määrittämistason kuvaus</v>
      </c>
      <c r="H148" s="1141"/>
      <c r="I148" s="1142" t="str">
        <f>Translations!$B$394</f>
        <v>Yksikkö</v>
      </c>
      <c r="J148" s="1142"/>
      <c r="K148" s="1142" t="str">
        <f>Translations!$B$395</f>
        <v>Arvo</v>
      </c>
      <c r="L148" s="1142"/>
      <c r="M148" s="327" t="str">
        <f>Translations!$B$396</f>
        <v>virhe</v>
      </c>
      <c r="N148" s="22"/>
      <c r="O148" s="323"/>
      <c r="P148" s="611"/>
      <c r="Q148" s="335" t="str">
        <f>EUconst_SumEnergyIN</f>
        <v>SUM_EnergyIN</v>
      </c>
      <c r="R148" s="501" t="str">
        <f>IF(E144="","",BG153)</f>
        <v/>
      </c>
      <c r="S148" s="325"/>
      <c r="T148" s="325"/>
      <c r="U148" s="325"/>
      <c r="V148" s="336" t="s">
        <v>105</v>
      </c>
      <c r="W148" s="325"/>
      <c r="X148" s="325"/>
      <c r="Y148" s="23" t="s">
        <v>106</v>
      </c>
      <c r="Z148" s="23" t="s">
        <v>107</v>
      </c>
      <c r="AA148" s="325"/>
      <c r="AB148" s="325"/>
      <c r="AC148" s="343" t="s">
        <v>108</v>
      </c>
      <c r="AD148" s="325"/>
      <c r="AE148" s="325"/>
      <c r="AF148" s="325" t="s">
        <v>109</v>
      </c>
      <c r="AG148" s="325" t="s">
        <v>110</v>
      </c>
      <c r="AH148" s="23" t="s">
        <v>111</v>
      </c>
      <c r="AI148" s="342" t="s">
        <v>112</v>
      </c>
      <c r="AJ148" s="342" t="s">
        <v>113</v>
      </c>
      <c r="AK148" s="348" t="s">
        <v>114</v>
      </c>
      <c r="AL148" s="337"/>
      <c r="AM148" s="337"/>
      <c r="AN148" s="337"/>
      <c r="AO148" s="337"/>
      <c r="AP148" s="337"/>
      <c r="AQ148" s="325"/>
      <c r="AR148" s="325" t="s">
        <v>109</v>
      </c>
      <c r="AS148" s="325" t="s">
        <v>110</v>
      </c>
      <c r="AT148" s="349" t="s">
        <v>115</v>
      </c>
      <c r="AU148" s="342" t="s">
        <v>116</v>
      </c>
      <c r="AV148" s="342" t="s">
        <v>117</v>
      </c>
      <c r="AW148" s="348" t="s">
        <v>114</v>
      </c>
      <c r="AX148" s="348" t="s">
        <v>114</v>
      </c>
      <c r="AY148" s="325"/>
      <c r="AZ148" s="325"/>
      <c r="BA148" s="325"/>
      <c r="BB148" s="325" t="s">
        <v>118</v>
      </c>
      <c r="BC148" s="325"/>
      <c r="BD148" s="325"/>
      <c r="BE148" s="325"/>
      <c r="BF148" s="325"/>
      <c r="BG148" s="330" t="str">
        <f>EUconst_Fuel</f>
        <v>Poltto</v>
      </c>
      <c r="BH148" s="325"/>
      <c r="BI148" s="325"/>
      <c r="BJ148" s="325"/>
      <c r="BK148" s="325"/>
      <c r="BL148" s="325"/>
      <c r="BM148" s="325"/>
      <c r="BN148" s="325"/>
      <c r="BO148" s="325"/>
      <c r="BP148" s="325"/>
      <c r="BQ148" s="325"/>
      <c r="BR148" s="325"/>
      <c r="BS148" s="325"/>
      <c r="BT148" s="325"/>
      <c r="BU148" s="325"/>
      <c r="BV148" s="325"/>
      <c r="BW148" s="325"/>
      <c r="BX148" s="325"/>
      <c r="BY148" s="325"/>
      <c r="BZ148" s="325"/>
      <c r="CA148" s="325"/>
      <c r="CB148" s="325"/>
      <c r="CC148" s="325"/>
      <c r="CD148" s="325"/>
      <c r="CE148" s="325"/>
      <c r="CF148" s="325"/>
      <c r="CG148" s="330" t="s">
        <v>94</v>
      </c>
    </row>
    <row r="149" spans="1:85" ht="12.75" customHeight="1" thickBot="1" x14ac:dyDescent="0.3">
      <c r="A149" s="318"/>
      <c r="B149" s="21"/>
      <c r="C149" s="344"/>
      <c r="D149" s="345" t="str">
        <f>Translations!$B$356</f>
        <v>Polttoaineen määrä:</v>
      </c>
      <c r="E149" s="350"/>
      <c r="F149" s="351"/>
      <c r="G149" s="1120" t="str">
        <f>IF(OR(ISBLANK(F149),F149=EUconst_NoTier),"",IF(Z149=0,EUconst_NA,IF(ISERROR(Z149),"",Z149)))</f>
        <v/>
      </c>
      <c r="H149" s="1122"/>
      <c r="I149" s="352" t="str">
        <f>IF(J149&lt;&gt;"","",AI149)</f>
        <v/>
      </c>
      <c r="J149" s="353"/>
      <c r="K149" s="1143"/>
      <c r="L149" s="1144"/>
      <c r="M149" s="486" t="str">
        <f>IF(AND(E144&lt;&gt;"",OR(F149="",COUNT(K149)=0),Y149&lt;&gt;EUconst_NA),EUconst_ERR_Incomplete,"")</f>
        <v/>
      </c>
      <c r="N149" s="22"/>
      <c r="O149" s="323"/>
      <c r="P149" s="612"/>
      <c r="Q149" s="335" t="str">
        <f>EUconst_SumBioEnergyIN</f>
        <v>SUM_BioEnergyIN</v>
      </c>
      <c r="R149" s="501" t="str">
        <f>IF(E144="","",BG154)</f>
        <v/>
      </c>
      <c r="S149" s="325"/>
      <c r="T149" s="355" t="str">
        <f>EUconst_CNTR_ActivityData&amp;E144</f>
        <v>ActivityData_</v>
      </c>
      <c r="U149" s="23"/>
      <c r="V149" s="355" t="str">
        <f>IF(E143="","",INDEX('B_Polttoainevirtojen tiedot'!$I$67:$I$91,MATCH(U142,'B_Polttoainevirtojen tiedot'!$D$67:$D$91,0)))</f>
        <v/>
      </c>
      <c r="W149" s="342" t="s">
        <v>121</v>
      </c>
      <c r="X149" s="23"/>
      <c r="Y149" s="356" t="str">
        <f>IF(E144="","",INDEX(EUwideConstants!$P$153:$P$180,MATCH(T149,EUwideConstants!$S$153:$S$180,0)))</f>
        <v/>
      </c>
      <c r="Z149" s="357" t="str">
        <f>IF(ISBLANK(F149),"",IF(F149=EUconst_NA,"",INDEX(EUwideConstants!$H:$O,MATCH(T149,EUwideConstants!$S:$S,0),MATCH(F149,CNTR_TierList,0))))</f>
        <v/>
      </c>
      <c r="AA149" s="358" t="s">
        <v>111</v>
      </c>
      <c r="AB149" s="342"/>
      <c r="AC149" s="339" t="b">
        <f>E143&lt;&gt;""</f>
        <v>0</v>
      </c>
      <c r="AD149" s="325"/>
      <c r="AE149" s="359" t="str">
        <f>EUconst_CNTR_ActivityData&amp;EUconst_Unit</f>
        <v>ActivityData_Yksikkö</v>
      </c>
      <c r="AF149" s="360" t="str">
        <f>IF(AC149=TRUE, IF(COUNTIF(MSPara_SourceStreamCategory,V149)=0,"",INDEX(MSPara_CalcFactorsMatrix,MATCH(V149,MSPara_SourceStreamCategory,0),MATCH(AE149&amp;"_"&amp;2,MSPara_CalcFactors,0))),"")</f>
        <v/>
      </c>
      <c r="AG149" s="361" t="str">
        <f>IF(AC149=TRUE, IF(COUNTIF(MSPara_SourceStreamCategory,V149)=0,"",INDEX(MSPara_CalcFactorsMatrix,MATCH(V149,MSPara_SourceStreamCategory,0),MATCH(AE149&amp;"_"&amp;1,MSPara_CalcFactors,0))),"")</f>
        <v/>
      </c>
      <c r="AH149" s="339" t="str">
        <f>IF(OR(AF149="",AF149=EUconst_NA),IF(OR(AG149=EUconst_NA,AG149=""),"",AG149),AF149)</f>
        <v/>
      </c>
      <c r="AI149" s="356" t="str">
        <f>IF(AC149=TRUE,IF(AH149="",EUconst_t,AH149),"")</f>
        <v/>
      </c>
      <c r="AJ149" s="362" t="str">
        <f>IF(J149="",AI149,J149)</f>
        <v/>
      </c>
      <c r="AK149" s="363" t="b">
        <f>AND(E143&lt;&gt;"",J149&lt;&gt;"")</f>
        <v>0</v>
      </c>
      <c r="AL149" s="337"/>
      <c r="AM149" s="404" t="s">
        <v>122</v>
      </c>
      <c r="AN149" s="403" t="str">
        <f>AJ149</f>
        <v/>
      </c>
      <c r="AO149" s="337"/>
      <c r="AP149" s="337"/>
      <c r="AQ149" s="355" t="str">
        <f>EUconst_CNTR_ActivityData&amp;EUconst_Value</f>
        <v>ActivityData_Arvo</v>
      </c>
      <c r="AR149" s="343"/>
      <c r="AS149" s="343"/>
      <c r="AT149" s="339" t="b">
        <f>AND(AND(AH149&lt;&gt;"",AJ149&lt;&gt;""),AJ149=AH149)</f>
        <v>0</v>
      </c>
      <c r="AU149" s="325"/>
      <c r="AV149" s="339">
        <f>IF(Y149=EUconst_NA,0,IF(COUNT(K149:K149)=0,0,IF(K149="",#REF!,K149)))</f>
        <v>0</v>
      </c>
      <c r="AW149" s="346" t="b">
        <f>AND(AC149=TRUE,OR(K149&lt;&gt;"",AU149=""))</f>
        <v>0</v>
      </c>
      <c r="AX149" s="346" t="b">
        <f>AND(AC149=TRUE,NOT(AW149))</f>
        <v>0</v>
      </c>
      <c r="AY149" s="325"/>
      <c r="AZ149" s="325" t="s">
        <v>123</v>
      </c>
      <c r="BA149" s="325" t="s">
        <v>124</v>
      </c>
      <c r="BB149" s="346"/>
      <c r="BC149" s="325" t="s">
        <v>125</v>
      </c>
      <c r="BD149" s="325"/>
      <c r="BE149" s="325"/>
      <c r="BF149" s="400" t="str">
        <f>Translations!$B$390</f>
        <v>CO2 fossil</v>
      </c>
      <c r="BG149" s="495" t="str">
        <f>IF(COUNTIF(AO152:AO153,TRUE)=0,"",AV149*IF(AO152,1,AV151*AN153)*AV152*(1-AV153)*AV156)</f>
        <v/>
      </c>
      <c r="BH149" s="325"/>
      <c r="BI149" s="325"/>
      <c r="BJ149" s="325"/>
      <c r="BK149" s="325"/>
      <c r="BL149" s="325"/>
      <c r="BM149" s="325"/>
      <c r="BN149" s="325"/>
      <c r="BO149" s="325"/>
      <c r="BP149" s="325"/>
      <c r="BQ149" s="325"/>
      <c r="BR149" s="325"/>
      <c r="BS149" s="325"/>
      <c r="BT149" s="325"/>
      <c r="BU149" s="325"/>
      <c r="BV149" s="325"/>
      <c r="BW149" s="325"/>
      <c r="BX149" s="325"/>
      <c r="BY149" s="325"/>
      <c r="BZ149" s="325"/>
      <c r="CA149" s="325"/>
      <c r="CB149" s="325"/>
      <c r="CC149" s="325"/>
      <c r="CD149" s="325"/>
      <c r="CE149" s="325"/>
      <c r="CF149" s="325"/>
      <c r="CG149" s="346" t="b">
        <v>0</v>
      </c>
    </row>
    <row r="150" spans="1:85" ht="5.15" customHeight="1" thickBot="1" x14ac:dyDescent="0.3">
      <c r="A150" s="318"/>
      <c r="B150" s="21"/>
      <c r="C150" s="344"/>
      <c r="D150" s="188"/>
      <c r="E150" s="22"/>
      <c r="F150" s="22"/>
      <c r="G150" s="22"/>
      <c r="H150" s="22" t="str">
        <f>Translations!$B$397</f>
        <v xml:space="preserve"> </v>
      </c>
      <c r="I150" s="364"/>
      <c r="J150" s="364"/>
      <c r="K150" s="22"/>
      <c r="L150" s="22"/>
      <c r="M150" s="487"/>
      <c r="N150" s="22"/>
      <c r="O150" s="323"/>
      <c r="P150" s="301"/>
      <c r="Q150" s="23"/>
      <c r="R150" s="23"/>
      <c r="S150" s="325"/>
      <c r="T150" s="277"/>
      <c r="U150" s="23"/>
      <c r="V150" s="325"/>
      <c r="W150" s="325"/>
      <c r="X150" s="23"/>
      <c r="Y150" s="330"/>
      <c r="Z150" s="325"/>
      <c r="AA150" s="325"/>
      <c r="AB150" s="325"/>
      <c r="AC150" s="325"/>
      <c r="AD150" s="325"/>
      <c r="AE150" s="325"/>
      <c r="AF150" s="325"/>
      <c r="AG150" s="325"/>
      <c r="AH150" s="325"/>
      <c r="AI150" s="325"/>
      <c r="AJ150" s="325"/>
      <c r="AK150" s="325"/>
      <c r="AL150" s="337"/>
      <c r="AM150" s="337"/>
      <c r="AN150" s="337"/>
      <c r="AO150" s="337"/>
      <c r="AP150" s="337"/>
      <c r="AQ150" s="325"/>
      <c r="AR150" s="325"/>
      <c r="AS150" s="325"/>
      <c r="AT150" s="325"/>
      <c r="AU150" s="325"/>
      <c r="AV150" s="325"/>
      <c r="AW150" s="325"/>
      <c r="AX150" s="325"/>
      <c r="AY150" s="325"/>
      <c r="AZ150" s="325"/>
      <c r="BA150" s="325"/>
      <c r="BB150" s="325"/>
      <c r="BC150" s="325"/>
      <c r="BD150" s="325"/>
      <c r="BE150" s="325"/>
      <c r="BF150" s="325"/>
      <c r="BG150" s="496"/>
      <c r="BH150" s="325"/>
      <c r="BI150" s="325"/>
      <c r="BJ150" s="325"/>
      <c r="BK150" s="325"/>
      <c r="BL150" s="325"/>
      <c r="BM150" s="325"/>
      <c r="BN150" s="325"/>
      <c r="BO150" s="325"/>
      <c r="BP150" s="325"/>
      <c r="BQ150" s="325"/>
      <c r="BR150" s="325"/>
      <c r="BS150" s="325"/>
      <c r="BT150" s="325"/>
      <c r="BU150" s="325"/>
      <c r="BV150" s="325"/>
      <c r="BW150" s="325"/>
      <c r="BX150" s="325"/>
      <c r="BY150" s="325"/>
      <c r="BZ150" s="325"/>
      <c r="CA150" s="325"/>
      <c r="CB150" s="325"/>
      <c r="CC150" s="325"/>
      <c r="CD150" s="325"/>
      <c r="CE150" s="325"/>
      <c r="CF150" s="325"/>
      <c r="CG150" s="330"/>
    </row>
    <row r="151" spans="1:85" ht="12.75" customHeight="1" thickBot="1" x14ac:dyDescent="0.3">
      <c r="A151" s="318"/>
      <c r="B151" s="21"/>
      <c r="C151" s="344"/>
      <c r="D151" s="345" t="str">
        <f>Translations!$B$360</f>
        <v>Yksikön muuntokerroin:</v>
      </c>
      <c r="E151" s="350"/>
      <c r="F151" s="443"/>
      <c r="G151" s="1120" t="str">
        <f>IF(OR(ISBLANK(F151),F151=EUconst_NoTier),"",IF(Z151=0,EUconst_NotApplicable,IF(ISERROR(Z151),"",Z151)))</f>
        <v/>
      </c>
      <c r="H151" s="1122"/>
      <c r="I151" s="444" t="str">
        <f>IF(J151&lt;&gt;"","",AI151)</f>
        <v/>
      </c>
      <c r="J151" s="445"/>
      <c r="K151" s="632" t="str">
        <f>IF(L151="",AU151,"")</f>
        <v/>
      </c>
      <c r="L151" s="633"/>
      <c r="M151" s="486" t="str">
        <f>IF(AND(E144&lt;&gt;"",OR(F151="",COUNT(K151:L151)=0),Y151&lt;&gt;EUconst_NA),EUconst_ERR_Incomplete,IF(COUNTIF(BB151:BD151,TRUE)&gt;0,EUconst_ERR_Inconsistent,""))</f>
        <v/>
      </c>
      <c r="N151" s="752"/>
      <c r="O151" s="323"/>
      <c r="P151" s="301"/>
      <c r="Q151" s="23"/>
      <c r="R151" s="23"/>
      <c r="S151" s="325"/>
      <c r="T151" s="365" t="str">
        <f>EUconst_CNTR_UCF&amp;E144</f>
        <v>UCF_</v>
      </c>
      <c r="U151" s="23"/>
      <c r="V151" s="366" t="str">
        <f>V152</f>
        <v/>
      </c>
      <c r="W151" s="325"/>
      <c r="X151" s="23"/>
      <c r="Y151" s="448" t="str">
        <f>IF(E144="","",IF(OR(F151=EUconst_NA,W151=TRUE),EUconst_NA,INDEX(EUwideConstants!$P$153:$P$180,MATCH(T151,EUwideConstants!$S$153:$S$180,0))))</f>
        <v/>
      </c>
      <c r="Z151" s="471" t="str">
        <f>IF(ISBLANK(F151),"",IF(F151=EUconst_NA,"",INDEX(EUwideConstants!$H:$O,MATCH(T151,EUwideConstants!$S:$S,0),MATCH(F151,CNTR_TierList,0))))</f>
        <v/>
      </c>
      <c r="AA151" s="449" t="str">
        <f>IF(COUNTIF(EUconst_DefaultValues,Z151)&gt;0,MATCH(Z151,EUconst_DefaultValues,0),"")</f>
        <v/>
      </c>
      <c r="AB151" s="325"/>
      <c r="AC151" s="367" t="b">
        <f>AND(AC149,Y151&lt;&gt;EUconst_NA)</f>
        <v>0</v>
      </c>
      <c r="AD151" s="325"/>
      <c r="AE151" s="359" t="str">
        <f>EUconst_CNTR_UCF&amp;EUconst_Unit</f>
        <v>UCF_Yksikkö</v>
      </c>
      <c r="AF151" s="368" t="str">
        <f>IF(AC151=TRUE, IF(COUNTIF(MSPara_SourceStreamCategory,V151)=0,"",INDEX(MSPara_CalcFactorsMatrix,MATCH(V151,MSPara_SourceStreamCategory,0),MATCH(AE151&amp;"_"&amp;2,MSPara_CalcFactors,0))),"")</f>
        <v/>
      </c>
      <c r="AG151" s="372" t="str">
        <f>IF(AC151=TRUE, IF(COUNTIF(MSPara_SourceStreamCategory,V151)=0,"",INDEX(MSPara_CalcFactorsMatrix,MATCH(V151,MSPara_SourceStreamCategory,0),MATCH(AE151&amp;"_"&amp;1,MSPara_CalcFactors,0))),"")</f>
        <v/>
      </c>
      <c r="AH151" s="367" t="str">
        <f>IF(AA151="","",INDEX(AF151:AG151,3-AA151))</f>
        <v/>
      </c>
      <c r="AI151" s="367" t="str">
        <f>IF(AC151=TRUE,IF(OR(AH151="",AH151=EUconst_NA),EUconst_GJ&amp;"/"&amp;AJ149,AH151),"")</f>
        <v/>
      </c>
      <c r="AJ151" s="367" t="str">
        <f>IF(J151="",AI151,J151)</f>
        <v/>
      </c>
      <c r="AK151" s="366" t="b">
        <f>AND(E143&lt;&gt;"",J151&lt;&gt;"")</f>
        <v>0</v>
      </c>
      <c r="AL151" s="337"/>
      <c r="AM151" s="404" t="s">
        <v>127</v>
      </c>
      <c r="AN151" s="403" t="str">
        <f>IF(AJ151="",EUconst_NA,IF(AN149=EUconst_TJ,EUconst_TJ,INDEX(EUwideConstants!$C$124:$G$128,MATCH(AN149,RFAUnits,0),MATCH(AJ151,UCFUnits,0))))</f>
        <v>ei sovellettavissa</v>
      </c>
      <c r="AO151" s="337"/>
      <c r="AP151" s="337"/>
      <c r="AQ151" s="454" t="str">
        <f>EUconst_CNTR_UCF&amp;EUconst_Value</f>
        <v>UCF_Arvo</v>
      </c>
      <c r="AR151" s="475" t="str">
        <f>IF(AC151=TRUE,IF(COUNTIF(MSPara_SourceStreamCategory,V151)=0,"",INDEX(MSPara_CalcFactorsMatrix,MATCH(V151,MSPara_SourceStreamCategory,0),MATCH(AQ151&amp;"_"&amp;2,MSPara_CalcFactors,0))),"")</f>
        <v/>
      </c>
      <c r="AS151" s="371" t="str">
        <f>IF(AC151=TRUE,IF(COUNTIF(MSPara_SourceStreamCategory,V151)=0,"",INDEX(MSPara_CalcFactorsMatrix,MATCH(V151,MSPara_SourceStreamCategory,0),MATCH(AQ151&amp;"_"&amp;1,MSPara_CalcFactors,0))),"")</f>
        <v/>
      </c>
      <c r="AT151" s="369" t="b">
        <f>AND(AND(AH151&lt;&gt;"",AJ151&lt;&gt;""),AJ151=AH151)</f>
        <v>0</v>
      </c>
      <c r="AU151" s="381" t="str">
        <f>IF(AND(AA151&lt;&gt;"",AT151=TRUE),IF(OR(INDEX(AR151:AS151,3-AA151)=EUconst_NA,INDEX(AR151:AS151,3-AA151)=0),"",INDEX(AR151:AS151,3-AA151)),"")</f>
        <v/>
      </c>
      <c r="AV151" s="367">
        <f>IF(AC151=TRUE,IF(COUNT(K151:L151)=0,0,IF(L151="",K151,L151)),0)</f>
        <v>0</v>
      </c>
      <c r="AW151" s="366" t="b">
        <f>AND(AC151=TRUE,OR(AND(F151&lt;&gt;"",NOT(ISNUMBER(AA151))),L151&lt;&gt;"",F151="",AU151=""))</f>
        <v>0</v>
      </c>
      <c r="AX151" s="370" t="b">
        <f>AND(AC151=TRUE,NOT(AW151))</f>
        <v>0</v>
      </c>
      <c r="AY151" s="325"/>
      <c r="AZ151" s="373" t="b">
        <f>AND(ISNUMBER(AA151),AU151="")</f>
        <v>0</v>
      </c>
      <c r="BA151" s="399" t="b">
        <f>AND(ISNUMBER(AA151),AU151&lt;&gt;AV151)</f>
        <v>0</v>
      </c>
      <c r="BB151" s="366" t="b">
        <f>AND(E144&lt;&gt;"",F151&lt;&gt;EUconst_NA,AN151=EUconst_NA)</f>
        <v>0</v>
      </c>
      <c r="BC151" s="366" t="b">
        <f>AND(L151&lt;&gt;"",Y151=EUconst_NA)</f>
        <v>0</v>
      </c>
      <c r="BD151" s="325"/>
      <c r="BE151" s="325"/>
      <c r="BF151" s="373" t="s">
        <v>128</v>
      </c>
      <c r="BG151" s="497" t="str">
        <f>IF(COUNTIF(AO152:AO153,TRUE)=0,"",AV149*IF(AO152,1,AV151*AN153)*AV152*AV153*AV156)</f>
        <v/>
      </c>
      <c r="BH151" s="325"/>
      <c r="BI151" s="325"/>
      <c r="BJ151" s="325"/>
      <c r="BK151" s="325"/>
      <c r="BL151" s="325"/>
      <c r="BM151" s="325"/>
      <c r="BN151" s="325"/>
      <c r="BO151" s="325"/>
      <c r="BP151" s="325"/>
      <c r="BQ151" s="325"/>
      <c r="BR151" s="325"/>
      <c r="BS151" s="325"/>
      <c r="BT151" s="325"/>
      <c r="BU151" s="325"/>
      <c r="BV151" s="325"/>
      <c r="BW151" s="325"/>
      <c r="BX151" s="325"/>
      <c r="BY151" s="325"/>
      <c r="BZ151" s="325"/>
      <c r="CA151" s="325"/>
      <c r="CB151" s="325"/>
      <c r="CC151" s="325"/>
      <c r="CD151" s="325"/>
      <c r="CE151" s="325"/>
      <c r="CF151" s="325"/>
      <c r="CG151" s="375" t="b">
        <f>OR(CG149,Y151=EUconst_NA)</f>
        <v>0</v>
      </c>
    </row>
    <row r="152" spans="1:85" ht="12.75" customHeight="1" thickBot="1" x14ac:dyDescent="0.3">
      <c r="A152" s="318"/>
      <c r="B152" s="21"/>
      <c r="C152" s="344"/>
      <c r="D152" s="345" t="str">
        <f>Translations!$B$358</f>
        <v>Päästökerroin (alustava):</v>
      </c>
      <c r="E152" s="350"/>
      <c r="F152" s="624"/>
      <c r="G152" s="1120" t="str">
        <f>IF(OR(ISBLANK(F152),F152=EUconst_NoTier),"",IF(Z152=0,EUconst_NotApplicable,IF(ISERROR(Z152),"",Z152)))</f>
        <v/>
      </c>
      <c r="H152" s="1121"/>
      <c r="I152" s="625" t="str">
        <f>IF(J152&lt;&gt;"","",AI152)</f>
        <v/>
      </c>
      <c r="J152" s="631"/>
      <c r="K152" s="634" t="str">
        <f>IF(L152="",AU152,"")</f>
        <v/>
      </c>
      <c r="L152" s="754"/>
      <c r="M152" s="486" t="str">
        <f>IF(AND(E144&lt;&gt;"",OR(F152="",COUNT(K152:L152)=0),Y152&lt;&gt;EUconst_NA),EUconst_ERR_Incomplete,IF(COUNTIF(BB152:BD152,TRUE)&gt;0,EUconst_ERR_Inconsistent,""))</f>
        <v/>
      </c>
      <c r="N152" s="753"/>
      <c r="O152" s="323"/>
      <c r="P152" s="301"/>
      <c r="Q152" s="23"/>
      <c r="R152" s="23"/>
      <c r="S152" s="325"/>
      <c r="T152" s="374" t="str">
        <f>EUconst_CNTR_EF&amp;E144</f>
        <v>EF_</v>
      </c>
      <c r="U152" s="23"/>
      <c r="V152" s="375" t="str">
        <f>V149</f>
        <v/>
      </c>
      <c r="W152" s="325"/>
      <c r="X152" s="23"/>
      <c r="Y152" s="450" t="str">
        <f>IF(E144="","",IF(OR(F152=EUconst_NA,W152=TRUE),EUconst_NA,INDEX(EUwideConstants!$P$153:$P$180,MATCH(T152,EUwideConstants!$S$153:$S$180,0))))</f>
        <v/>
      </c>
      <c r="Z152" s="472" t="str">
        <f>IF(ISBLANK(F152),"",IF(F152=EUconst_NA,"",INDEX(EUwideConstants!$H:$O,MATCH(T152,EUwideConstants!$S:$S,0),MATCH(F152,CNTR_TierList,0))))</f>
        <v/>
      </c>
      <c r="AA152" s="451" t="str">
        <f>IF(COUNTIF(EUconst_DefaultValues,Z152)&gt;0,MATCH(Z152,EUconst_DefaultValues,0),"")</f>
        <v/>
      </c>
      <c r="AB152" s="325"/>
      <c r="AC152" s="376" t="b">
        <f>AND(AC149,Y152&lt;&gt;EUconst_NA)</f>
        <v>0</v>
      </c>
      <c r="AD152" s="325"/>
      <c r="AE152" s="377" t="str">
        <f>EUconst_CNTR_EF&amp;EUconst_Unit</f>
        <v>EF_Yksikkö</v>
      </c>
      <c r="AF152" s="378" t="str">
        <f>IF(AC152=TRUE, IF(COUNTIF(MSPara_SourceStreamCategory,V152)=0,"",INDEX(MSPara_CalcFactorsMatrix,MATCH(V152,MSPara_SourceStreamCategory,0),MATCH(AE152&amp;"_"&amp;2,MSPara_CalcFactors,0))),"")</f>
        <v/>
      </c>
      <c r="AG152" s="464" t="str">
        <f>IF(AC152=TRUE, IF(COUNTIF(MSPara_SourceStreamCategory,V152)=0,"",INDEX(MSPara_CalcFactorsMatrix,MATCH(V152,MSPara_SourceStreamCategory,0),MATCH(AE152&amp;"_"&amp;1,MSPara_CalcFactors,0))),"")</f>
        <v/>
      </c>
      <c r="AH152" s="376" t="str">
        <f>IF(AA152="","",INDEX(AF152:AG152,3-AA152))</f>
        <v/>
      </c>
      <c r="AI152" s="376" t="str">
        <f>IF(AC152=TRUE,IF(OR(AH152="",AH152=EUconst_NA),EUconst_tCO2&amp;"/"&amp;IF(AN151=EUconst_NA,AN149,IF(AN151=EUconst_GJ,EUconst_TJ,AN151)),AH152),"")</f>
        <v/>
      </c>
      <c r="AJ152" s="376" t="str">
        <f>IF(J152="",AI152,J152)</f>
        <v/>
      </c>
      <c r="AK152" s="375" t="b">
        <f>AND(E144&lt;&gt;"",J152&lt;&gt;"")</f>
        <v>0</v>
      </c>
      <c r="AL152" s="337"/>
      <c r="AM152" s="404" t="s">
        <v>130</v>
      </c>
      <c r="AN152" s="403" t="str">
        <f>IF(COUNTIF(RFAUnits,AN149)=0,EUconst_NA,INDEX(EUwideConstants!$C$139:$H$143,MATCH(AJ152,EFUnits,0),MATCH(AN149,EUwideConstants!$C$138:$H$138,0)))</f>
        <v>ei sovellettavissa</v>
      </c>
      <c r="AO152" s="403" t="b">
        <f>AN152&lt;&gt;EUconst_NA</f>
        <v>0</v>
      </c>
      <c r="AP152" s="337"/>
      <c r="AQ152" s="455" t="str">
        <f>EUconst_CNTR_EF&amp;EUconst_Value</f>
        <v>EF_Arvo</v>
      </c>
      <c r="AR152" s="476" t="str">
        <f>IF(AC152=TRUE,IF(COUNTIF(MSPara_SourceStreamCategory,V152)=0,"",INDEX(MSPara_CalcFactorsMatrix,MATCH(V152,MSPara_SourceStreamCategory,0),MATCH(AQ152&amp;"_"&amp;2,MSPara_CalcFactors,0))),"")</f>
        <v/>
      </c>
      <c r="AS152" s="383" t="str">
        <f>IF(AC152=TRUE,IF(COUNTIF(MSPara_SourceStreamCategory,V152)=0,"",INDEX(MSPara_CalcFactorsMatrix,MATCH(V152,MSPara_SourceStreamCategory,0),MATCH(AQ152&amp;"_"&amp;1,MSPara_CalcFactors,0))),"")</f>
        <v/>
      </c>
      <c r="AT152" s="456" t="b">
        <f>AND(AND(AH152&lt;&gt;"",AJ152&lt;&gt;""),AJ152=AH152)</f>
        <v>0</v>
      </c>
      <c r="AU152" s="334" t="str">
        <f>IF(AND(AA152&lt;&gt;"",AT152=TRUE),IF(OR(INDEX(AR152:AS152,3-AA152)=EUconst_NA,INDEX(AR152:AS152,3-AA152)=0),"",INDEX(AR152:AS152,3-AA152)),"")</f>
        <v/>
      </c>
      <c r="AV152" s="376">
        <f>IF(AC152=TRUE,IF(COUNT(K152:L152)=0,0,IF(L152="",K152,L152)),0)</f>
        <v>0</v>
      </c>
      <c r="AW152" s="375" t="b">
        <f>AND(AC152=TRUE,OR(AND(F152&lt;&gt;"",NOT(ISNUMBER(AA152))),L152&lt;&gt;"",F152="",AU152=""))</f>
        <v>0</v>
      </c>
      <c r="AX152" s="457" t="b">
        <f>AND(AC152=TRUE,NOT(AW152))</f>
        <v>0</v>
      </c>
      <c r="AY152" s="325"/>
      <c r="AZ152" s="379" t="b">
        <f>AND(ISNUMBER(AA152),AU152="")</f>
        <v>0</v>
      </c>
      <c r="BA152" s="380" t="b">
        <f>AND(ISNUMBER(AA152),AU152&lt;&gt;AV152)</f>
        <v>0</v>
      </c>
      <c r="BB152" s="382" t="b">
        <f>AND(E144&lt;&gt;"",COUNTIF(AO152:AO153,TRUE)=0)</f>
        <v>0</v>
      </c>
      <c r="BC152" s="375" t="b">
        <f>AND(L152&lt;&gt;"",Y152=EUconst_NA)</f>
        <v>0</v>
      </c>
      <c r="BD152" s="325"/>
      <c r="BE152" s="325"/>
      <c r="BF152" s="379" t="s">
        <v>131</v>
      </c>
      <c r="BG152" s="498" t="str">
        <f>IF(COUNTIF(AO152:AO153,TRUE)=0,"",AV149*IF(AO152,1,AV151*AN153)*AV152*AV154*AV156)</f>
        <v/>
      </c>
      <c r="BH152" s="325"/>
      <c r="BI152" s="325"/>
      <c r="BJ152" s="325"/>
      <c r="BK152" s="325"/>
      <c r="BL152" s="325"/>
      <c r="BM152" s="325"/>
      <c r="BN152" s="325"/>
      <c r="BO152" s="325"/>
      <c r="BP152" s="325"/>
      <c r="BQ152" s="325"/>
      <c r="BR152" s="325"/>
      <c r="BS152" s="325"/>
      <c r="BT152" s="325"/>
      <c r="BU152" s="325"/>
      <c r="BV152" s="325"/>
      <c r="BW152" s="325"/>
      <c r="BX152" s="325"/>
      <c r="BY152" s="325"/>
      <c r="BZ152" s="325"/>
      <c r="CA152" s="325"/>
      <c r="CB152" s="325"/>
      <c r="CC152" s="325"/>
      <c r="CD152" s="325"/>
      <c r="CE152" s="325"/>
      <c r="CF152" s="325"/>
      <c r="CG152" s="366" t="b">
        <f>OR(CG149,Y152=EUconst_NA)</f>
        <v>0</v>
      </c>
    </row>
    <row r="153" spans="1:85" ht="12.75" customHeight="1" x14ac:dyDescent="0.25">
      <c r="A153" s="318"/>
      <c r="B153" s="21"/>
      <c r="C153" s="344"/>
      <c r="D153" s="345" t="str">
        <f>Translations!$B$362</f>
        <v>Biomassaosuus:</v>
      </c>
      <c r="E153" s="350"/>
      <c r="F153" s="624"/>
      <c r="G153" s="1120" t="str">
        <f>IF(OR(ISBLANK(F153),F153=EUconst_NoTier),"",IF(Z153=0,EUconst_NotApplicable,IF(ISERROR(Z153),"",Z153)))</f>
        <v/>
      </c>
      <c r="H153" s="1122"/>
      <c r="I153" s="626" t="str">
        <f>IF(OR(AC153=FALSE,Y153=EUconst_NA),"","-")</f>
        <v/>
      </c>
      <c r="J153" s="446"/>
      <c r="K153" s="635" t="str">
        <f>IF(L153="",AU153,"")</f>
        <v/>
      </c>
      <c r="L153" s="627"/>
      <c r="M153" s="486" t="str">
        <f>IF(AND(E144&lt;&gt;"",OR(F153="",COUNT(K153:L153)=0),Y153&lt;&gt;EUconst_NA),EUconst_ERR_Incomplete,IF(COUNTIF(BB153:BD153,TRUE)&gt;0,EUconst_ERR_Inconsistent,""))</f>
        <v/>
      </c>
      <c r="O153" s="323"/>
      <c r="P153" s="612"/>
      <c r="Q153" s="354"/>
      <c r="R153" s="354"/>
      <c r="S153" s="325"/>
      <c r="T153" s="374" t="str">
        <f>EUconst_CNTR_BiomassContent&amp;E144</f>
        <v>BioC_</v>
      </c>
      <c r="U153" s="23"/>
      <c r="V153" s="375" t="str">
        <f>V151</f>
        <v/>
      </c>
      <c r="W153" s="366" t="e">
        <f>IF(COUNTIF(MSPara_SourceStreamCategory,V153)=0,"",INDEX(MSPara_IsFossil,MATCH(V153,MSPara_SourceStreamCategory,0)))</f>
        <v>#N/A</v>
      </c>
      <c r="X153" s="23"/>
      <c r="Y153" s="450" t="str">
        <f>IF(E144="","",IF(OR(F153=EUconst_NA,W153=TRUE),EUconst_NA,INDEX(EUwideConstants!$P$153:$P$180,MATCH(T153,EUwideConstants!$S$153:$S$180,0))))</f>
        <v/>
      </c>
      <c r="Z153" s="472" t="str">
        <f>IF(ISBLANK(F153),"",IF(F153=EUconst_NA,"",INDEX(EUwideConstants!$H:$O,MATCH(T153,EUwideConstants!$S:$S,0),MATCH(F153,CNTR_TierList,0))))</f>
        <v/>
      </c>
      <c r="AA153" s="681" t="str">
        <f>IF(F153=1,1,"")</f>
        <v/>
      </c>
      <c r="AB153" s="325"/>
      <c r="AC153" s="376" t="b">
        <f>AND(AC149,Y153&lt;&gt;EUconst_NA)</f>
        <v>0</v>
      </c>
      <c r="AD153" s="325"/>
      <c r="AE153" s="462"/>
      <c r="AF153" s="460"/>
      <c r="AG153" s="465"/>
      <c r="AH153" s="467"/>
      <c r="AI153" s="467"/>
      <c r="AJ153" s="467"/>
      <c r="AK153" s="469"/>
      <c r="AL153" s="337"/>
      <c r="AM153" s="404" t="s">
        <v>132</v>
      </c>
      <c r="AN153" s="403" t="str">
        <f>IF(AN151=EUconst_NA,EUconst_NA,INDEX(EUwideConstants!$C$139:$H$143,MATCH(AJ152,EFUnits,0),MATCH(AN151,EUwideConstants!$C$138:$H$138,0)))</f>
        <v>ei sovellettavissa</v>
      </c>
      <c r="AO153" s="403" t="b">
        <f>AN153&lt;&gt;EUconst_NA</f>
        <v>0</v>
      </c>
      <c r="AP153" s="337"/>
      <c r="AQ153" s="455" t="str">
        <f>EUconst_CNTR_BiomassContent&amp;EUconst_Value</f>
        <v>BioC_Arvo</v>
      </c>
      <c r="AR153" s="462"/>
      <c r="AS153" s="383" t="str">
        <f>IF(AC153=TRUE,IF(COUNTIF(MSPara_SourceStreamCategory,V153)=0,"",INDEX(MSPara_CalcFactorsMatrix,MATCH(V153,MSPara_SourceStreamCategory,0),MATCH(AQ153&amp;"_"&amp;2,MSPara_CalcFactors,0))),"")</f>
        <v/>
      </c>
      <c r="AT153" s="458"/>
      <c r="AU153" s="334" t="str">
        <f>IF(OR(AA153="",AS153=EUconst_NA),"",AS153)</f>
        <v/>
      </c>
      <c r="AV153" s="376">
        <f>IF(AC153=TRUE,IF(COUNT(K153:L153)=0,0,IF(L153="",K153,L153)),0)</f>
        <v>0</v>
      </c>
      <c r="AW153" s="375" t="b">
        <f>AND(AC153=TRUE,OR(AND(F153&lt;&gt;"",NOT(ISNUMBER(AA153))),L153&lt;&gt;"",F153="",AU153=""))</f>
        <v>0</v>
      </c>
      <c r="AX153" s="457" t="b">
        <f>AND(AC153=TRUE,NOT(AW153))</f>
        <v>0</v>
      </c>
      <c r="AY153" s="325"/>
      <c r="AZ153" s="379" t="b">
        <f>AND(ISNUMBER(AA153),AU153="")</f>
        <v>0</v>
      </c>
      <c r="BA153" s="380" t="b">
        <f>AND(ISNUMBER(AA153),AU153&lt;&gt;AV153)</f>
        <v>0</v>
      </c>
      <c r="BB153" s="325"/>
      <c r="BC153" s="375" t="b">
        <f>AND(L153&lt;&gt;"",Y153=EUconst_NA)</f>
        <v>0</v>
      </c>
      <c r="BD153" s="366" t="b">
        <f>OR(AV153&gt;100%,(AV153+AV154)&gt;100%)</f>
        <v>0</v>
      </c>
      <c r="BE153" s="325"/>
      <c r="BF153" s="379" t="s">
        <v>133</v>
      </c>
      <c r="BG153" s="498" t="str">
        <f>IF(AN149=EUconst_TJ,AV149*(1-AV153),IF(AN151=EUconst_GJ,AV149*AV151/1000*(1-AV153),""))</f>
        <v/>
      </c>
      <c r="BH153" s="325"/>
      <c r="BI153" s="325"/>
      <c r="BJ153" s="325"/>
      <c r="BK153" s="325"/>
      <c r="BL153" s="325"/>
      <c r="BM153" s="325"/>
      <c r="BN153" s="325"/>
      <c r="BO153" s="325"/>
      <c r="BP153" s="325"/>
      <c r="BQ153" s="325"/>
      <c r="BR153" s="325"/>
      <c r="BS153" s="325"/>
      <c r="BT153" s="325"/>
      <c r="BU153" s="325"/>
      <c r="BV153" s="325"/>
      <c r="BW153" s="325"/>
      <c r="BX153" s="325"/>
      <c r="BY153" s="325"/>
      <c r="BZ153" s="325"/>
      <c r="CA153" s="325"/>
      <c r="CB153" s="325"/>
      <c r="CC153" s="325"/>
      <c r="CD153" s="325"/>
      <c r="CE153" s="325"/>
      <c r="CF153" s="325"/>
      <c r="CG153" s="375" t="b">
        <f>OR(CG149,Y153=EUconst_NA)</f>
        <v>0</v>
      </c>
    </row>
    <row r="154" spans="1:85" ht="12.75" customHeight="1" thickBot="1" x14ac:dyDescent="0.3">
      <c r="A154" s="318"/>
      <c r="B154" s="21"/>
      <c r="C154" s="344"/>
      <c r="D154" s="345" t="str">
        <f>Translations!$B$368</f>
        <v>Ei kestävä biomassaosuus:</v>
      </c>
      <c r="E154" s="350"/>
      <c r="F154" s="628"/>
      <c r="G154" s="1120" t="str">
        <f>IF(OR(ISBLANK(F154),F154=EUconst_NoTier),"",IF(Z154=0,EUconst_NotApplicable,IF(ISERROR(Z154),"",Z154)))</f>
        <v/>
      </c>
      <c r="H154" s="1122"/>
      <c r="I154" s="629" t="str">
        <f>IF(OR(AC154=FALSE,Y154=EUconst_NA),"","-")</f>
        <v/>
      </c>
      <c r="J154" s="447"/>
      <c r="K154" s="636" t="str">
        <f>IF(L154="",AU154,"")</f>
        <v/>
      </c>
      <c r="L154" s="630"/>
      <c r="M154" s="486" t="str">
        <f>IF(AND(E144&lt;&gt;"",OR(F154="",COUNT(K154:L154)=0),Y154&lt;&gt;EUconst_NA),EUconst_ERR_Incomplete,IF(COUNTIF(BB154:BD154,TRUE)&gt;0,EUconst_ERR_Inconsistent,""))</f>
        <v/>
      </c>
      <c r="N154" s="22"/>
      <c r="O154" s="323"/>
      <c r="P154" s="612"/>
      <c r="Q154" s="354"/>
      <c r="R154" s="354"/>
      <c r="S154" s="325"/>
      <c r="T154" s="384" t="str">
        <f>EUconst_CNTR_BiomassContent&amp;E144</f>
        <v>BioC_</v>
      </c>
      <c r="U154" s="23"/>
      <c r="V154" s="382" t="str">
        <f>V153</f>
        <v/>
      </c>
      <c r="W154" s="382" t="e">
        <f>IF(COUNTIF(MSPara_SourceStreamCategory,V154)=0,"",INDEX(MSPara_IsFossil,MATCH(V154,MSPara_SourceStreamCategory,0)))</f>
        <v>#N/A</v>
      </c>
      <c r="X154" s="23"/>
      <c r="Y154" s="452" t="str">
        <f>IF(E144="","",IF(OR(F154=EUconst_NA,W154=TRUE),EUconst_NA,INDEX(EUwideConstants!$P$153:$P$180,MATCH(T154,EUwideConstants!$S$153:$S$180,0))))</f>
        <v/>
      </c>
      <c r="Z154" s="473" t="str">
        <f>IF(ISBLANK(F154),"",IF(F154=EUconst_NA,"",INDEX(EUwideConstants!$H:$O,MATCH(T154,EUwideConstants!$S:$S,0),MATCH(F154,CNTR_TierList,0))))</f>
        <v/>
      </c>
      <c r="AA154" s="682" t="str">
        <f>IF(F154=1,1,"")</f>
        <v/>
      </c>
      <c r="AB154" s="325"/>
      <c r="AC154" s="453" t="b">
        <f>AND(AC149,Y154&lt;&gt;EUconst_NA)</f>
        <v>0</v>
      </c>
      <c r="AD154" s="325"/>
      <c r="AE154" s="463"/>
      <c r="AF154" s="461"/>
      <c r="AG154" s="466"/>
      <c r="AH154" s="468"/>
      <c r="AI154" s="468"/>
      <c r="AJ154" s="468"/>
      <c r="AK154" s="470"/>
      <c r="AL154" s="337"/>
      <c r="AM154" s="337"/>
      <c r="AN154" s="337"/>
      <c r="AO154" s="337"/>
      <c r="AP154" s="337"/>
      <c r="AQ154" s="474" t="str">
        <f>EUconst_CNTR_BiomassContent&amp;EUconst_Value</f>
        <v>BioC_Arvo</v>
      </c>
      <c r="AR154" s="463"/>
      <c r="AS154" s="385" t="str">
        <f>IF(AC154=TRUE,IF(COUNTIF(MSPara_SourceStreamCategory,V154)=0,"",INDEX(MSPara_CalcFactorsMatrix,MATCH(V154,MSPara_SourceStreamCategory,0),MATCH(AQ154&amp;"_"&amp;2,MSPara_CalcFactors,0))),"")</f>
        <v/>
      </c>
      <c r="AT154" s="459"/>
      <c r="AU154" s="477" t="str">
        <f>IF(OR(AA154="",AS154=EUconst_NA),"",AS154)</f>
        <v/>
      </c>
      <c r="AV154" s="453">
        <f>IF(AC154=TRUE,IF(COUNT(K154:L154)=0,0,IF(L154="",K154,L154)),0)</f>
        <v>0</v>
      </c>
      <c r="AW154" s="382" t="b">
        <f>AND(AC154=TRUE,OR(AND(F154&lt;&gt;"",NOT(ISNUMBER(AA154))),L154&lt;&gt;"",F154="",AU154=""))</f>
        <v>0</v>
      </c>
      <c r="AX154" s="478" t="b">
        <f>AND(AC154=TRUE,NOT(AW154))</f>
        <v>0</v>
      </c>
      <c r="AY154" s="325"/>
      <c r="AZ154" s="386" t="b">
        <f>AND(ISNUMBER(AA154),AU154="")</f>
        <v>0</v>
      </c>
      <c r="BA154" s="387" t="b">
        <f>AND(ISNUMBER(AA154),AU154&lt;&gt;AV154)</f>
        <v>0</v>
      </c>
      <c r="BB154" s="325"/>
      <c r="BC154" s="382" t="b">
        <f>AND(L154&lt;&gt;"",Y154=EUconst_NA)</f>
        <v>0</v>
      </c>
      <c r="BD154" s="382" t="b">
        <f>OR(AV153&gt;100%,(AV153+AV154)&gt;100%)</f>
        <v>0</v>
      </c>
      <c r="BE154" s="325"/>
      <c r="BF154" s="386" t="s">
        <v>134</v>
      </c>
      <c r="BG154" s="499" t="str">
        <f>IF(AN149=EUconst_TJ,AV149*AV153,IF(AN151=EUconst_GJ,AV149*AV151/1000*AV153,""))</f>
        <v/>
      </c>
      <c r="BH154" s="325"/>
      <c r="BI154" s="325"/>
      <c r="BJ154" s="325"/>
      <c r="BK154" s="325"/>
      <c r="BL154" s="325"/>
      <c r="BM154" s="325"/>
      <c r="BN154" s="325"/>
      <c r="BO154" s="325"/>
      <c r="BP154" s="325"/>
      <c r="BQ154" s="325"/>
      <c r="BR154" s="325"/>
      <c r="BS154" s="325"/>
      <c r="BT154" s="325"/>
      <c r="BU154" s="325"/>
      <c r="BV154" s="325"/>
      <c r="BW154" s="325"/>
      <c r="BX154" s="325"/>
      <c r="BY154" s="325"/>
      <c r="BZ154" s="325"/>
      <c r="CA154" s="325"/>
      <c r="CB154" s="325"/>
      <c r="CC154" s="325"/>
      <c r="CD154" s="325"/>
      <c r="CE154" s="325"/>
      <c r="CF154" s="325"/>
      <c r="CG154" s="382" t="b">
        <f>OR(CG149,Y154=EUconst_NA)</f>
        <v>0</v>
      </c>
    </row>
    <row r="155" spans="1:85" ht="5.15" customHeight="1" thickBot="1" x14ac:dyDescent="0.3">
      <c r="A155" s="318"/>
      <c r="B155" s="21"/>
      <c r="C155" s="21"/>
      <c r="D155" s="327"/>
      <c r="E155" s="22"/>
      <c r="F155" s="22"/>
      <c r="G155" s="22"/>
      <c r="H155" s="22"/>
      <c r="I155" s="22"/>
      <c r="J155" s="22"/>
      <c r="K155" s="22"/>
      <c r="L155" s="22"/>
      <c r="M155" s="488"/>
      <c r="N155" s="22"/>
      <c r="O155" s="323"/>
      <c r="P155" s="301"/>
      <c r="Q155" s="23"/>
      <c r="R155" s="23"/>
      <c r="S155" s="325"/>
      <c r="T155" s="325"/>
      <c r="U155" s="325"/>
      <c r="V155" s="325"/>
      <c r="W155" s="325"/>
      <c r="X155" s="325"/>
      <c r="Y155" s="325"/>
      <c r="Z155" s="325"/>
      <c r="AA155" s="325"/>
      <c r="AB155" s="325"/>
      <c r="AC155" s="325"/>
      <c r="AD155" s="325"/>
      <c r="AE155" s="325"/>
      <c r="AF155" s="325"/>
      <c r="AG155" s="325"/>
      <c r="AH155" s="325"/>
      <c r="AI155" s="325"/>
      <c r="AJ155" s="325"/>
      <c r="AK155" s="325"/>
      <c r="AL155" s="325"/>
      <c r="AM155" s="325"/>
      <c r="AN155" s="325"/>
      <c r="AO155" s="325"/>
      <c r="AP155" s="325"/>
      <c r="AQ155" s="325"/>
      <c r="AR155" s="325"/>
      <c r="AS155" s="325"/>
      <c r="AT155" s="325"/>
      <c r="AU155" s="325"/>
      <c r="AV155" s="325"/>
      <c r="AW155" s="325"/>
      <c r="AX155" s="325"/>
      <c r="AY155" s="325"/>
      <c r="AZ155" s="325"/>
      <c r="BA155" s="325"/>
      <c r="BB155" s="325"/>
      <c r="BC155" s="325"/>
      <c r="BD155" s="325"/>
      <c r="BE155" s="325"/>
      <c r="BF155" s="325"/>
      <c r="BG155" s="325"/>
      <c r="BH155" s="325"/>
      <c r="BI155" s="325"/>
      <c r="BJ155" s="325"/>
      <c r="BK155" s="325"/>
      <c r="BL155" s="325"/>
      <c r="BM155" s="325"/>
      <c r="BN155" s="325"/>
      <c r="BO155" s="325"/>
      <c r="BP155" s="325"/>
      <c r="BQ155" s="325"/>
      <c r="BR155" s="325"/>
      <c r="BS155" s="325"/>
      <c r="BT155" s="325"/>
      <c r="BU155" s="325"/>
      <c r="BV155" s="325"/>
      <c r="BW155" s="325"/>
      <c r="BX155" s="325"/>
      <c r="BY155" s="325"/>
      <c r="BZ155" s="325"/>
      <c r="CA155" s="325"/>
      <c r="CB155" s="325"/>
      <c r="CC155" s="325"/>
      <c r="CD155" s="325"/>
      <c r="CE155" s="325"/>
      <c r="CF155" s="325"/>
      <c r="CG155" s="325"/>
    </row>
    <row r="156" spans="1:85" ht="12.75" customHeight="1" thickBot="1" x14ac:dyDescent="0.3">
      <c r="A156" s="318"/>
      <c r="B156" s="21"/>
      <c r="C156" s="344"/>
      <c r="D156" s="345" t="str">
        <f>Translations!$B$398</f>
        <v>Soveltamisalakerroin:</v>
      </c>
      <c r="E156" s="479"/>
      <c r="F156" s="803"/>
      <c r="G156" s="1125"/>
      <c r="H156" s="1126"/>
      <c r="I156" s="492" t="s">
        <v>52</v>
      </c>
      <c r="J156" s="480"/>
      <c r="K156" s="481" t="str">
        <f>IF(L156="",AU156,"")</f>
        <v/>
      </c>
      <c r="L156" s="607"/>
      <c r="M156" s="489" t="str">
        <f>IF(AND(E144&lt;&gt;"",OR(F156="",G156="",COUNT(K156:L156)=0)),EUconst_ERR_Incomplete,IF(COUNTIF(BB156:BD156,TRUE)&gt;0,EUconst_ERR_Inconsistent,""))</f>
        <v/>
      </c>
      <c r="N156" s="22"/>
      <c r="O156" s="323"/>
      <c r="P156" s="301"/>
      <c r="Q156" s="23"/>
      <c r="R156" s="325"/>
      <c r="S156" s="10"/>
      <c r="T156" s="48" t="str">
        <f>EUconst_CNTR_ScopeFactor&amp;E144</f>
        <v>ScopeFactor_</v>
      </c>
      <c r="U156" s="248" t="str">
        <f>IF(F156="","",INDEX(ScopeAddress,MATCH(F156,ScopeTiers,0)))</f>
        <v/>
      </c>
      <c r="V156" s="382" t="str">
        <f>V149</f>
        <v/>
      </c>
      <c r="W156" s="325"/>
      <c r="X156" s="325"/>
      <c r="Y156" s="452" t="str">
        <f>IF(E144="","",IF(F156=EUconst_NA,EUconst_NA,INDEX(EUwideConstants!$P$153:$P$180,MATCH(T156,EUwideConstants!$S$153:$S$180,0))))</f>
        <v/>
      </c>
      <c r="Z156" s="473" t="str">
        <f>IF(ISBLANK(F156),"",IF(F156=EUconst_NA,"",INDEX(EUwideConstants!$H:$O,MATCH(T156,EUwideConstants!$S:$S,0),MATCH(F156,CNTR_TierList,0))))</f>
        <v/>
      </c>
      <c r="AA156" s="339" t="str">
        <f>IF(G156=EUwideConstants!$A$88,1,"")</f>
        <v/>
      </c>
      <c r="AB156" s="325"/>
      <c r="AC156" s="376" t="b">
        <f>AND(AC149,Y156&lt;&gt;EUconst_NA)</f>
        <v>0</v>
      </c>
      <c r="AD156" s="325"/>
      <c r="AE156" s="325"/>
      <c r="AF156" s="325"/>
      <c r="AG156" s="330"/>
      <c r="AH156" s="325"/>
      <c r="AI156" s="325"/>
      <c r="AJ156" s="325"/>
      <c r="AK156" s="325"/>
      <c r="AL156" s="325"/>
      <c r="AM156" s="325"/>
      <c r="AN156" s="325"/>
      <c r="AO156" s="325"/>
      <c r="AP156" s="325"/>
      <c r="AQ156" s="325"/>
      <c r="AR156" s="325"/>
      <c r="AS156" s="338">
        <v>1</v>
      </c>
      <c r="AT156" s="325"/>
      <c r="AU156" s="330" t="str">
        <f>IF(G156=EUwideConstants!$A$88,AS156,"")</f>
        <v/>
      </c>
      <c r="AV156" s="376">
        <f>IF(AC156=TRUE,IF(COUNT(K156:L156)=0,0,IF(L156="",K156,L156)),0)</f>
        <v>0</v>
      </c>
      <c r="AW156" s="375" t="b">
        <f>AND(AC156=TRUE,OR(AND(F156&lt;&gt;"",NOT(ISNUMBER(AA156))),L156&lt;&gt;"",F156="",AU156=""))</f>
        <v>0</v>
      </c>
      <c r="AX156" s="457" t="b">
        <f>AND(AC156=TRUE,NOT(AW156))</f>
        <v>0</v>
      </c>
      <c r="AY156" s="325"/>
      <c r="AZ156" s="379" t="b">
        <f>AND(ISNUMBER(AA156),AU156="")</f>
        <v>0</v>
      </c>
      <c r="BA156" s="380" t="b">
        <f>AND(ISNUMBER(AA156),AU156&lt;&gt;AV156)</f>
        <v>0</v>
      </c>
      <c r="BB156" s="325"/>
      <c r="BC156" s="33" t="b">
        <f>AND(F156&lt;&gt;"",OR(COUNTIF(INDEX(ScopeMethods,F156,),G156)=0,AND(AA156&lt;&gt;"",AU156&lt;&gt;AV156)))</f>
        <v>0</v>
      </c>
      <c r="BD156" s="325"/>
      <c r="BE156" s="325"/>
      <c r="BF156" s="325"/>
      <c r="BG156" s="325"/>
      <c r="BH156" s="325"/>
      <c r="BI156" s="325"/>
      <c r="BJ156" s="325"/>
      <c r="BK156" s="325"/>
      <c r="BL156" s="325"/>
      <c r="BM156" s="325"/>
      <c r="BN156" s="325"/>
      <c r="BO156" s="325"/>
      <c r="BP156" s="325"/>
      <c r="BQ156" s="325"/>
      <c r="BR156" s="325"/>
      <c r="BS156" s="325"/>
      <c r="BT156" s="325"/>
      <c r="BU156" s="325"/>
      <c r="BV156" s="325"/>
      <c r="BW156" s="325"/>
      <c r="BX156" s="325"/>
      <c r="BY156" s="325"/>
      <c r="BZ156" s="325"/>
      <c r="CA156" s="325"/>
      <c r="CB156" s="325"/>
      <c r="CC156" s="325"/>
      <c r="CD156" s="325"/>
      <c r="CE156" s="325"/>
      <c r="CF156" s="325"/>
      <c r="CG156" s="325"/>
    </row>
    <row r="157" spans="1:85" ht="12.75" customHeight="1" x14ac:dyDescent="0.25">
      <c r="A157" s="318"/>
      <c r="B157" s="21"/>
      <c r="C157" s="21"/>
      <c r="D157" s="21"/>
      <c r="E157" s="21"/>
      <c r="F157" s="21"/>
      <c r="G157" s="1130" t="str">
        <f>IF(G156="","",INDEX(ScopeMethodsDetails,MATCH(G156,INDEX(ScopeMethodsDetails,,1),0),2))</f>
        <v/>
      </c>
      <c r="H157" s="1131"/>
      <c r="I157" s="1131"/>
      <c r="J157" s="1131"/>
      <c r="K157" s="1131"/>
      <c r="L157" s="1131"/>
      <c r="M157" s="1132"/>
      <c r="N157" s="22"/>
      <c r="O157" s="323"/>
      <c r="P157" s="301"/>
      <c r="Q157" s="23"/>
      <c r="R157" s="23"/>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25"/>
      <c r="AP157" s="325"/>
      <c r="AQ157" s="325"/>
      <c r="AR157" s="325"/>
      <c r="AS157" s="325"/>
      <c r="AT157" s="325"/>
      <c r="AU157" s="325"/>
      <c r="AV157" s="325"/>
      <c r="AW157" s="325"/>
      <c r="AX157" s="325"/>
      <c r="AY157" s="325"/>
      <c r="AZ157" s="325"/>
      <c r="BA157" s="325"/>
      <c r="BB157" s="325"/>
      <c r="BC157" s="325"/>
      <c r="BD157" s="325"/>
      <c r="BE157" s="325"/>
      <c r="BF157" s="325"/>
      <c r="BG157" s="325"/>
      <c r="BH157" s="325"/>
      <c r="BI157" s="325"/>
      <c r="BJ157" s="325"/>
      <c r="BK157" s="325"/>
      <c r="BL157" s="325"/>
      <c r="BM157" s="325"/>
      <c r="BN157" s="325"/>
      <c r="BO157" s="325"/>
      <c r="BP157" s="325"/>
      <c r="BQ157" s="325"/>
      <c r="BR157" s="325"/>
      <c r="BS157" s="325"/>
      <c r="BT157" s="325"/>
      <c r="BU157" s="325"/>
      <c r="BV157" s="325"/>
      <c r="BW157" s="325"/>
      <c r="BX157" s="325"/>
      <c r="BY157" s="325"/>
      <c r="BZ157" s="325"/>
      <c r="CA157" s="325"/>
      <c r="CB157" s="325"/>
      <c r="CC157" s="325"/>
      <c r="CD157" s="325"/>
      <c r="CE157" s="325"/>
      <c r="CF157" s="325"/>
      <c r="CG157" s="325"/>
    </row>
    <row r="158" spans="1:85" ht="5.15" customHeight="1" x14ac:dyDescent="0.25">
      <c r="A158" s="318"/>
      <c r="C158" s="22"/>
      <c r="D158" s="22"/>
      <c r="E158" s="22"/>
      <c r="F158" s="22"/>
      <c r="G158" s="22"/>
      <c r="H158" s="22"/>
      <c r="I158" s="22"/>
      <c r="J158" s="22"/>
      <c r="K158" s="22"/>
      <c r="L158" s="22"/>
      <c r="O158" s="323"/>
      <c r="P158" s="301"/>
      <c r="Q158" s="23"/>
      <c r="R158" s="23"/>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5"/>
      <c r="AZ158" s="325"/>
      <c r="BA158" s="325"/>
      <c r="BB158" s="325"/>
      <c r="BC158" s="325"/>
      <c r="BD158" s="325"/>
      <c r="BE158" s="325"/>
      <c r="BF158" s="325"/>
      <c r="BG158" s="325"/>
      <c r="BH158" s="325"/>
      <c r="BI158" s="325"/>
      <c r="BJ158" s="325"/>
      <c r="BK158" s="325"/>
      <c r="BL158" s="325"/>
      <c r="BM158" s="325"/>
      <c r="BN158" s="325"/>
      <c r="BO158" s="325"/>
      <c r="BP158" s="325"/>
      <c r="BQ158" s="325"/>
      <c r="BR158" s="325"/>
      <c r="BS158" s="325"/>
      <c r="BT158" s="325"/>
      <c r="BU158" s="325"/>
      <c r="BV158" s="325"/>
      <c r="BW158" s="325"/>
      <c r="BX158" s="325"/>
      <c r="BY158" s="325"/>
      <c r="BZ158" s="325"/>
      <c r="CA158" s="325"/>
      <c r="CB158" s="325"/>
      <c r="CC158" s="325"/>
      <c r="CD158" s="325"/>
      <c r="CE158" s="325"/>
      <c r="CF158" s="325"/>
      <c r="CG158" s="325"/>
    </row>
    <row r="159" spans="1:85" ht="12.75" customHeight="1" x14ac:dyDescent="0.25">
      <c r="A159" s="318"/>
      <c r="C159" s="22"/>
      <c r="D159" s="22"/>
      <c r="E159" s="22"/>
      <c r="F159" s="22"/>
      <c r="G159" s="1133">
        <v>1</v>
      </c>
      <c r="H159" s="1133"/>
      <c r="I159" s="1133">
        <v>2</v>
      </c>
      <c r="J159" s="1133"/>
      <c r="K159" s="1133">
        <v>3</v>
      </c>
      <c r="L159" s="1133"/>
      <c r="O159" s="323"/>
      <c r="P159" s="301"/>
      <c r="Q159" s="23"/>
      <c r="R159" s="23"/>
      <c r="S159" s="325"/>
      <c r="T159" s="325"/>
      <c r="U159" s="325"/>
      <c r="V159" s="325"/>
      <c r="W159" s="325"/>
      <c r="X159" s="325"/>
      <c r="Y159" s="325"/>
      <c r="Z159" s="325"/>
      <c r="AA159" s="325"/>
      <c r="AB159" s="325"/>
      <c r="AC159" s="325"/>
      <c r="AD159" s="325"/>
      <c r="AE159" s="325"/>
      <c r="AF159" s="325"/>
      <c r="AG159" s="325"/>
      <c r="AH159" s="325"/>
      <c r="AI159" s="325"/>
      <c r="AJ159" s="325"/>
      <c r="AK159" s="325"/>
      <c r="AL159" s="325"/>
      <c r="AM159" s="325"/>
      <c r="AN159" s="325"/>
      <c r="AO159" s="325"/>
      <c r="AP159" s="325"/>
      <c r="AQ159" s="325"/>
      <c r="AR159" s="325"/>
      <c r="AS159" s="325"/>
      <c r="AT159" s="325"/>
      <c r="AU159" s="325"/>
      <c r="AV159" s="325"/>
      <c r="AW159" s="325"/>
      <c r="AX159" s="325"/>
      <c r="AY159" s="325"/>
      <c r="AZ159" s="325"/>
      <c r="BA159" s="325"/>
      <c r="BB159" s="325"/>
      <c r="BC159" s="325"/>
      <c r="BD159" s="325"/>
      <c r="BE159" s="325"/>
      <c r="BF159" s="325"/>
      <c r="BG159" s="325"/>
      <c r="BH159" s="325"/>
      <c r="BI159" s="325"/>
      <c r="BJ159" s="325"/>
      <c r="BK159" s="325"/>
      <c r="BL159" s="325"/>
      <c r="BM159" s="325"/>
      <c r="BN159" s="325"/>
      <c r="BO159" s="325"/>
      <c r="BP159" s="325"/>
      <c r="BQ159" s="325"/>
      <c r="BR159" s="325"/>
      <c r="BS159" s="325"/>
      <c r="BT159" s="325"/>
      <c r="BU159" s="325"/>
      <c r="BV159" s="325"/>
      <c r="BW159" s="325"/>
      <c r="BX159" s="325"/>
      <c r="BY159" s="325"/>
      <c r="BZ159" s="325"/>
      <c r="CA159" s="325"/>
      <c r="CB159" s="325"/>
      <c r="CC159" s="325"/>
      <c r="CD159" s="325"/>
      <c r="CE159" s="325"/>
      <c r="CF159" s="325"/>
      <c r="CG159" s="325"/>
    </row>
    <row r="160" spans="1:85" ht="12.75" customHeight="1" x14ac:dyDescent="0.25">
      <c r="A160" s="389"/>
      <c r="B160" s="22"/>
      <c r="C160" s="22"/>
      <c r="D160" s="1134" t="str">
        <f>Translations!$B$372</f>
        <v>CRF-luokka</v>
      </c>
      <c r="E160" s="1134"/>
      <c r="F160" s="1135"/>
      <c r="G160" s="1123"/>
      <c r="H160" s="1124"/>
      <c r="I160" s="1123"/>
      <c r="J160" s="1124"/>
      <c r="K160" s="1123"/>
      <c r="L160" s="1124"/>
      <c r="M160" s="623" t="str">
        <f>IF(AND(E143&lt;&gt;"",COUNTA(G160:L160)=0,AX160=FALSE),EUconst_ERR_Incomplete,"")</f>
        <v/>
      </c>
      <c r="N160" s="22"/>
      <c r="O160" s="323"/>
      <c r="P160" s="301"/>
      <c r="Q160" s="23"/>
      <c r="R160" s="23"/>
      <c r="S160" s="325"/>
      <c r="T160" s="325"/>
      <c r="U160" s="325"/>
      <c r="V160" s="325"/>
      <c r="W160" s="325"/>
      <c r="X160" s="325"/>
      <c r="Y160" s="325"/>
      <c r="Z160" s="325"/>
      <c r="AA160" s="325"/>
      <c r="AB160" s="325"/>
      <c r="AC160" s="325"/>
      <c r="AD160" s="325"/>
      <c r="AE160" s="325"/>
      <c r="AF160" s="325"/>
      <c r="AG160" s="325"/>
      <c r="AH160" s="325"/>
      <c r="AI160" s="325"/>
      <c r="AJ160" s="325"/>
      <c r="AK160" s="325"/>
      <c r="AL160" s="325"/>
      <c r="AM160" s="325"/>
      <c r="AN160" s="325"/>
      <c r="AO160" s="325"/>
      <c r="AP160" s="325"/>
      <c r="AQ160" s="325"/>
      <c r="AR160" s="325"/>
      <c r="AS160" s="325"/>
      <c r="AT160" s="325"/>
      <c r="AU160" s="325"/>
      <c r="AV160" s="325"/>
      <c r="AW160" s="325"/>
      <c r="AX160" s="33" t="b">
        <f>AND(AV156&lt;&gt;"",SUM(AV156=1))</f>
        <v>0</v>
      </c>
      <c r="AY160" s="325"/>
      <c r="AZ160" s="325"/>
      <c r="BA160" s="325"/>
      <c r="BB160" s="325"/>
      <c r="BC160" s="325"/>
      <c r="BD160" s="325"/>
      <c r="BE160" s="325"/>
      <c r="BF160" s="325"/>
      <c r="BG160" s="325"/>
      <c r="BH160" s="325"/>
      <c r="BI160" s="325"/>
      <c r="BJ160" s="325"/>
      <c r="BK160" s="325"/>
      <c r="BL160" s="325"/>
      <c r="BM160" s="325"/>
      <c r="BN160" s="325"/>
      <c r="BO160" s="325"/>
      <c r="BP160" s="325"/>
      <c r="BQ160" s="325"/>
      <c r="BR160" s="325"/>
      <c r="BS160" s="325"/>
      <c r="BT160" s="325"/>
      <c r="BU160" s="325"/>
      <c r="BV160" s="325"/>
      <c r="BW160" s="325"/>
      <c r="BX160" s="325"/>
      <c r="BY160" s="325"/>
      <c r="BZ160" s="325"/>
      <c r="CA160" s="325"/>
      <c r="CB160" s="325"/>
      <c r="CC160" s="325"/>
      <c r="CD160" s="325"/>
      <c r="CE160" s="325"/>
      <c r="CF160" s="325"/>
      <c r="CG160" s="325"/>
    </row>
    <row r="161" spans="1:85" ht="5.15" customHeight="1" x14ac:dyDescent="0.25">
      <c r="A161" s="318"/>
      <c r="B161" s="21"/>
      <c r="C161" s="21"/>
      <c r="D161" s="21"/>
      <c r="E161" s="21"/>
      <c r="F161" s="21"/>
      <c r="G161" s="22"/>
      <c r="H161" s="22"/>
      <c r="I161" s="22"/>
      <c r="J161" s="22"/>
      <c r="K161" s="22"/>
      <c r="L161" s="22"/>
      <c r="M161" s="22"/>
      <c r="N161" s="22"/>
      <c r="O161" s="323"/>
      <c r="P161" s="301"/>
      <c r="Q161" s="23"/>
      <c r="R161" s="23"/>
      <c r="S161" s="325"/>
      <c r="T161" s="325"/>
      <c r="U161" s="325"/>
      <c r="V161" s="325"/>
      <c r="W161" s="325"/>
      <c r="X161" s="325"/>
      <c r="Y161" s="325"/>
      <c r="Z161" s="325"/>
      <c r="AA161" s="325"/>
      <c r="AB161" s="325"/>
      <c r="AC161" s="325"/>
      <c r="AD161" s="325"/>
      <c r="AE161" s="325"/>
      <c r="AF161" s="325"/>
      <c r="AG161" s="325"/>
      <c r="AH161" s="325"/>
      <c r="AI161" s="325"/>
      <c r="AJ161" s="325"/>
      <c r="AK161" s="325"/>
      <c r="AL161" s="325"/>
      <c r="AM161" s="325"/>
      <c r="AN161" s="325"/>
      <c r="AO161" s="325"/>
      <c r="AP161" s="325"/>
      <c r="AQ161" s="325"/>
      <c r="AR161" s="325"/>
      <c r="AS161" s="325"/>
      <c r="AT161" s="325"/>
      <c r="AU161" s="325"/>
      <c r="AV161" s="325"/>
      <c r="AW161" s="325"/>
      <c r="AX161" s="325"/>
      <c r="AY161" s="325"/>
      <c r="AZ161" s="325"/>
      <c r="BA161" s="325"/>
      <c r="BB161" s="325"/>
      <c r="BC161" s="325"/>
      <c r="BD161" s="325"/>
      <c r="BE161" s="325"/>
      <c r="BF161" s="325"/>
      <c r="BG161" s="325"/>
      <c r="BH161" s="325"/>
      <c r="BI161" s="325"/>
      <c r="BJ161" s="325"/>
      <c r="BK161" s="325"/>
      <c r="BL161" s="325"/>
      <c r="BM161" s="325"/>
      <c r="BN161" s="325"/>
      <c r="BO161" s="325"/>
      <c r="BP161" s="325"/>
      <c r="BQ161" s="325"/>
      <c r="BR161" s="325"/>
      <c r="BS161" s="325"/>
      <c r="BT161" s="325"/>
      <c r="BU161" s="325"/>
      <c r="BV161" s="325"/>
      <c r="BW161" s="325"/>
      <c r="BX161" s="325"/>
      <c r="BY161" s="325"/>
      <c r="BZ161" s="325"/>
      <c r="CA161" s="325"/>
      <c r="CB161" s="325"/>
      <c r="CC161" s="325"/>
      <c r="CD161" s="325"/>
      <c r="CE161" s="325"/>
      <c r="CF161" s="325"/>
      <c r="CG161" s="325"/>
    </row>
    <row r="162" spans="1:85" ht="7.5" customHeight="1" x14ac:dyDescent="0.25">
      <c r="A162" s="318"/>
      <c r="B162" s="21"/>
      <c r="C162" s="21"/>
      <c r="D162" s="1116" t="str">
        <f>Translations!$B$304</f>
        <v xml:space="preserve">Lisätiedot: 
tapa, jolla biomassan kestävyys on osoitettu; 
muut polttoainevirtaa koskevat lisätiedot. </v>
      </c>
      <c r="E162" s="1116"/>
      <c r="F162" s="1116"/>
      <c r="G162" s="806"/>
      <c r="H162" s="807"/>
      <c r="I162" s="806"/>
      <c r="J162" s="236"/>
      <c r="K162" s="236"/>
      <c r="L162" s="236"/>
      <c r="M162" s="807"/>
      <c r="N162" s="808"/>
      <c r="O162" s="323"/>
      <c r="P162" s="301"/>
      <c r="Q162" s="23"/>
      <c r="R162" s="23"/>
      <c r="S162" s="388"/>
      <c r="T162" s="325"/>
      <c r="U162" s="325"/>
      <c r="V162" s="325"/>
      <c r="W162" s="325"/>
      <c r="X162" s="325"/>
      <c r="Y162" s="325"/>
      <c r="Z162" s="325"/>
      <c r="AA162" s="325"/>
      <c r="AB162" s="325"/>
      <c r="AC162" s="325"/>
      <c r="AD162" s="325"/>
      <c r="AE162" s="325"/>
      <c r="AF162" s="325"/>
      <c r="AG162" s="325"/>
      <c r="AH162" s="325"/>
      <c r="AI162" s="325"/>
      <c r="AJ162" s="325"/>
      <c r="AK162" s="325"/>
      <c r="AL162" s="325"/>
      <c r="AM162" s="325"/>
      <c r="AN162" s="325"/>
      <c r="AO162" s="325"/>
      <c r="AP162" s="325"/>
      <c r="AQ162" s="325"/>
      <c r="AR162" s="325"/>
      <c r="AS162" s="325"/>
      <c r="AT162" s="325"/>
      <c r="AU162" s="325"/>
      <c r="AV162" s="325"/>
      <c r="AW162" s="325"/>
      <c r="AX162" s="325"/>
      <c r="AY162" s="325"/>
      <c r="AZ162" s="325"/>
      <c r="BA162" s="325"/>
      <c r="BB162" s="325"/>
      <c r="BC162" s="325"/>
      <c r="BD162" s="325"/>
      <c r="BE162" s="325"/>
      <c r="BF162" s="325"/>
      <c r="BG162" s="325"/>
      <c r="BH162" s="325"/>
      <c r="BI162" s="325"/>
      <c r="BJ162" s="325"/>
      <c r="BK162" s="325"/>
      <c r="BL162" s="325"/>
      <c r="BM162" s="325"/>
      <c r="BN162" s="325"/>
      <c r="BO162" s="325"/>
      <c r="BP162" s="325"/>
      <c r="BQ162" s="325"/>
      <c r="BR162" s="325"/>
      <c r="BS162" s="325"/>
      <c r="BT162" s="325"/>
      <c r="BU162" s="325"/>
      <c r="BV162" s="325"/>
      <c r="BW162" s="325"/>
      <c r="BX162" s="325"/>
      <c r="BY162" s="325"/>
      <c r="BZ162" s="325"/>
      <c r="CA162" s="325"/>
      <c r="CB162" s="325"/>
      <c r="CC162" s="325"/>
      <c r="CD162" s="325"/>
      <c r="CE162" s="325"/>
      <c r="CF162" s="325"/>
      <c r="CG162" s="33" t="b">
        <f>CG149</f>
        <v>0</v>
      </c>
    </row>
    <row r="163" spans="1:85" ht="5" hidden="1" customHeight="1" x14ac:dyDescent="0.25">
      <c r="A163" s="389"/>
      <c r="B163" s="22"/>
      <c r="C163" s="22"/>
      <c r="D163" s="1116"/>
      <c r="E163" s="1116"/>
      <c r="F163" s="1116"/>
      <c r="G163" s="22"/>
      <c r="H163" s="22"/>
      <c r="I163" s="22"/>
      <c r="J163" s="22"/>
      <c r="K163" s="22"/>
      <c r="L163" s="22"/>
      <c r="M163" s="22"/>
      <c r="N163" s="22"/>
      <c r="O163" s="323"/>
      <c r="P163" s="301"/>
      <c r="Q163" s="23"/>
      <c r="R163" s="23"/>
      <c r="S163" s="325"/>
      <c r="T163" s="325"/>
      <c r="U163" s="325"/>
      <c r="V163" s="325"/>
      <c r="W163" s="325"/>
      <c r="X163" s="325"/>
      <c r="Y163" s="325"/>
      <c r="Z163" s="325"/>
      <c r="AA163" s="325"/>
      <c r="AB163" s="325"/>
      <c r="AC163" s="325"/>
      <c r="AD163" s="325"/>
      <c r="AE163" s="325"/>
      <c r="AF163" s="325"/>
      <c r="AG163" s="325"/>
      <c r="AH163" s="325"/>
      <c r="AI163" s="325"/>
      <c r="AJ163" s="325"/>
      <c r="AK163" s="325"/>
      <c r="AL163" s="325"/>
      <c r="AM163" s="325"/>
      <c r="AN163" s="325"/>
      <c r="AO163" s="325"/>
      <c r="AP163" s="325"/>
      <c r="AQ163" s="325"/>
      <c r="AR163" s="325"/>
      <c r="AS163" s="325"/>
      <c r="AT163" s="325"/>
      <c r="AU163" s="325"/>
      <c r="AV163" s="325"/>
      <c r="AW163" s="325"/>
      <c r="AX163" s="325"/>
      <c r="AY163" s="325"/>
      <c r="AZ163" s="325"/>
      <c r="BA163" s="325"/>
      <c r="BB163" s="325"/>
      <c r="BC163" s="325"/>
      <c r="BD163" s="325"/>
      <c r="BE163" s="325"/>
      <c r="BF163" s="325"/>
      <c r="BG163" s="325"/>
      <c r="BH163" s="325"/>
      <c r="BI163" s="325"/>
      <c r="BJ163" s="325"/>
      <c r="BK163" s="325"/>
      <c r="BL163" s="325"/>
      <c r="BM163" s="325"/>
      <c r="BN163" s="325"/>
      <c r="BO163" s="325"/>
      <c r="BP163" s="325"/>
      <c r="BQ163" s="325"/>
      <c r="BR163" s="325"/>
      <c r="BS163" s="325"/>
      <c r="BT163" s="325"/>
      <c r="BU163" s="325"/>
      <c r="BV163" s="325"/>
      <c r="BW163" s="325"/>
      <c r="BX163" s="325"/>
      <c r="BY163" s="325"/>
      <c r="BZ163" s="325"/>
      <c r="CA163" s="325"/>
      <c r="CB163" s="325"/>
      <c r="CC163" s="325"/>
      <c r="CD163" s="325"/>
      <c r="CE163" s="325"/>
      <c r="CF163" s="325"/>
      <c r="CG163" s="325"/>
    </row>
    <row r="164" spans="1:85" ht="43.5" customHeight="1" x14ac:dyDescent="0.25">
      <c r="A164" s="389"/>
      <c r="B164" s="22"/>
      <c r="C164" s="22"/>
      <c r="D164" s="1116"/>
      <c r="E164" s="1116"/>
      <c r="F164" s="1116"/>
      <c r="G164" s="1146"/>
      <c r="H164" s="1147"/>
      <c r="I164" s="1147"/>
      <c r="J164" s="1147"/>
      <c r="K164" s="1147"/>
      <c r="L164" s="1147"/>
      <c r="M164" s="1147"/>
      <c r="N164" s="1148"/>
      <c r="O164" s="323"/>
      <c r="P164" s="301"/>
      <c r="Q164" s="23"/>
      <c r="R164" s="23"/>
      <c r="S164" s="325"/>
      <c r="T164" s="325"/>
      <c r="U164" s="325"/>
      <c r="V164" s="325"/>
      <c r="W164" s="325"/>
      <c r="X164" s="325"/>
      <c r="Y164" s="325"/>
      <c r="Z164" s="325"/>
      <c r="AA164" s="325"/>
      <c r="AB164" s="325"/>
      <c r="AC164" s="325"/>
      <c r="AD164" s="325"/>
      <c r="AE164" s="325"/>
      <c r="AF164" s="325"/>
      <c r="AG164" s="325"/>
      <c r="AH164" s="325"/>
      <c r="AI164" s="325"/>
      <c r="AJ164" s="325"/>
      <c r="AK164" s="325"/>
      <c r="AL164" s="325"/>
      <c r="AM164" s="325"/>
      <c r="AN164" s="325"/>
      <c r="AO164" s="325"/>
      <c r="AP164" s="325"/>
      <c r="AQ164" s="325"/>
      <c r="AR164" s="325"/>
      <c r="AS164" s="325"/>
      <c r="AT164" s="325"/>
      <c r="AU164" s="325"/>
      <c r="AV164" s="325"/>
      <c r="AW164" s="325"/>
      <c r="AX164" s="325"/>
      <c r="AY164" s="325"/>
      <c r="AZ164" s="325"/>
      <c r="BA164" s="325"/>
      <c r="BB164" s="325"/>
      <c r="BC164" s="325"/>
      <c r="BD164" s="325"/>
      <c r="BE164" s="325"/>
      <c r="BF164" s="325"/>
      <c r="BG164" s="325"/>
      <c r="BH164" s="325"/>
      <c r="BI164" s="325"/>
      <c r="BJ164" s="325"/>
      <c r="BK164" s="325"/>
      <c r="BL164" s="325"/>
      <c r="BM164" s="325"/>
      <c r="BN164" s="325"/>
      <c r="BO164" s="325"/>
      <c r="BP164" s="325"/>
      <c r="BQ164" s="325"/>
      <c r="BR164" s="325"/>
      <c r="BS164" s="325"/>
      <c r="BT164" s="325"/>
      <c r="BU164" s="325"/>
      <c r="BV164" s="325"/>
      <c r="BW164" s="325"/>
      <c r="BX164" s="325"/>
      <c r="BY164" s="325"/>
      <c r="BZ164" s="325"/>
      <c r="CA164" s="325"/>
      <c r="CB164" s="325"/>
      <c r="CC164" s="325"/>
      <c r="CD164" s="325"/>
      <c r="CE164" s="325"/>
      <c r="CF164" s="325"/>
      <c r="CG164" s="33" t="b">
        <f>CG162</f>
        <v>0</v>
      </c>
    </row>
    <row r="165" spans="1:85" ht="12.75" customHeight="1" thickBot="1" x14ac:dyDescent="0.3">
      <c r="A165" s="318"/>
      <c r="B165" s="22"/>
      <c r="C165" s="319"/>
      <c r="D165" s="320"/>
      <c r="E165" s="321"/>
      <c r="F165" s="319"/>
      <c r="G165" s="322"/>
      <c r="H165" s="322"/>
      <c r="I165" s="322"/>
      <c r="J165" s="322"/>
      <c r="K165" s="322"/>
      <c r="L165" s="322"/>
      <c r="M165" s="322"/>
      <c r="N165" s="322"/>
      <c r="O165" s="323"/>
      <c r="P165" s="301"/>
      <c r="Q165" s="23"/>
      <c r="R165" s="23"/>
      <c r="S165" s="41"/>
      <c r="T165" s="41"/>
      <c r="U165" s="324"/>
      <c r="V165" s="41"/>
      <c r="W165" s="41"/>
      <c r="X165" s="324"/>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325"/>
      <c r="BN165" s="325"/>
      <c r="BO165" s="325"/>
      <c r="BP165" s="325"/>
      <c r="BQ165" s="325"/>
      <c r="BR165" s="325"/>
      <c r="BS165" s="325"/>
      <c r="BT165" s="325"/>
      <c r="BU165" s="41"/>
      <c r="BV165" s="41"/>
      <c r="BW165" s="41"/>
      <c r="BX165" s="41"/>
      <c r="BY165" s="41"/>
      <c r="BZ165" s="41"/>
      <c r="CA165" s="41"/>
      <c r="CB165" s="41"/>
      <c r="CC165" s="41"/>
      <c r="CD165" s="41"/>
      <c r="CE165" s="41"/>
      <c r="CF165" s="41"/>
      <c r="CG165" s="41"/>
    </row>
    <row r="166" spans="1:85" ht="12.75" customHeight="1" thickBot="1" x14ac:dyDescent="0.3">
      <c r="A166" s="326"/>
      <c r="B166" s="22"/>
      <c r="C166" s="22"/>
      <c r="D166" s="327"/>
      <c r="E166" s="328"/>
      <c r="F166" s="22"/>
      <c r="G166" s="1"/>
      <c r="H166" s="1"/>
      <c r="I166" s="1"/>
      <c r="J166" s="1"/>
      <c r="K166" s="22"/>
      <c r="L166" s="1"/>
      <c r="M166" s="1"/>
      <c r="N166" s="1"/>
      <c r="O166" s="323"/>
      <c r="P166" s="301"/>
      <c r="Q166" s="23"/>
      <c r="R166" s="23"/>
      <c r="S166" s="2"/>
      <c r="T166" s="20" t="str">
        <f>IF(ISBLANK(E167),"",MATCH(E167,CNTR_SourceStreamNames,0))</f>
        <v/>
      </c>
      <c r="U166" s="329" t="str">
        <f>IF(ISBLANK(E167),"",INDEX('B_Polttoainevirtojen tiedot'!$D$67:$D$91,MATCH(E167,CNTR_SourceStreamNames,0)))</f>
        <v/>
      </c>
      <c r="V166" s="60"/>
      <c r="W166" s="37"/>
      <c r="X166" s="37"/>
      <c r="Y166" s="37"/>
      <c r="Z166" s="41"/>
      <c r="AA166" s="41"/>
      <c r="AB166" s="41"/>
      <c r="AC166" s="41"/>
      <c r="AD166" s="41"/>
      <c r="AE166" s="41"/>
      <c r="AF166" s="41"/>
      <c r="AG166" s="41"/>
      <c r="AH166" s="41"/>
      <c r="AI166" s="41"/>
      <c r="AJ166" s="41"/>
      <c r="AK166" s="23"/>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30" t="s">
        <v>94</v>
      </c>
    </row>
    <row r="167" spans="1:85" ht="15" customHeight="1" thickBot="1" x14ac:dyDescent="0.3">
      <c r="A167" s="331">
        <f>C167</f>
        <v>6</v>
      </c>
      <c r="B167" s="21"/>
      <c r="C167" s="332">
        <f>C143+1</f>
        <v>6</v>
      </c>
      <c r="D167" s="21"/>
      <c r="E167" s="1117"/>
      <c r="F167" s="1118"/>
      <c r="G167" s="1118"/>
      <c r="H167" s="1118"/>
      <c r="I167" s="1118"/>
      <c r="J167" s="1119"/>
      <c r="K167" s="1138" t="str">
        <f>IF(INDEX('B_Polttoainevirtojen tiedot'!$K$100:$K$124,MATCH(U166,'B_Polttoainevirtojen tiedot'!$D$100:$D$124,0))&gt;0,INDEX('B_Polttoainevirtojen tiedot'!$K$100:$K$124,MATCH(U166,'B_Polttoainevirtojen tiedot'!$D$100:$D$124,0)),"")</f>
        <v/>
      </c>
      <c r="L167" s="1139"/>
      <c r="M167" s="328" t="str">
        <f>Translations!$B$374</f>
        <v>CO2 fossiilinen:</v>
      </c>
      <c r="N167" s="401" t="str">
        <f>IF(E168="","",BG173)</f>
        <v/>
      </c>
      <c r="O167" s="333" t="str">
        <f>EUconst_tCO2</f>
        <v>tCO2</v>
      </c>
      <c r="P167" s="610" t="str">
        <f>IF(AND(E167&lt;&gt;"",COUNTIF(P168:$P$811,"PRINT")=0),"PRINT","")</f>
        <v/>
      </c>
      <c r="Q167" s="335" t="str">
        <f>EUconst_SumCO2</f>
        <v>SUM_CO2</v>
      </c>
      <c r="R167" s="23"/>
      <c r="S167" s="2"/>
      <c r="T167" s="2"/>
      <c r="U167" s="2"/>
      <c r="V167" s="60"/>
      <c r="W167" s="37"/>
      <c r="X167" s="41"/>
      <c r="Y167" s="41"/>
      <c r="Z167" s="41"/>
      <c r="AA167" s="41"/>
      <c r="AB167" s="41"/>
      <c r="AC167" s="41"/>
      <c r="AD167" s="41"/>
      <c r="AE167" s="41"/>
      <c r="AF167" s="41"/>
      <c r="AG167" s="41"/>
      <c r="AH167" s="41"/>
      <c r="AI167" s="337"/>
      <c r="AJ167" s="337"/>
      <c r="AK167" s="337"/>
      <c r="AL167" s="337"/>
      <c r="AM167" s="337"/>
      <c r="AN167" s="337"/>
      <c r="AO167" s="337"/>
      <c r="AP167" s="337"/>
      <c r="AQ167" s="337"/>
      <c r="AR167" s="337"/>
      <c r="AS167" s="337"/>
      <c r="AT167" s="337"/>
      <c r="AU167" s="337"/>
      <c r="AV167" s="337"/>
      <c r="AW167" s="337"/>
      <c r="AX167" s="337"/>
      <c r="AY167" s="337"/>
      <c r="AZ167" s="337"/>
      <c r="BA167" s="337"/>
      <c r="BB167" s="337"/>
      <c r="BC167" s="337"/>
      <c r="BD167" s="337"/>
      <c r="BE167" s="337"/>
      <c r="BF167" s="337"/>
      <c r="BG167" s="337"/>
      <c r="BH167" s="337"/>
      <c r="BI167" s="483" t="str">
        <f>IF(E167="","",E167)</f>
        <v/>
      </c>
      <c r="BJ167" s="338" t="str">
        <f>IF(F173="","",F173)</f>
        <v/>
      </c>
      <c r="BK167" s="485">
        <f>AV173</f>
        <v>0</v>
      </c>
      <c r="BL167" s="485">
        <f>IF(BK167="","",BK167*(1-BP167))</f>
        <v>0</v>
      </c>
      <c r="BM167" s="338" t="str">
        <f>AJ173</f>
        <v/>
      </c>
      <c r="BN167" s="338" t="str">
        <f>IF(F180="","",F180)</f>
        <v/>
      </c>
      <c r="BO167" s="483" t="str">
        <f>IF(G180="","",G180)</f>
        <v/>
      </c>
      <c r="BP167" s="484">
        <f>AV180</f>
        <v>0</v>
      </c>
      <c r="BQ167" s="338" t="str">
        <f>IF(F176="","",F176)</f>
        <v/>
      </c>
      <c r="BR167" s="484">
        <f>AV176</f>
        <v>0</v>
      </c>
      <c r="BS167" s="484" t="str">
        <f>AJ176</f>
        <v/>
      </c>
      <c r="BT167" s="338" t="str">
        <f>IF(F175="","",F175)</f>
        <v/>
      </c>
      <c r="BU167" s="484">
        <f>IF(F175=EUconst_NA,"",AV175)</f>
        <v>0</v>
      </c>
      <c r="BV167" s="484" t="str">
        <f>AJ175</f>
        <v/>
      </c>
      <c r="BW167" s="338" t="str">
        <f>IF(F177="","",F177)</f>
        <v/>
      </c>
      <c r="BX167" s="484">
        <f>AV177</f>
        <v>0</v>
      </c>
      <c r="BY167" s="338" t="str">
        <f>IF(F178="","",F178)</f>
        <v/>
      </c>
      <c r="BZ167" s="484">
        <f>AV178</f>
        <v>0</v>
      </c>
      <c r="CA167" s="485" t="str">
        <f>N167</f>
        <v/>
      </c>
      <c r="CB167" s="485" t="str">
        <f>N168</f>
        <v/>
      </c>
      <c r="CC167" s="485" t="str">
        <f>R170</f>
        <v/>
      </c>
      <c r="CD167" s="485" t="str">
        <f>R172</f>
        <v/>
      </c>
      <c r="CE167" s="485" t="str">
        <f>R173</f>
        <v/>
      </c>
      <c r="CF167" s="37"/>
      <c r="CG167" s="339" t="b">
        <v>0</v>
      </c>
    </row>
    <row r="168" spans="1:85" ht="15" customHeight="1" thickBot="1" x14ac:dyDescent="0.3">
      <c r="A168" s="318"/>
      <c r="B168" s="21"/>
      <c r="C168" s="21"/>
      <c r="D168" s="21"/>
      <c r="E168" s="1127" t="str">
        <f>IF(ISBLANK(E167),"",IF(INDEX('B_Polttoainevirtojen tiedot'!$E$67:$E$91,MATCH(U166,'B_Polttoainevirtojen tiedot'!$D$67:$D$91,0))&gt;0,INDEX('B_Polttoainevirtojen tiedot'!$E$67:$E$91,MATCH(U166,'B_Polttoainevirtojen tiedot'!$D$67:$D$91,0)),""))</f>
        <v/>
      </c>
      <c r="F168" s="1128"/>
      <c r="G168" s="1128"/>
      <c r="H168" s="1128"/>
      <c r="I168" s="1128"/>
      <c r="J168" s="1129"/>
      <c r="K168" s="1138" t="str">
        <f>IF(INDEX('B_Polttoainevirtojen tiedot'!$M$100:$M$124,MATCH(U166,'B_Polttoainevirtojen tiedot'!$D$100:$D$124,0))&gt;0,INDEX('B_Polttoainevirtojen tiedot'!$M$100:$M$124,MATCH(U166,'B_Polttoainevirtojen tiedot'!$D$100:$D$124,0)),"")</f>
        <v/>
      </c>
      <c r="L168" s="1139"/>
      <c r="M168" s="340" t="str">
        <f>Translations!$B$375</f>
        <v>CO2 bio:</v>
      </c>
      <c r="N168" s="482" t="str">
        <f>IF(E168="","",BG175)</f>
        <v/>
      </c>
      <c r="O168" s="341" t="str">
        <f>EUconst_tCO2</f>
        <v>tCO2</v>
      </c>
      <c r="P168" s="301"/>
      <c r="Q168" s="335" t="str">
        <f>EUconst_SumBioCO2</f>
        <v>SUM_bioCO2</v>
      </c>
      <c r="R168" s="23"/>
      <c r="S168" s="2"/>
      <c r="T168" s="2"/>
      <c r="U168" s="2"/>
      <c r="V168" s="60"/>
      <c r="W168" s="37"/>
      <c r="X168" s="41"/>
      <c r="Y168" s="20" t="str">
        <f>Translations!$B$143</f>
        <v>Määrittämistasot</v>
      </c>
      <c r="Z168" s="325"/>
      <c r="AA168" s="325"/>
      <c r="AB168" s="325"/>
      <c r="AC168" s="325"/>
      <c r="AD168" s="325"/>
      <c r="AE168" s="20" t="s">
        <v>95</v>
      </c>
      <c r="AF168" s="41"/>
      <c r="AG168" s="342"/>
      <c r="AH168" s="325"/>
      <c r="AI168" s="325"/>
      <c r="AJ168" s="342"/>
      <c r="AK168" s="342"/>
      <c r="AL168" s="337"/>
      <c r="AM168" s="337"/>
      <c r="AN168" s="337"/>
      <c r="AO168" s="337"/>
      <c r="AP168" s="337"/>
      <c r="AQ168" s="20" t="s">
        <v>96</v>
      </c>
      <c r="AR168" s="343"/>
      <c r="AS168" s="343"/>
      <c r="AT168" s="325"/>
      <c r="AU168" s="325"/>
      <c r="AV168" s="325"/>
      <c r="AW168" s="325"/>
      <c r="AX168" s="325"/>
      <c r="AY168" s="325"/>
      <c r="AZ168" s="20" t="s">
        <v>97</v>
      </c>
      <c r="BA168" s="325"/>
      <c r="BB168" s="325"/>
      <c r="BC168" s="325"/>
      <c r="BD168" s="325"/>
      <c r="BE168" s="325"/>
      <c r="BF168" s="20" t="s">
        <v>98</v>
      </c>
      <c r="BG168" s="325"/>
      <c r="BH168" s="325"/>
      <c r="BI168" s="20" t="s">
        <v>99</v>
      </c>
      <c r="BJ168" s="338" t="str">
        <f>Translations!$B$376</f>
        <v>RFA-määrittämistaso</v>
      </c>
      <c r="BK168" s="338" t="str">
        <f>Translations!$B$377</f>
        <v>RFA</v>
      </c>
      <c r="BL168" s="338" t="str">
        <f>Translations!$B$378</f>
        <v>RFA (SF:n jälkeen)</v>
      </c>
      <c r="BM168" s="338" t="str">
        <f>Translations!$B$379</f>
        <v>RFA-yksikkö</v>
      </c>
      <c r="BN168" s="338" t="str">
        <f>Translations!$B$380</f>
        <v>SF-määrittämistaso</v>
      </c>
      <c r="BO168" s="338" t="str">
        <f>Translations!$B$380</f>
        <v>SF-määrittämistaso</v>
      </c>
      <c r="BP168" s="338" t="str">
        <f>Translations!$B$381</f>
        <v>SF</v>
      </c>
      <c r="BQ168" s="338" t="str">
        <f>Translations!$B$382</f>
        <v>EF-määrittämistaso</v>
      </c>
      <c r="BR168" s="338" t="str">
        <f>Translations!$B$383</f>
        <v>EF</v>
      </c>
      <c r="BS168" s="338" t="str">
        <f>Translations!$B$384</f>
        <v>EF-yksikkö</v>
      </c>
      <c r="BT168" s="338" t="str">
        <f>Translations!$B$385</f>
        <v>UCF-määrittämistaso</v>
      </c>
      <c r="BU168" s="338" t="str">
        <f>Translations!$B$386</f>
        <v>UCF</v>
      </c>
      <c r="BV168" s="338" t="str">
        <f>Translations!$B$387</f>
        <v>UCF-yksikkö</v>
      </c>
      <c r="BW168" s="338" t="str">
        <f>Translations!$B$388</f>
        <v>Bio-määrittämistaso</v>
      </c>
      <c r="BX168" s="338" t="s">
        <v>100</v>
      </c>
      <c r="BY168" s="338" t="str">
        <f>Translations!$B$389</f>
        <v>NonSustBio-määrittämistaso</v>
      </c>
      <c r="BZ168" s="338" t="s">
        <v>101</v>
      </c>
      <c r="CA168" s="338" t="str">
        <f>Translations!$B$390</f>
        <v>CO2 fossil</v>
      </c>
      <c r="CB168" s="338" t="str">
        <f>Translations!$B$391</f>
        <v>CO2 bio</v>
      </c>
      <c r="CC168" s="338" t="str">
        <f>Translations!$B$392</f>
        <v>CO2 non-sust</v>
      </c>
      <c r="CD168" s="338" t="s">
        <v>102</v>
      </c>
      <c r="CE168" s="338" t="s">
        <v>103</v>
      </c>
      <c r="CF168" s="325"/>
      <c r="CG168" s="325"/>
    </row>
    <row r="169" spans="1:85" ht="5.15" customHeight="1" thickBot="1" x14ac:dyDescent="0.3">
      <c r="A169" s="318"/>
      <c r="B169" s="21"/>
      <c r="C169" s="21"/>
      <c r="D169" s="21"/>
      <c r="E169" s="21"/>
      <c r="F169" s="21"/>
      <c r="G169" s="21"/>
      <c r="H169" s="22"/>
      <c r="I169" s="22"/>
      <c r="J169" s="22"/>
      <c r="K169" s="22"/>
      <c r="L169" s="22"/>
      <c r="M169" s="22"/>
      <c r="N169" s="22"/>
      <c r="O169" s="323"/>
      <c r="P169" s="301"/>
      <c r="Q169" s="23"/>
      <c r="R169" s="23"/>
      <c r="S169" s="2"/>
      <c r="T169" s="2"/>
      <c r="U169" s="2"/>
      <c r="V169" s="60"/>
      <c r="W169" s="325"/>
      <c r="X169" s="325"/>
      <c r="Y169" s="23"/>
      <c r="Z169" s="325"/>
      <c r="AA169" s="325"/>
      <c r="AB169" s="325"/>
      <c r="AC169" s="325"/>
      <c r="AD169" s="325"/>
      <c r="AE169" s="325"/>
      <c r="AF169" s="41"/>
      <c r="AG169" s="325"/>
      <c r="AH169" s="325"/>
      <c r="AI169" s="325"/>
      <c r="AJ169" s="342"/>
      <c r="AK169" s="342"/>
      <c r="AL169" s="337"/>
      <c r="AM169" s="337"/>
      <c r="AN169" s="337"/>
      <c r="AO169" s="337"/>
      <c r="AP169" s="337"/>
      <c r="AQ169" s="325"/>
      <c r="AR169" s="325"/>
      <c r="AS169" s="325"/>
      <c r="AT169" s="325"/>
      <c r="AU169" s="325"/>
      <c r="AV169" s="325"/>
      <c r="AW169" s="325"/>
      <c r="AX169" s="325"/>
      <c r="AY169" s="325"/>
      <c r="AZ169" s="325"/>
      <c r="BA169" s="325"/>
      <c r="BB169" s="325"/>
      <c r="BC169" s="325"/>
      <c r="BD169" s="325"/>
      <c r="BE169" s="325"/>
      <c r="BF169" s="325"/>
      <c r="BG169" s="325"/>
      <c r="BH169" s="325"/>
      <c r="BI169" s="325"/>
      <c r="BJ169" s="325"/>
      <c r="BK169" s="325"/>
      <c r="BL169" s="325"/>
      <c r="BM169" s="325"/>
      <c r="BN169" s="325"/>
      <c r="BO169" s="325"/>
      <c r="BP169" s="325"/>
      <c r="BQ169" s="325"/>
      <c r="BR169" s="325"/>
      <c r="BS169" s="325"/>
      <c r="BT169" s="325"/>
      <c r="BU169" s="325"/>
      <c r="BV169" s="325"/>
      <c r="BW169" s="325"/>
      <c r="BX169" s="325"/>
      <c r="BY169" s="325"/>
      <c r="BZ169" s="325"/>
      <c r="CA169" s="325"/>
      <c r="CB169" s="325"/>
      <c r="CC169" s="325"/>
      <c r="CD169" s="325"/>
      <c r="CE169" s="325"/>
      <c r="CF169" s="325"/>
      <c r="CG169" s="325"/>
    </row>
    <row r="170" spans="1:85" ht="12.75" customHeight="1" thickBot="1" x14ac:dyDescent="0.3">
      <c r="A170" s="318"/>
      <c r="B170" s="21"/>
      <c r="C170" s="21"/>
      <c r="D170" s="21"/>
      <c r="E170" s="1140" t="str">
        <f>IF(E167="","",HYPERLINK("#JUMP_E_Top",EUconst_FurtherGuidancePoint1))</f>
        <v/>
      </c>
      <c r="F170" s="1140"/>
      <c r="G170" s="1140"/>
      <c r="H170" s="1140"/>
      <c r="I170" s="1140"/>
      <c r="J170" s="1140"/>
      <c r="K170" s="1140"/>
      <c r="L170" s="1140"/>
      <c r="M170" s="1140"/>
      <c r="N170" s="22"/>
      <c r="O170" s="323"/>
      <c r="P170" s="301"/>
      <c r="Q170" s="335" t="str">
        <f>EUconst_SumNonSustBioCO2</f>
        <v>SUM_bioNonSustCO2</v>
      </c>
      <c r="R170" s="500" t="str">
        <f>IF(E168="","",BG176)</f>
        <v/>
      </c>
      <c r="S170" s="2"/>
      <c r="T170" s="2"/>
      <c r="U170" s="2"/>
      <c r="V170" s="325"/>
      <c r="W170" s="325"/>
      <c r="X170" s="325"/>
      <c r="Y170" s="41"/>
      <c r="Z170" s="325"/>
      <c r="AA170" s="325"/>
      <c r="AB170" s="325"/>
      <c r="AC170" s="325"/>
      <c r="AD170" s="325"/>
      <c r="AE170" s="325"/>
      <c r="AF170" s="41"/>
      <c r="AG170" s="325"/>
      <c r="AH170" s="325"/>
      <c r="AI170" s="325"/>
      <c r="AJ170" s="342"/>
      <c r="AK170" s="342"/>
      <c r="AL170" s="337"/>
      <c r="AM170" s="337"/>
      <c r="AN170" s="337"/>
      <c r="AO170" s="337"/>
      <c r="AP170" s="337"/>
      <c r="AQ170" s="325"/>
      <c r="AR170" s="325"/>
      <c r="AS170" s="325"/>
      <c r="AT170" s="325"/>
      <c r="AU170" s="325"/>
      <c r="AV170" s="325"/>
      <c r="AW170" s="325"/>
      <c r="AX170" s="325"/>
      <c r="AY170" s="325"/>
      <c r="AZ170" s="325"/>
      <c r="BA170" s="325"/>
      <c r="BB170" s="325"/>
      <c r="BC170" s="325"/>
      <c r="BD170" s="325"/>
      <c r="BE170" s="325"/>
      <c r="BF170" s="325"/>
      <c r="BG170" s="325"/>
      <c r="BH170" s="325"/>
      <c r="BI170" s="20" t="s">
        <v>104</v>
      </c>
      <c r="BJ170" s="343"/>
      <c r="BK170" s="483" t="str">
        <f>IF(G184="","",G184)</f>
        <v/>
      </c>
      <c r="BL170" s="483" t="str">
        <f>IF(I184="","",I184)</f>
        <v/>
      </c>
      <c r="BM170" s="483" t="str">
        <f>IF(K184="","",K184)</f>
        <v/>
      </c>
      <c r="BN170" s="325"/>
      <c r="BO170" s="325"/>
      <c r="BP170" s="325"/>
      <c r="BQ170" s="325"/>
      <c r="BR170" s="325"/>
      <c r="BS170" s="325"/>
      <c r="BT170" s="330"/>
      <c r="BU170" s="325"/>
      <c r="BV170" s="325"/>
      <c r="BW170" s="325"/>
      <c r="BX170" s="325"/>
      <c r="BY170" s="325"/>
      <c r="BZ170" s="325"/>
      <c r="CA170" s="325"/>
      <c r="CB170" s="325"/>
      <c r="CC170" s="325"/>
      <c r="CD170" s="325"/>
      <c r="CE170" s="325"/>
      <c r="CF170" s="325"/>
      <c r="CG170" s="325"/>
    </row>
    <row r="171" spans="1:85" ht="5.15" customHeight="1" thickBot="1" x14ac:dyDescent="0.3">
      <c r="A171" s="318"/>
      <c r="B171" s="21"/>
      <c r="C171" s="21"/>
      <c r="D171" s="21"/>
      <c r="E171" s="21"/>
      <c r="F171" s="21"/>
      <c r="G171" s="21"/>
      <c r="H171" s="22"/>
      <c r="I171" s="22"/>
      <c r="J171" s="22"/>
      <c r="K171" s="22"/>
      <c r="L171" s="22"/>
      <c r="M171" s="22"/>
      <c r="N171" s="22"/>
      <c r="O171" s="323"/>
      <c r="P171" s="259"/>
      <c r="Q171" s="2"/>
      <c r="R171" s="259"/>
      <c r="S171" s="2"/>
      <c r="T171" s="2"/>
      <c r="U171" s="2"/>
      <c r="V171" s="325"/>
      <c r="W171" s="325"/>
      <c r="X171" s="325"/>
      <c r="Y171" s="23"/>
      <c r="Z171" s="325"/>
      <c r="AA171" s="325"/>
      <c r="AB171" s="325"/>
      <c r="AC171" s="325"/>
      <c r="AD171" s="325"/>
      <c r="AE171" s="325"/>
      <c r="AF171" s="41"/>
      <c r="AG171" s="325"/>
      <c r="AH171" s="325"/>
      <c r="AI171" s="325"/>
      <c r="AJ171" s="342"/>
      <c r="AK171" s="342"/>
      <c r="AL171" s="337"/>
      <c r="AM171" s="337"/>
      <c r="AN171" s="337"/>
      <c r="AO171" s="337"/>
      <c r="AP171" s="337"/>
      <c r="AQ171" s="325"/>
      <c r="AR171" s="325"/>
      <c r="AS171" s="325"/>
      <c r="AT171" s="325"/>
      <c r="AU171" s="325"/>
      <c r="AV171" s="325"/>
      <c r="AW171" s="325"/>
      <c r="AX171" s="325"/>
      <c r="AY171" s="325"/>
      <c r="AZ171" s="325"/>
      <c r="BA171" s="325"/>
      <c r="BB171" s="325"/>
      <c r="BC171" s="325"/>
      <c r="BD171" s="325"/>
      <c r="BE171" s="325"/>
      <c r="BF171" s="325"/>
      <c r="BG171" s="325"/>
      <c r="BH171" s="325"/>
      <c r="BI171" s="325"/>
      <c r="BJ171" s="325"/>
      <c r="BK171" s="325"/>
      <c r="BL171" s="325"/>
      <c r="BM171" s="325"/>
      <c r="BN171" s="325"/>
      <c r="BO171" s="325"/>
      <c r="BP171" s="325"/>
      <c r="BQ171" s="325"/>
      <c r="BR171" s="325"/>
      <c r="BS171" s="325"/>
      <c r="BT171" s="325"/>
      <c r="BU171" s="325"/>
      <c r="BV171" s="325"/>
      <c r="BW171" s="325"/>
      <c r="BX171" s="325"/>
      <c r="BY171" s="325"/>
      <c r="BZ171" s="325"/>
      <c r="CA171" s="325"/>
      <c r="CB171" s="325"/>
      <c r="CC171" s="325"/>
      <c r="CD171" s="325"/>
      <c r="CE171" s="325"/>
      <c r="CF171" s="325"/>
      <c r="CG171" s="325"/>
    </row>
    <row r="172" spans="1:85" ht="12.75" customHeight="1" thickBot="1" x14ac:dyDescent="0.3">
      <c r="A172" s="318"/>
      <c r="B172" s="21"/>
      <c r="C172" s="21"/>
      <c r="D172" s="21"/>
      <c r="E172" s="21"/>
      <c r="F172" s="347" t="str">
        <f>Translations!$B$127</f>
        <v>Määrittämistaso</v>
      </c>
      <c r="G172" s="1141" t="str">
        <f>Translations!$B$393</f>
        <v>määrittämistason kuvaus</v>
      </c>
      <c r="H172" s="1141"/>
      <c r="I172" s="1142" t="str">
        <f>Translations!$B$394</f>
        <v>Yksikkö</v>
      </c>
      <c r="J172" s="1142"/>
      <c r="K172" s="1142" t="str">
        <f>Translations!$B$395</f>
        <v>Arvo</v>
      </c>
      <c r="L172" s="1142"/>
      <c r="M172" s="327" t="str">
        <f>Translations!$B$396</f>
        <v>virhe</v>
      </c>
      <c r="N172" s="22"/>
      <c r="O172" s="323"/>
      <c r="P172" s="611"/>
      <c r="Q172" s="335" t="str">
        <f>EUconst_SumEnergyIN</f>
        <v>SUM_EnergyIN</v>
      </c>
      <c r="R172" s="501" t="str">
        <f>IF(E168="","",BG177)</f>
        <v/>
      </c>
      <c r="S172" s="325"/>
      <c r="T172" s="325"/>
      <c r="U172" s="325"/>
      <c r="V172" s="336" t="s">
        <v>105</v>
      </c>
      <c r="W172" s="325"/>
      <c r="X172" s="325"/>
      <c r="Y172" s="23" t="s">
        <v>106</v>
      </c>
      <c r="Z172" s="23" t="s">
        <v>107</v>
      </c>
      <c r="AA172" s="325"/>
      <c r="AB172" s="325"/>
      <c r="AC172" s="343" t="s">
        <v>108</v>
      </c>
      <c r="AD172" s="325"/>
      <c r="AE172" s="325"/>
      <c r="AF172" s="325" t="s">
        <v>109</v>
      </c>
      <c r="AG172" s="325" t="s">
        <v>110</v>
      </c>
      <c r="AH172" s="23" t="s">
        <v>111</v>
      </c>
      <c r="AI172" s="342" t="s">
        <v>112</v>
      </c>
      <c r="AJ172" s="342" t="s">
        <v>113</v>
      </c>
      <c r="AK172" s="348" t="s">
        <v>114</v>
      </c>
      <c r="AL172" s="337"/>
      <c r="AM172" s="337"/>
      <c r="AN172" s="337"/>
      <c r="AO172" s="337"/>
      <c r="AP172" s="337"/>
      <c r="AQ172" s="325"/>
      <c r="AR172" s="325" t="s">
        <v>109</v>
      </c>
      <c r="AS172" s="325" t="s">
        <v>110</v>
      </c>
      <c r="AT172" s="349" t="s">
        <v>115</v>
      </c>
      <c r="AU172" s="342" t="s">
        <v>116</v>
      </c>
      <c r="AV172" s="342" t="s">
        <v>117</v>
      </c>
      <c r="AW172" s="348" t="s">
        <v>114</v>
      </c>
      <c r="AX172" s="348" t="s">
        <v>114</v>
      </c>
      <c r="AY172" s="325"/>
      <c r="AZ172" s="325"/>
      <c r="BA172" s="325"/>
      <c r="BB172" s="325" t="s">
        <v>118</v>
      </c>
      <c r="BC172" s="325"/>
      <c r="BD172" s="325"/>
      <c r="BE172" s="325"/>
      <c r="BF172" s="325"/>
      <c r="BG172" s="330" t="str">
        <f>EUconst_Fuel</f>
        <v>Poltto</v>
      </c>
      <c r="BH172" s="325"/>
      <c r="BI172" s="325"/>
      <c r="BJ172" s="325"/>
      <c r="BK172" s="325"/>
      <c r="BL172" s="325"/>
      <c r="BM172" s="325"/>
      <c r="BN172" s="325"/>
      <c r="BO172" s="325"/>
      <c r="BP172" s="325"/>
      <c r="BQ172" s="325"/>
      <c r="BR172" s="325"/>
      <c r="BS172" s="325"/>
      <c r="BT172" s="325"/>
      <c r="BU172" s="325"/>
      <c r="BV172" s="325"/>
      <c r="BW172" s="325"/>
      <c r="BX172" s="325"/>
      <c r="BY172" s="325"/>
      <c r="BZ172" s="325"/>
      <c r="CA172" s="325"/>
      <c r="CB172" s="325"/>
      <c r="CC172" s="325"/>
      <c r="CD172" s="325"/>
      <c r="CE172" s="325"/>
      <c r="CF172" s="325"/>
      <c r="CG172" s="330" t="s">
        <v>94</v>
      </c>
    </row>
    <row r="173" spans="1:85" ht="12.75" customHeight="1" thickBot="1" x14ac:dyDescent="0.3">
      <c r="A173" s="318"/>
      <c r="B173" s="21"/>
      <c r="C173" s="344"/>
      <c r="D173" s="345" t="str">
        <f>Translations!$B$356</f>
        <v>Polttoaineen määrä:</v>
      </c>
      <c r="E173" s="350"/>
      <c r="F173" s="351"/>
      <c r="G173" s="1120" t="str">
        <f>IF(OR(ISBLANK(F173),F173=EUconst_NoTier),"",IF(Z173=0,EUconst_NA,IF(ISERROR(Z173),"",Z173)))</f>
        <v/>
      </c>
      <c r="H173" s="1122"/>
      <c r="I173" s="352" t="str">
        <f>IF(J173&lt;&gt;"","",AI173)</f>
        <v/>
      </c>
      <c r="J173" s="353"/>
      <c r="K173" s="1143"/>
      <c r="L173" s="1144"/>
      <c r="M173" s="486" t="str">
        <f>IF(AND(E168&lt;&gt;"",OR(F173="",COUNT(K173)=0),Y173&lt;&gt;EUconst_NA),EUconst_ERR_Incomplete,"")</f>
        <v/>
      </c>
      <c r="N173" s="22"/>
      <c r="O173" s="323"/>
      <c r="P173" s="612"/>
      <c r="Q173" s="335" t="str">
        <f>EUconst_SumBioEnergyIN</f>
        <v>SUM_BioEnergyIN</v>
      </c>
      <c r="R173" s="501" t="str">
        <f>IF(E168="","",BG178)</f>
        <v/>
      </c>
      <c r="S173" s="325"/>
      <c r="T173" s="355" t="str">
        <f>EUconst_CNTR_ActivityData&amp;E168</f>
        <v>ActivityData_</v>
      </c>
      <c r="U173" s="23"/>
      <c r="V173" s="355" t="str">
        <f>IF(E167="","",INDEX('B_Polttoainevirtojen tiedot'!$I$67:$I$91,MATCH(U166,'B_Polttoainevirtojen tiedot'!$D$67:$D$91,0)))</f>
        <v/>
      </c>
      <c r="W173" s="342" t="s">
        <v>121</v>
      </c>
      <c r="X173" s="23"/>
      <c r="Y173" s="356" t="str">
        <f>IF(E168="","",INDEX(EUwideConstants!$P$153:$P$180,MATCH(T173,EUwideConstants!$S$153:$S$180,0)))</f>
        <v/>
      </c>
      <c r="Z173" s="357" t="str">
        <f>IF(ISBLANK(F173),"",IF(F173=EUconst_NA,"",INDEX(EUwideConstants!$H:$O,MATCH(T173,EUwideConstants!$S:$S,0),MATCH(F173,CNTR_TierList,0))))</f>
        <v/>
      </c>
      <c r="AA173" s="358" t="s">
        <v>111</v>
      </c>
      <c r="AB173" s="342"/>
      <c r="AC173" s="339" t="b">
        <f>E167&lt;&gt;""</f>
        <v>0</v>
      </c>
      <c r="AD173" s="325"/>
      <c r="AE173" s="359" t="str">
        <f>EUconst_CNTR_ActivityData&amp;EUconst_Unit</f>
        <v>ActivityData_Yksikkö</v>
      </c>
      <c r="AF173" s="360" t="str">
        <f>IF(AC173=TRUE, IF(COUNTIF(MSPara_SourceStreamCategory,V173)=0,"",INDEX(MSPara_CalcFactorsMatrix,MATCH(V173,MSPara_SourceStreamCategory,0),MATCH(AE173&amp;"_"&amp;2,MSPara_CalcFactors,0))),"")</f>
        <v/>
      </c>
      <c r="AG173" s="361" t="str">
        <f>IF(AC173=TRUE, IF(COUNTIF(MSPara_SourceStreamCategory,V173)=0,"",INDEX(MSPara_CalcFactorsMatrix,MATCH(V173,MSPara_SourceStreamCategory,0),MATCH(AE173&amp;"_"&amp;1,MSPara_CalcFactors,0))),"")</f>
        <v/>
      </c>
      <c r="AH173" s="339" t="str">
        <f>IF(OR(AF173="",AF173=EUconst_NA),IF(OR(AG173=EUconst_NA,AG173=""),"",AG173),AF173)</f>
        <v/>
      </c>
      <c r="AI173" s="356" t="str">
        <f>IF(AC173=TRUE,IF(AH173="",EUconst_t,AH173),"")</f>
        <v/>
      </c>
      <c r="AJ173" s="362" t="str">
        <f>IF(J173="",AI173,J173)</f>
        <v/>
      </c>
      <c r="AK173" s="363" t="b">
        <f>AND(E167&lt;&gt;"",J173&lt;&gt;"")</f>
        <v>0</v>
      </c>
      <c r="AL173" s="337"/>
      <c r="AM173" s="404" t="s">
        <v>122</v>
      </c>
      <c r="AN173" s="403" t="str">
        <f>AJ173</f>
        <v/>
      </c>
      <c r="AO173" s="337"/>
      <c r="AP173" s="337"/>
      <c r="AQ173" s="355" t="str">
        <f>EUconst_CNTR_ActivityData&amp;EUconst_Value</f>
        <v>ActivityData_Arvo</v>
      </c>
      <c r="AR173" s="343"/>
      <c r="AS173" s="343"/>
      <c r="AT173" s="339" t="b">
        <f>AND(AND(AH173&lt;&gt;"",AJ173&lt;&gt;""),AJ173=AH173)</f>
        <v>0</v>
      </c>
      <c r="AU173" s="325"/>
      <c r="AV173" s="339">
        <f>IF(Y173=EUconst_NA,0,IF(COUNT(K173:K173)=0,0,IF(K173="",#REF!,K173)))</f>
        <v>0</v>
      </c>
      <c r="AW173" s="346" t="b">
        <f>AND(AC173=TRUE,OR(K173&lt;&gt;"",AU173=""))</f>
        <v>0</v>
      </c>
      <c r="AX173" s="346" t="b">
        <f>AND(AC173=TRUE,NOT(AW173))</f>
        <v>0</v>
      </c>
      <c r="AY173" s="325"/>
      <c r="AZ173" s="325" t="s">
        <v>123</v>
      </c>
      <c r="BA173" s="325" t="s">
        <v>124</v>
      </c>
      <c r="BB173" s="346"/>
      <c r="BC173" s="325" t="s">
        <v>125</v>
      </c>
      <c r="BD173" s="325"/>
      <c r="BE173" s="325"/>
      <c r="BF173" s="400" t="str">
        <f>Translations!$B$390</f>
        <v>CO2 fossil</v>
      </c>
      <c r="BG173" s="495" t="str">
        <f>IF(COUNTIF(AO176:AO177,TRUE)=0,"",AV173*IF(AO176,1,AV175*AN177)*AV176*(1-AV177)*AV180)</f>
        <v/>
      </c>
      <c r="BH173" s="325"/>
      <c r="BI173" s="325"/>
      <c r="BJ173" s="325"/>
      <c r="BK173" s="325"/>
      <c r="BL173" s="325"/>
      <c r="BM173" s="325"/>
      <c r="BN173" s="325"/>
      <c r="BO173" s="325"/>
      <c r="BP173" s="325"/>
      <c r="BQ173" s="325"/>
      <c r="BR173" s="325"/>
      <c r="BS173" s="325"/>
      <c r="BT173" s="325"/>
      <c r="BU173" s="325"/>
      <c r="BV173" s="325"/>
      <c r="BW173" s="325"/>
      <c r="BX173" s="325"/>
      <c r="BY173" s="325"/>
      <c r="BZ173" s="325"/>
      <c r="CA173" s="325"/>
      <c r="CB173" s="325"/>
      <c r="CC173" s="325"/>
      <c r="CD173" s="325"/>
      <c r="CE173" s="325"/>
      <c r="CF173" s="325"/>
      <c r="CG173" s="346" t="b">
        <v>0</v>
      </c>
    </row>
    <row r="174" spans="1:85" ht="5.15" customHeight="1" thickBot="1" x14ac:dyDescent="0.3">
      <c r="A174" s="318"/>
      <c r="B174" s="21"/>
      <c r="C174" s="344"/>
      <c r="D174" s="188"/>
      <c r="E174" s="22"/>
      <c r="F174" s="22"/>
      <c r="G174" s="22"/>
      <c r="H174" s="22" t="str">
        <f>Translations!$B$397</f>
        <v xml:space="preserve"> </v>
      </c>
      <c r="I174" s="364"/>
      <c r="J174" s="364"/>
      <c r="K174" s="22"/>
      <c r="L174" s="22"/>
      <c r="M174" s="487"/>
      <c r="N174" s="22"/>
      <c r="O174" s="323"/>
      <c r="P174" s="301"/>
      <c r="Q174" s="23"/>
      <c r="R174" s="23"/>
      <c r="S174" s="325"/>
      <c r="T174" s="277"/>
      <c r="U174" s="23"/>
      <c r="V174" s="325"/>
      <c r="W174" s="325"/>
      <c r="X174" s="23"/>
      <c r="Y174" s="330"/>
      <c r="Z174" s="325"/>
      <c r="AA174" s="325"/>
      <c r="AB174" s="325"/>
      <c r="AC174" s="325"/>
      <c r="AD174" s="325"/>
      <c r="AE174" s="325"/>
      <c r="AF174" s="325"/>
      <c r="AG174" s="325"/>
      <c r="AH174" s="325"/>
      <c r="AI174" s="325"/>
      <c r="AJ174" s="325"/>
      <c r="AK174" s="325"/>
      <c r="AL174" s="337"/>
      <c r="AM174" s="337"/>
      <c r="AN174" s="337"/>
      <c r="AO174" s="337"/>
      <c r="AP174" s="337"/>
      <c r="AQ174" s="325"/>
      <c r="AR174" s="325"/>
      <c r="AS174" s="325"/>
      <c r="AT174" s="325"/>
      <c r="AU174" s="325"/>
      <c r="AV174" s="325"/>
      <c r="AW174" s="325"/>
      <c r="AX174" s="325"/>
      <c r="AY174" s="325"/>
      <c r="AZ174" s="325"/>
      <c r="BA174" s="325"/>
      <c r="BB174" s="325"/>
      <c r="BC174" s="325"/>
      <c r="BD174" s="325"/>
      <c r="BE174" s="325"/>
      <c r="BF174" s="325"/>
      <c r="BG174" s="496"/>
      <c r="BH174" s="325"/>
      <c r="BI174" s="325"/>
      <c r="BJ174" s="325"/>
      <c r="BK174" s="325"/>
      <c r="BL174" s="325"/>
      <c r="BM174" s="325"/>
      <c r="BN174" s="325"/>
      <c r="BO174" s="325"/>
      <c r="BP174" s="325"/>
      <c r="BQ174" s="325"/>
      <c r="BR174" s="325"/>
      <c r="BS174" s="325"/>
      <c r="BT174" s="325"/>
      <c r="BU174" s="325"/>
      <c r="BV174" s="325"/>
      <c r="BW174" s="325"/>
      <c r="BX174" s="325"/>
      <c r="BY174" s="325"/>
      <c r="BZ174" s="325"/>
      <c r="CA174" s="325"/>
      <c r="CB174" s="325"/>
      <c r="CC174" s="325"/>
      <c r="CD174" s="325"/>
      <c r="CE174" s="325"/>
      <c r="CF174" s="325"/>
      <c r="CG174" s="330"/>
    </row>
    <row r="175" spans="1:85" ht="12.75" customHeight="1" thickBot="1" x14ac:dyDescent="0.3">
      <c r="A175" s="318"/>
      <c r="B175" s="21"/>
      <c r="C175" s="344"/>
      <c r="D175" s="345" t="str">
        <f>Translations!$B$360</f>
        <v>Yksikön muuntokerroin:</v>
      </c>
      <c r="E175" s="350"/>
      <c r="F175" s="443"/>
      <c r="G175" s="1120" t="str">
        <f>IF(OR(ISBLANK(F175),F175=EUconst_NoTier),"",IF(Z175=0,EUconst_NotApplicable,IF(ISERROR(Z175),"",Z175)))</f>
        <v/>
      </c>
      <c r="H175" s="1122"/>
      <c r="I175" s="444" t="str">
        <f>IF(J175&lt;&gt;"","",AI175)</f>
        <v/>
      </c>
      <c r="J175" s="445"/>
      <c r="K175" s="632" t="str">
        <f>IF(L175="",AU175,"")</f>
        <v/>
      </c>
      <c r="L175" s="633"/>
      <c r="M175" s="486" t="str">
        <f>IF(AND(E168&lt;&gt;"",OR(F175="",COUNT(K175:L175)=0),Y175&lt;&gt;EUconst_NA),EUconst_ERR_Incomplete,IF(COUNTIF(BB175:BD175,TRUE)&gt;0,EUconst_ERR_Inconsistent,""))</f>
        <v/>
      </c>
      <c r="N175" s="752"/>
      <c r="O175" s="323"/>
      <c r="P175" s="301"/>
      <c r="Q175" s="23"/>
      <c r="R175" s="23"/>
      <c r="S175" s="325"/>
      <c r="T175" s="365" t="str">
        <f>EUconst_CNTR_UCF&amp;E168</f>
        <v>UCF_</v>
      </c>
      <c r="U175" s="23"/>
      <c r="V175" s="366" t="str">
        <f>V176</f>
        <v/>
      </c>
      <c r="W175" s="325"/>
      <c r="X175" s="23"/>
      <c r="Y175" s="448" t="str">
        <f>IF(E168="","",IF(OR(F175=EUconst_NA,W175=TRUE),EUconst_NA,INDEX(EUwideConstants!$P$153:$P$180,MATCH(T175,EUwideConstants!$S$153:$S$180,0))))</f>
        <v/>
      </c>
      <c r="Z175" s="471" t="str">
        <f>IF(ISBLANK(F175),"",IF(F175=EUconst_NA,"",INDEX(EUwideConstants!$H:$O,MATCH(T175,EUwideConstants!$S:$S,0),MATCH(F175,CNTR_TierList,0))))</f>
        <v/>
      </c>
      <c r="AA175" s="449" t="str">
        <f>IF(COUNTIF(EUconst_DefaultValues,Z175)&gt;0,MATCH(Z175,EUconst_DefaultValues,0),"")</f>
        <v/>
      </c>
      <c r="AB175" s="325"/>
      <c r="AC175" s="367" t="b">
        <f>AND(AC173,Y175&lt;&gt;EUconst_NA)</f>
        <v>0</v>
      </c>
      <c r="AD175" s="325"/>
      <c r="AE175" s="359" t="str">
        <f>EUconst_CNTR_UCF&amp;EUconst_Unit</f>
        <v>UCF_Yksikkö</v>
      </c>
      <c r="AF175" s="368" t="str">
        <f>IF(AC175=TRUE, IF(COUNTIF(MSPara_SourceStreamCategory,V175)=0,"",INDEX(MSPara_CalcFactorsMatrix,MATCH(V175,MSPara_SourceStreamCategory,0),MATCH(AE175&amp;"_"&amp;2,MSPara_CalcFactors,0))),"")</f>
        <v/>
      </c>
      <c r="AG175" s="372" t="str">
        <f>IF(AC175=TRUE, IF(COUNTIF(MSPara_SourceStreamCategory,V175)=0,"",INDEX(MSPara_CalcFactorsMatrix,MATCH(V175,MSPara_SourceStreamCategory,0),MATCH(AE175&amp;"_"&amp;1,MSPara_CalcFactors,0))),"")</f>
        <v/>
      </c>
      <c r="AH175" s="367" t="str">
        <f>IF(AA175="","",INDEX(AF175:AG175,3-AA175))</f>
        <v/>
      </c>
      <c r="AI175" s="367" t="str">
        <f>IF(AC175=TRUE,IF(OR(AH175="",AH175=EUconst_NA),EUconst_GJ&amp;"/"&amp;AJ173,AH175),"")</f>
        <v/>
      </c>
      <c r="AJ175" s="367" t="str">
        <f>IF(J175="",AI175,J175)</f>
        <v/>
      </c>
      <c r="AK175" s="366" t="b">
        <f>AND(E167&lt;&gt;"",J175&lt;&gt;"")</f>
        <v>0</v>
      </c>
      <c r="AL175" s="337"/>
      <c r="AM175" s="404" t="s">
        <v>127</v>
      </c>
      <c r="AN175" s="403" t="str">
        <f>IF(AJ175="",EUconst_NA,IF(AN173=EUconst_TJ,EUconst_TJ,INDEX(EUwideConstants!$C$124:$G$128,MATCH(AN173,RFAUnits,0),MATCH(AJ175,UCFUnits,0))))</f>
        <v>ei sovellettavissa</v>
      </c>
      <c r="AO175" s="337"/>
      <c r="AP175" s="337"/>
      <c r="AQ175" s="454" t="str">
        <f>EUconst_CNTR_UCF&amp;EUconst_Value</f>
        <v>UCF_Arvo</v>
      </c>
      <c r="AR175" s="475" t="str">
        <f>IF(AC175=TRUE,IF(COUNTIF(MSPara_SourceStreamCategory,V175)=0,"",INDEX(MSPara_CalcFactorsMatrix,MATCH(V175,MSPara_SourceStreamCategory,0),MATCH(AQ175&amp;"_"&amp;2,MSPara_CalcFactors,0))),"")</f>
        <v/>
      </c>
      <c r="AS175" s="371" t="str">
        <f>IF(AC175=TRUE,IF(COUNTIF(MSPara_SourceStreamCategory,V175)=0,"",INDEX(MSPara_CalcFactorsMatrix,MATCH(V175,MSPara_SourceStreamCategory,0),MATCH(AQ175&amp;"_"&amp;1,MSPara_CalcFactors,0))),"")</f>
        <v/>
      </c>
      <c r="AT175" s="369" t="b">
        <f>AND(AND(AH175&lt;&gt;"",AJ175&lt;&gt;""),AJ175=AH175)</f>
        <v>0</v>
      </c>
      <c r="AU175" s="381" t="str">
        <f>IF(AND(AA175&lt;&gt;"",AT175=TRUE),IF(OR(INDEX(AR175:AS175,3-AA175)=EUconst_NA,INDEX(AR175:AS175,3-AA175)=0),"",INDEX(AR175:AS175,3-AA175)),"")</f>
        <v/>
      </c>
      <c r="AV175" s="367">
        <f>IF(AC175=TRUE,IF(COUNT(K175:L175)=0,0,IF(L175="",K175,L175)),0)</f>
        <v>0</v>
      </c>
      <c r="AW175" s="366" t="b">
        <f>AND(AC175=TRUE,OR(AND(F175&lt;&gt;"",NOT(ISNUMBER(AA175))),L175&lt;&gt;"",F175="",AU175=""))</f>
        <v>0</v>
      </c>
      <c r="AX175" s="370" t="b">
        <f>AND(AC175=TRUE,NOT(AW175))</f>
        <v>0</v>
      </c>
      <c r="AY175" s="325"/>
      <c r="AZ175" s="373" t="b">
        <f>AND(ISNUMBER(AA175),AU175="")</f>
        <v>0</v>
      </c>
      <c r="BA175" s="399" t="b">
        <f>AND(ISNUMBER(AA175),AU175&lt;&gt;AV175)</f>
        <v>0</v>
      </c>
      <c r="BB175" s="366" t="b">
        <f>AND(E168&lt;&gt;"",F175&lt;&gt;EUconst_NA,AN175=EUconst_NA)</f>
        <v>0</v>
      </c>
      <c r="BC175" s="366" t="b">
        <f>AND(L175&lt;&gt;"",Y175=EUconst_NA)</f>
        <v>0</v>
      </c>
      <c r="BD175" s="325"/>
      <c r="BE175" s="325"/>
      <c r="BF175" s="373" t="s">
        <v>128</v>
      </c>
      <c r="BG175" s="497" t="str">
        <f>IF(COUNTIF(AO176:AO177,TRUE)=0,"",AV173*IF(AO176,1,AV175*AN177)*AV176*AV177*AV180)</f>
        <v/>
      </c>
      <c r="BH175" s="325"/>
      <c r="BI175" s="325"/>
      <c r="BJ175" s="325"/>
      <c r="BK175" s="325"/>
      <c r="BL175" s="325"/>
      <c r="BM175" s="325"/>
      <c r="BN175" s="325"/>
      <c r="BO175" s="325"/>
      <c r="BP175" s="325"/>
      <c r="BQ175" s="325"/>
      <c r="BR175" s="325"/>
      <c r="BS175" s="325"/>
      <c r="BT175" s="325"/>
      <c r="BU175" s="325"/>
      <c r="BV175" s="325"/>
      <c r="BW175" s="325"/>
      <c r="BX175" s="325"/>
      <c r="BY175" s="325"/>
      <c r="BZ175" s="325"/>
      <c r="CA175" s="325"/>
      <c r="CB175" s="325"/>
      <c r="CC175" s="325"/>
      <c r="CD175" s="325"/>
      <c r="CE175" s="325"/>
      <c r="CF175" s="325"/>
      <c r="CG175" s="375" t="b">
        <f>OR(CG173,Y175=EUconst_NA)</f>
        <v>0</v>
      </c>
    </row>
    <row r="176" spans="1:85" ht="12.75" customHeight="1" thickBot="1" x14ac:dyDescent="0.3">
      <c r="A176" s="318"/>
      <c r="B176" s="21"/>
      <c r="C176" s="344"/>
      <c r="D176" s="345" t="str">
        <f>Translations!$B$358</f>
        <v>Päästökerroin (alustava):</v>
      </c>
      <c r="E176" s="350"/>
      <c r="F176" s="624"/>
      <c r="G176" s="1120" t="str">
        <f>IF(OR(ISBLANK(F176),F176=EUconst_NoTier),"",IF(Z176=0,EUconst_NotApplicable,IF(ISERROR(Z176),"",Z176)))</f>
        <v/>
      </c>
      <c r="H176" s="1121"/>
      <c r="I176" s="625" t="str">
        <f>IF(J176&lt;&gt;"","",AI176)</f>
        <v/>
      </c>
      <c r="J176" s="631"/>
      <c r="K176" s="634" t="str">
        <f>IF(L176="",AU176,"")</f>
        <v/>
      </c>
      <c r="L176" s="754"/>
      <c r="M176" s="486" t="str">
        <f>IF(AND(E168&lt;&gt;"",OR(F176="",COUNT(K176:L176)=0),Y176&lt;&gt;EUconst_NA),EUconst_ERR_Incomplete,IF(COUNTIF(BB176:BD176,TRUE)&gt;0,EUconst_ERR_Inconsistent,""))</f>
        <v/>
      </c>
      <c r="N176" s="753"/>
      <c r="O176" s="323"/>
      <c r="P176" s="301"/>
      <c r="Q176" s="23"/>
      <c r="R176" s="23"/>
      <c r="S176" s="325"/>
      <c r="T176" s="374" t="str">
        <f>EUconst_CNTR_EF&amp;E168</f>
        <v>EF_</v>
      </c>
      <c r="U176" s="23"/>
      <c r="V176" s="375" t="str">
        <f>V173</f>
        <v/>
      </c>
      <c r="W176" s="325"/>
      <c r="X176" s="23"/>
      <c r="Y176" s="450" t="str">
        <f>IF(E168="","",IF(OR(F176=EUconst_NA,W176=TRUE),EUconst_NA,INDEX(EUwideConstants!$P$153:$P$180,MATCH(T176,EUwideConstants!$S$153:$S$180,0))))</f>
        <v/>
      </c>
      <c r="Z176" s="472" t="str">
        <f>IF(ISBLANK(F176),"",IF(F176=EUconst_NA,"",INDEX(EUwideConstants!$H:$O,MATCH(T176,EUwideConstants!$S:$S,0),MATCH(F176,CNTR_TierList,0))))</f>
        <v/>
      </c>
      <c r="AA176" s="451" t="str">
        <f>IF(COUNTIF(EUconst_DefaultValues,Z176)&gt;0,MATCH(Z176,EUconst_DefaultValues,0),"")</f>
        <v/>
      </c>
      <c r="AB176" s="325"/>
      <c r="AC176" s="376" t="b">
        <f>AND(AC173,Y176&lt;&gt;EUconst_NA)</f>
        <v>0</v>
      </c>
      <c r="AD176" s="325"/>
      <c r="AE176" s="377" t="str">
        <f>EUconst_CNTR_EF&amp;EUconst_Unit</f>
        <v>EF_Yksikkö</v>
      </c>
      <c r="AF176" s="378" t="str">
        <f>IF(AC176=TRUE, IF(COUNTIF(MSPara_SourceStreamCategory,V176)=0,"",INDEX(MSPara_CalcFactorsMatrix,MATCH(V176,MSPara_SourceStreamCategory,0),MATCH(AE176&amp;"_"&amp;2,MSPara_CalcFactors,0))),"")</f>
        <v/>
      </c>
      <c r="AG176" s="464" t="str">
        <f>IF(AC176=TRUE, IF(COUNTIF(MSPara_SourceStreamCategory,V176)=0,"",INDEX(MSPara_CalcFactorsMatrix,MATCH(V176,MSPara_SourceStreamCategory,0),MATCH(AE176&amp;"_"&amp;1,MSPara_CalcFactors,0))),"")</f>
        <v/>
      </c>
      <c r="AH176" s="376" t="str">
        <f>IF(AA176="","",INDEX(AF176:AG176,3-AA176))</f>
        <v/>
      </c>
      <c r="AI176" s="376" t="str">
        <f>IF(AC176=TRUE,IF(OR(AH176="",AH176=EUconst_NA),EUconst_tCO2&amp;"/"&amp;IF(AN175=EUconst_NA,AN173,IF(AN175=EUconst_GJ,EUconst_TJ,AN175)),AH176),"")</f>
        <v/>
      </c>
      <c r="AJ176" s="376" t="str">
        <f>IF(J176="",AI176,J176)</f>
        <v/>
      </c>
      <c r="AK176" s="375" t="b">
        <f>AND(E168&lt;&gt;"",J176&lt;&gt;"")</f>
        <v>0</v>
      </c>
      <c r="AL176" s="337"/>
      <c r="AM176" s="404" t="s">
        <v>130</v>
      </c>
      <c r="AN176" s="403" t="str">
        <f>IF(COUNTIF(RFAUnits,AN173)=0,EUconst_NA,INDEX(EUwideConstants!$C$139:$H$143,MATCH(AJ176,EFUnits,0),MATCH(AN173,EUwideConstants!$C$138:$H$138,0)))</f>
        <v>ei sovellettavissa</v>
      </c>
      <c r="AO176" s="403" t="b">
        <f>AN176&lt;&gt;EUconst_NA</f>
        <v>0</v>
      </c>
      <c r="AP176" s="337"/>
      <c r="AQ176" s="455" t="str">
        <f>EUconst_CNTR_EF&amp;EUconst_Value</f>
        <v>EF_Arvo</v>
      </c>
      <c r="AR176" s="476" t="str">
        <f>IF(AC176=TRUE,IF(COUNTIF(MSPara_SourceStreamCategory,V176)=0,"",INDEX(MSPara_CalcFactorsMatrix,MATCH(V176,MSPara_SourceStreamCategory,0),MATCH(AQ176&amp;"_"&amp;2,MSPara_CalcFactors,0))),"")</f>
        <v/>
      </c>
      <c r="AS176" s="383" t="str">
        <f>IF(AC176=TRUE,IF(COUNTIF(MSPara_SourceStreamCategory,V176)=0,"",INDEX(MSPara_CalcFactorsMatrix,MATCH(V176,MSPara_SourceStreamCategory,0),MATCH(AQ176&amp;"_"&amp;1,MSPara_CalcFactors,0))),"")</f>
        <v/>
      </c>
      <c r="AT176" s="456" t="b">
        <f>AND(AND(AH176&lt;&gt;"",AJ176&lt;&gt;""),AJ176=AH176)</f>
        <v>0</v>
      </c>
      <c r="AU176" s="334" t="str">
        <f>IF(AND(AA176&lt;&gt;"",AT176=TRUE),IF(OR(INDEX(AR176:AS176,3-AA176)=EUconst_NA,INDEX(AR176:AS176,3-AA176)=0),"",INDEX(AR176:AS176,3-AA176)),"")</f>
        <v/>
      </c>
      <c r="AV176" s="376">
        <f>IF(AC176=TRUE,IF(COUNT(K176:L176)=0,0,IF(L176="",K176,L176)),0)</f>
        <v>0</v>
      </c>
      <c r="AW176" s="375" t="b">
        <f>AND(AC176=TRUE,OR(AND(F176&lt;&gt;"",NOT(ISNUMBER(AA176))),L176&lt;&gt;"",F176="",AU176=""))</f>
        <v>0</v>
      </c>
      <c r="AX176" s="457" t="b">
        <f>AND(AC176=TRUE,NOT(AW176))</f>
        <v>0</v>
      </c>
      <c r="AY176" s="325"/>
      <c r="AZ176" s="379" t="b">
        <f>AND(ISNUMBER(AA176),AU176="")</f>
        <v>0</v>
      </c>
      <c r="BA176" s="380" t="b">
        <f>AND(ISNUMBER(AA176),AU176&lt;&gt;AV176)</f>
        <v>0</v>
      </c>
      <c r="BB176" s="382" t="b">
        <f>AND(E168&lt;&gt;"",COUNTIF(AO176:AO177,TRUE)=0)</f>
        <v>0</v>
      </c>
      <c r="BC176" s="375" t="b">
        <f>AND(L176&lt;&gt;"",Y176=EUconst_NA)</f>
        <v>0</v>
      </c>
      <c r="BD176" s="325"/>
      <c r="BE176" s="325"/>
      <c r="BF176" s="379" t="s">
        <v>131</v>
      </c>
      <c r="BG176" s="498" t="str">
        <f>IF(COUNTIF(AO176:AO177,TRUE)=0,"",AV173*IF(AO176,1,AV175*AN177)*AV176*AV178*AV180)</f>
        <v/>
      </c>
      <c r="BH176" s="325"/>
      <c r="BI176" s="325"/>
      <c r="BJ176" s="325"/>
      <c r="BK176" s="325"/>
      <c r="BL176" s="325"/>
      <c r="BM176" s="325"/>
      <c r="BN176" s="325"/>
      <c r="BO176" s="325"/>
      <c r="BP176" s="325"/>
      <c r="BQ176" s="325"/>
      <c r="BR176" s="325"/>
      <c r="BS176" s="325"/>
      <c r="BT176" s="325"/>
      <c r="BU176" s="325"/>
      <c r="BV176" s="325"/>
      <c r="BW176" s="325"/>
      <c r="BX176" s="325"/>
      <c r="BY176" s="325"/>
      <c r="BZ176" s="325"/>
      <c r="CA176" s="325"/>
      <c r="CB176" s="325"/>
      <c r="CC176" s="325"/>
      <c r="CD176" s="325"/>
      <c r="CE176" s="325"/>
      <c r="CF176" s="325"/>
      <c r="CG176" s="366" t="b">
        <f>OR(CG173,Y176=EUconst_NA)</f>
        <v>0</v>
      </c>
    </row>
    <row r="177" spans="1:85" ht="12.75" customHeight="1" x14ac:dyDescent="0.25">
      <c r="A177" s="318"/>
      <c r="B177" s="21"/>
      <c r="C177" s="344"/>
      <c r="D177" s="345" t="str">
        <f>Translations!$B$362</f>
        <v>Biomassaosuus:</v>
      </c>
      <c r="E177" s="350"/>
      <c r="F177" s="624"/>
      <c r="G177" s="1120" t="str">
        <f>IF(OR(ISBLANK(F177),F177=EUconst_NoTier),"",IF(Z177=0,EUconst_NotApplicable,IF(ISERROR(Z177),"",Z177)))</f>
        <v/>
      </c>
      <c r="H177" s="1122"/>
      <c r="I177" s="626" t="str">
        <f>IF(OR(AC177=FALSE,Y177=EUconst_NA),"","-")</f>
        <v/>
      </c>
      <c r="J177" s="446"/>
      <c r="K177" s="635" t="str">
        <f>IF(L177="",AU177,"")</f>
        <v/>
      </c>
      <c r="L177" s="627"/>
      <c r="M177" s="486" t="str">
        <f>IF(AND(E168&lt;&gt;"",OR(F177="",COUNT(K177:L177)=0),Y177&lt;&gt;EUconst_NA),EUconst_ERR_Incomplete,IF(COUNTIF(BB177:BD177,TRUE)&gt;0,EUconst_ERR_Inconsistent,""))</f>
        <v/>
      </c>
      <c r="O177" s="323"/>
      <c r="P177" s="612"/>
      <c r="Q177" s="354"/>
      <c r="R177" s="354"/>
      <c r="S177" s="325"/>
      <c r="T177" s="374" t="str">
        <f>EUconst_CNTR_BiomassContent&amp;E168</f>
        <v>BioC_</v>
      </c>
      <c r="U177" s="23"/>
      <c r="V177" s="375" t="str">
        <f>V175</f>
        <v/>
      </c>
      <c r="W177" s="366" t="e">
        <f>IF(COUNTIF(MSPara_SourceStreamCategory,V177)=0,"",INDEX(MSPara_IsFossil,MATCH(V177,MSPara_SourceStreamCategory,0)))</f>
        <v>#N/A</v>
      </c>
      <c r="X177" s="23"/>
      <c r="Y177" s="450" t="str">
        <f>IF(E168="","",IF(OR(F177=EUconst_NA,W177=TRUE),EUconst_NA,INDEX(EUwideConstants!$P$153:$P$180,MATCH(T177,EUwideConstants!$S$153:$S$180,0))))</f>
        <v/>
      </c>
      <c r="Z177" s="472" t="str">
        <f>IF(ISBLANK(F177),"",IF(F177=EUconst_NA,"",INDEX(EUwideConstants!$H:$O,MATCH(T177,EUwideConstants!$S:$S,0),MATCH(F177,CNTR_TierList,0))))</f>
        <v/>
      </c>
      <c r="AA177" s="681" t="str">
        <f>IF(F177=1,1,"")</f>
        <v/>
      </c>
      <c r="AB177" s="325"/>
      <c r="AC177" s="376" t="b">
        <f>AND(AC173,Y177&lt;&gt;EUconst_NA)</f>
        <v>0</v>
      </c>
      <c r="AD177" s="325"/>
      <c r="AE177" s="462"/>
      <c r="AF177" s="460"/>
      <c r="AG177" s="465"/>
      <c r="AH177" s="467"/>
      <c r="AI177" s="467"/>
      <c r="AJ177" s="467"/>
      <c r="AK177" s="469"/>
      <c r="AL177" s="337"/>
      <c r="AM177" s="404" t="s">
        <v>132</v>
      </c>
      <c r="AN177" s="403" t="str">
        <f>IF(AN175=EUconst_NA,EUconst_NA,INDEX(EUwideConstants!$C$139:$H$143,MATCH(AJ176,EFUnits,0),MATCH(AN175,EUwideConstants!$C$138:$H$138,0)))</f>
        <v>ei sovellettavissa</v>
      </c>
      <c r="AO177" s="403" t="b">
        <f>AN177&lt;&gt;EUconst_NA</f>
        <v>0</v>
      </c>
      <c r="AP177" s="337"/>
      <c r="AQ177" s="455" t="str">
        <f>EUconst_CNTR_BiomassContent&amp;EUconst_Value</f>
        <v>BioC_Arvo</v>
      </c>
      <c r="AR177" s="462"/>
      <c r="AS177" s="383" t="str">
        <f>IF(AC177=TRUE,IF(COUNTIF(MSPara_SourceStreamCategory,V177)=0,"",INDEX(MSPara_CalcFactorsMatrix,MATCH(V177,MSPara_SourceStreamCategory,0),MATCH(AQ177&amp;"_"&amp;2,MSPara_CalcFactors,0))),"")</f>
        <v/>
      </c>
      <c r="AT177" s="458"/>
      <c r="AU177" s="334" t="str">
        <f>IF(OR(AA177="",AS177=EUconst_NA),"",AS177)</f>
        <v/>
      </c>
      <c r="AV177" s="376">
        <f>IF(AC177=TRUE,IF(COUNT(K177:L177)=0,0,IF(L177="",K177,L177)),0)</f>
        <v>0</v>
      </c>
      <c r="AW177" s="375" t="b">
        <f>AND(AC177=TRUE,OR(AND(F177&lt;&gt;"",NOT(ISNUMBER(AA177))),L177&lt;&gt;"",F177="",AU177=""))</f>
        <v>0</v>
      </c>
      <c r="AX177" s="457" t="b">
        <f>AND(AC177=TRUE,NOT(AW177))</f>
        <v>0</v>
      </c>
      <c r="AY177" s="325"/>
      <c r="AZ177" s="379" t="b">
        <f>AND(ISNUMBER(AA177),AU177="")</f>
        <v>0</v>
      </c>
      <c r="BA177" s="380" t="b">
        <f>AND(ISNUMBER(AA177),AU177&lt;&gt;AV177)</f>
        <v>0</v>
      </c>
      <c r="BB177" s="325"/>
      <c r="BC177" s="375" t="b">
        <f>AND(L177&lt;&gt;"",Y177=EUconst_NA)</f>
        <v>0</v>
      </c>
      <c r="BD177" s="366" t="b">
        <f>OR(AV177&gt;100%,(AV177+AV178)&gt;100%)</f>
        <v>0</v>
      </c>
      <c r="BE177" s="325"/>
      <c r="BF177" s="379" t="s">
        <v>133</v>
      </c>
      <c r="BG177" s="498" t="str">
        <f>IF(AN173=EUconst_TJ,AV173*(1-AV177),IF(AN175=EUconst_GJ,AV173*AV175/1000*(1-AV177),""))</f>
        <v/>
      </c>
      <c r="BH177" s="325"/>
      <c r="BI177" s="325"/>
      <c r="BJ177" s="325"/>
      <c r="BK177" s="325"/>
      <c r="BL177" s="325"/>
      <c r="BM177" s="325"/>
      <c r="BN177" s="325"/>
      <c r="BO177" s="325"/>
      <c r="BP177" s="325"/>
      <c r="BQ177" s="325"/>
      <c r="BR177" s="325"/>
      <c r="BS177" s="325"/>
      <c r="BT177" s="325"/>
      <c r="BU177" s="325"/>
      <c r="BV177" s="325"/>
      <c r="BW177" s="325"/>
      <c r="BX177" s="325"/>
      <c r="BY177" s="325"/>
      <c r="BZ177" s="325"/>
      <c r="CA177" s="325"/>
      <c r="CB177" s="325"/>
      <c r="CC177" s="325"/>
      <c r="CD177" s="325"/>
      <c r="CE177" s="325"/>
      <c r="CF177" s="325"/>
      <c r="CG177" s="375" t="b">
        <f>OR(CG173,Y177=EUconst_NA)</f>
        <v>0</v>
      </c>
    </row>
    <row r="178" spans="1:85" ht="12.75" customHeight="1" thickBot="1" x14ac:dyDescent="0.3">
      <c r="A178" s="318"/>
      <c r="B178" s="21"/>
      <c r="C178" s="344"/>
      <c r="D178" s="345" t="str">
        <f>Translations!$B$368</f>
        <v>Ei kestävä biomassaosuus:</v>
      </c>
      <c r="E178" s="350"/>
      <c r="F178" s="628"/>
      <c r="G178" s="1120" t="str">
        <f>IF(OR(ISBLANK(F178),F178=EUconst_NoTier),"",IF(Z178=0,EUconst_NotApplicable,IF(ISERROR(Z178),"",Z178)))</f>
        <v/>
      </c>
      <c r="H178" s="1122"/>
      <c r="I178" s="629" t="str">
        <f>IF(OR(AC178=FALSE,Y178=EUconst_NA),"","-")</f>
        <v/>
      </c>
      <c r="J178" s="447"/>
      <c r="K178" s="636" t="str">
        <f>IF(L178="",AU178,"")</f>
        <v/>
      </c>
      <c r="L178" s="630"/>
      <c r="M178" s="486" t="str">
        <f>IF(AND(E168&lt;&gt;"",OR(F178="",COUNT(K178:L178)=0),Y178&lt;&gt;EUconst_NA),EUconst_ERR_Incomplete,IF(COUNTIF(BB178:BD178,TRUE)&gt;0,EUconst_ERR_Inconsistent,""))</f>
        <v/>
      </c>
      <c r="N178" s="22"/>
      <c r="O178" s="323"/>
      <c r="P178" s="612"/>
      <c r="Q178" s="354"/>
      <c r="R178" s="354"/>
      <c r="S178" s="325"/>
      <c r="T178" s="384" t="str">
        <f>EUconst_CNTR_BiomassContent&amp;E168</f>
        <v>BioC_</v>
      </c>
      <c r="U178" s="23"/>
      <c r="V178" s="382" t="str">
        <f>V177</f>
        <v/>
      </c>
      <c r="W178" s="382" t="e">
        <f>IF(COUNTIF(MSPara_SourceStreamCategory,V178)=0,"",INDEX(MSPara_IsFossil,MATCH(V178,MSPara_SourceStreamCategory,0)))</f>
        <v>#N/A</v>
      </c>
      <c r="X178" s="23"/>
      <c r="Y178" s="452" t="str">
        <f>IF(E168="","",IF(OR(F178=EUconst_NA,W178=TRUE),EUconst_NA,INDEX(EUwideConstants!$P$153:$P$180,MATCH(T178,EUwideConstants!$S$153:$S$180,0))))</f>
        <v/>
      </c>
      <c r="Z178" s="473" t="str">
        <f>IF(ISBLANK(F178),"",IF(F178=EUconst_NA,"",INDEX(EUwideConstants!$H:$O,MATCH(T178,EUwideConstants!$S:$S,0),MATCH(F178,CNTR_TierList,0))))</f>
        <v/>
      </c>
      <c r="AA178" s="682" t="str">
        <f>IF(F178=1,1,"")</f>
        <v/>
      </c>
      <c r="AB178" s="325"/>
      <c r="AC178" s="453" t="b">
        <f>AND(AC173,Y178&lt;&gt;EUconst_NA)</f>
        <v>0</v>
      </c>
      <c r="AD178" s="325"/>
      <c r="AE178" s="463"/>
      <c r="AF178" s="461"/>
      <c r="AG178" s="466"/>
      <c r="AH178" s="468"/>
      <c r="AI178" s="468"/>
      <c r="AJ178" s="468"/>
      <c r="AK178" s="470"/>
      <c r="AL178" s="337"/>
      <c r="AM178" s="337"/>
      <c r="AN178" s="337"/>
      <c r="AO178" s="337"/>
      <c r="AP178" s="337"/>
      <c r="AQ178" s="474" t="str">
        <f>EUconst_CNTR_BiomassContent&amp;EUconst_Value</f>
        <v>BioC_Arvo</v>
      </c>
      <c r="AR178" s="463"/>
      <c r="AS178" s="385" t="str">
        <f>IF(AC178=TRUE,IF(COUNTIF(MSPara_SourceStreamCategory,V178)=0,"",INDEX(MSPara_CalcFactorsMatrix,MATCH(V178,MSPara_SourceStreamCategory,0),MATCH(AQ178&amp;"_"&amp;2,MSPara_CalcFactors,0))),"")</f>
        <v/>
      </c>
      <c r="AT178" s="459"/>
      <c r="AU178" s="477" t="str">
        <f>IF(OR(AA178="",AS178=EUconst_NA),"",AS178)</f>
        <v/>
      </c>
      <c r="AV178" s="453">
        <f>IF(AC178=TRUE,IF(COUNT(K178:L178)=0,0,IF(L178="",K178,L178)),0)</f>
        <v>0</v>
      </c>
      <c r="AW178" s="382" t="b">
        <f>AND(AC178=TRUE,OR(AND(F178&lt;&gt;"",NOT(ISNUMBER(AA178))),L178&lt;&gt;"",F178="",AU178=""))</f>
        <v>0</v>
      </c>
      <c r="AX178" s="478" t="b">
        <f>AND(AC178=TRUE,NOT(AW178))</f>
        <v>0</v>
      </c>
      <c r="AY178" s="325"/>
      <c r="AZ178" s="386" t="b">
        <f>AND(ISNUMBER(AA178),AU178="")</f>
        <v>0</v>
      </c>
      <c r="BA178" s="387" t="b">
        <f>AND(ISNUMBER(AA178),AU178&lt;&gt;AV178)</f>
        <v>0</v>
      </c>
      <c r="BB178" s="325"/>
      <c r="BC178" s="382" t="b">
        <f>AND(L178&lt;&gt;"",Y178=EUconst_NA)</f>
        <v>0</v>
      </c>
      <c r="BD178" s="382" t="b">
        <f>OR(AV177&gt;100%,(AV177+AV178)&gt;100%)</f>
        <v>0</v>
      </c>
      <c r="BE178" s="325"/>
      <c r="BF178" s="386" t="s">
        <v>134</v>
      </c>
      <c r="BG178" s="499" t="str">
        <f>IF(AN173=EUconst_TJ,AV173*AV177,IF(AN175=EUconst_GJ,AV173*AV175/1000*AV177,""))</f>
        <v/>
      </c>
      <c r="BH178" s="325"/>
      <c r="BI178" s="325"/>
      <c r="BJ178" s="325"/>
      <c r="BK178" s="325"/>
      <c r="BL178" s="325"/>
      <c r="BM178" s="325"/>
      <c r="BN178" s="325"/>
      <c r="BO178" s="325"/>
      <c r="BP178" s="325"/>
      <c r="BQ178" s="325"/>
      <c r="BR178" s="325"/>
      <c r="BS178" s="325"/>
      <c r="BT178" s="325"/>
      <c r="BU178" s="325"/>
      <c r="BV178" s="325"/>
      <c r="BW178" s="325"/>
      <c r="BX178" s="325"/>
      <c r="BY178" s="325"/>
      <c r="BZ178" s="325"/>
      <c r="CA178" s="325"/>
      <c r="CB178" s="325"/>
      <c r="CC178" s="325"/>
      <c r="CD178" s="325"/>
      <c r="CE178" s="325"/>
      <c r="CF178" s="325"/>
      <c r="CG178" s="382" t="b">
        <f>OR(CG173,Y178=EUconst_NA)</f>
        <v>0</v>
      </c>
    </row>
    <row r="179" spans="1:85" ht="5.15" customHeight="1" thickBot="1" x14ac:dyDescent="0.3">
      <c r="A179" s="318"/>
      <c r="B179" s="21"/>
      <c r="C179" s="21"/>
      <c r="D179" s="327"/>
      <c r="E179" s="22"/>
      <c r="F179" s="22"/>
      <c r="G179" s="22"/>
      <c r="H179" s="22"/>
      <c r="I179" s="22"/>
      <c r="J179" s="22"/>
      <c r="K179" s="22"/>
      <c r="L179" s="22"/>
      <c r="M179" s="488"/>
      <c r="N179" s="22"/>
      <c r="O179" s="323"/>
      <c r="P179" s="301"/>
      <c r="Q179" s="23"/>
      <c r="R179" s="23"/>
      <c r="S179" s="325"/>
      <c r="T179" s="325"/>
      <c r="U179" s="325"/>
      <c r="V179" s="325"/>
      <c r="W179" s="325"/>
      <c r="X179" s="325"/>
      <c r="Y179" s="325"/>
      <c r="Z179" s="325"/>
      <c r="AA179" s="325"/>
      <c r="AB179" s="325"/>
      <c r="AC179" s="325"/>
      <c r="AD179" s="325"/>
      <c r="AE179" s="325"/>
      <c r="AF179" s="325"/>
      <c r="AG179" s="325"/>
      <c r="AH179" s="325"/>
      <c r="AI179" s="325"/>
      <c r="AJ179" s="325"/>
      <c r="AK179" s="325"/>
      <c r="AL179" s="325"/>
      <c r="AM179" s="325"/>
      <c r="AN179" s="325"/>
      <c r="AO179" s="325"/>
      <c r="AP179" s="325"/>
      <c r="AQ179" s="325"/>
      <c r="AR179" s="325"/>
      <c r="AS179" s="325"/>
      <c r="AT179" s="325"/>
      <c r="AU179" s="325"/>
      <c r="AV179" s="325"/>
      <c r="AW179" s="325"/>
      <c r="AX179" s="325"/>
      <c r="AY179" s="325"/>
      <c r="AZ179" s="325"/>
      <c r="BA179" s="325"/>
      <c r="BB179" s="325"/>
      <c r="BC179" s="325"/>
      <c r="BD179" s="325"/>
      <c r="BE179" s="325"/>
      <c r="BF179" s="325"/>
      <c r="BG179" s="325"/>
      <c r="BH179" s="325"/>
      <c r="BI179" s="325"/>
      <c r="BJ179" s="325"/>
      <c r="BK179" s="325"/>
      <c r="BL179" s="325"/>
      <c r="BM179" s="325"/>
      <c r="BN179" s="325"/>
      <c r="BO179" s="325"/>
      <c r="BP179" s="325"/>
      <c r="BQ179" s="325"/>
      <c r="BR179" s="325"/>
      <c r="BS179" s="325"/>
      <c r="BT179" s="325"/>
      <c r="BU179" s="325"/>
      <c r="BV179" s="325"/>
      <c r="BW179" s="325"/>
      <c r="BX179" s="325"/>
      <c r="BY179" s="325"/>
      <c r="BZ179" s="325"/>
      <c r="CA179" s="325"/>
      <c r="CB179" s="325"/>
      <c r="CC179" s="325"/>
      <c r="CD179" s="325"/>
      <c r="CE179" s="325"/>
      <c r="CF179" s="325"/>
      <c r="CG179" s="325"/>
    </row>
    <row r="180" spans="1:85" ht="12.75" customHeight="1" thickBot="1" x14ac:dyDescent="0.3">
      <c r="A180" s="318"/>
      <c r="B180" s="21"/>
      <c r="C180" s="344"/>
      <c r="D180" s="345" t="str">
        <f>Translations!$B$398</f>
        <v>Soveltamisalakerroin:</v>
      </c>
      <c r="E180" s="479"/>
      <c r="F180" s="803"/>
      <c r="G180" s="1125"/>
      <c r="H180" s="1126"/>
      <c r="I180" s="492" t="s">
        <v>52</v>
      </c>
      <c r="J180" s="480"/>
      <c r="K180" s="481" t="str">
        <f>IF(L180="",AU180,"")</f>
        <v/>
      </c>
      <c r="L180" s="607"/>
      <c r="M180" s="489" t="str">
        <f>IF(AND(E168&lt;&gt;"",OR(F180="",G180="",COUNT(K180:L180)=0)),EUconst_ERR_Incomplete,IF(COUNTIF(BB180:BD180,TRUE)&gt;0,EUconst_ERR_Inconsistent,""))</f>
        <v/>
      </c>
      <c r="N180" s="22"/>
      <c r="O180" s="323"/>
      <c r="P180" s="301"/>
      <c r="Q180" s="23"/>
      <c r="R180" s="325"/>
      <c r="S180" s="10"/>
      <c r="T180" s="48" t="str">
        <f>EUconst_CNTR_ScopeFactor&amp;E168</f>
        <v>ScopeFactor_</v>
      </c>
      <c r="U180" s="248" t="str">
        <f>IF(F180="","",INDEX(ScopeAddress,MATCH(F180,ScopeTiers,0)))</f>
        <v/>
      </c>
      <c r="V180" s="382" t="str">
        <f>V173</f>
        <v/>
      </c>
      <c r="W180" s="325"/>
      <c r="X180" s="325"/>
      <c r="Y180" s="452" t="str">
        <f>IF(E168="","",IF(F180=EUconst_NA,EUconst_NA,INDEX(EUwideConstants!$P$153:$P$180,MATCH(T180,EUwideConstants!$S$153:$S$180,0))))</f>
        <v/>
      </c>
      <c r="Z180" s="473" t="str">
        <f>IF(ISBLANK(F180),"",IF(F180=EUconst_NA,"",INDEX(EUwideConstants!$H:$O,MATCH(T180,EUwideConstants!$S:$S,0),MATCH(F180,CNTR_TierList,0))))</f>
        <v/>
      </c>
      <c r="AA180" s="339" t="str">
        <f>IF(G180=EUwideConstants!$A$88,1,"")</f>
        <v/>
      </c>
      <c r="AB180" s="325"/>
      <c r="AC180" s="376" t="b">
        <f>AND(AC173,Y180&lt;&gt;EUconst_NA)</f>
        <v>0</v>
      </c>
      <c r="AD180" s="325"/>
      <c r="AE180" s="325"/>
      <c r="AF180" s="325"/>
      <c r="AG180" s="330"/>
      <c r="AH180" s="325"/>
      <c r="AI180" s="325"/>
      <c r="AJ180" s="325"/>
      <c r="AK180" s="325"/>
      <c r="AL180" s="325"/>
      <c r="AM180" s="325"/>
      <c r="AN180" s="325"/>
      <c r="AO180" s="325"/>
      <c r="AP180" s="325"/>
      <c r="AQ180" s="325"/>
      <c r="AR180" s="325"/>
      <c r="AS180" s="338">
        <v>1</v>
      </c>
      <c r="AT180" s="325"/>
      <c r="AU180" s="330" t="str">
        <f>IF(G180=EUwideConstants!$A$88,AS180,"")</f>
        <v/>
      </c>
      <c r="AV180" s="376">
        <f>IF(AC180=TRUE,IF(COUNT(K180:L180)=0,0,IF(L180="",K180,L180)),0)</f>
        <v>0</v>
      </c>
      <c r="AW180" s="375" t="b">
        <f>AND(AC180=TRUE,OR(AND(F180&lt;&gt;"",NOT(ISNUMBER(AA180))),L180&lt;&gt;"",F180="",AU180=""))</f>
        <v>0</v>
      </c>
      <c r="AX180" s="457" t="b">
        <f>AND(AC180=TRUE,NOT(AW180))</f>
        <v>0</v>
      </c>
      <c r="AY180" s="325"/>
      <c r="AZ180" s="379" t="b">
        <f>AND(ISNUMBER(AA180),AU180="")</f>
        <v>0</v>
      </c>
      <c r="BA180" s="380" t="b">
        <f>AND(ISNUMBER(AA180),AU180&lt;&gt;AV180)</f>
        <v>0</v>
      </c>
      <c r="BB180" s="325"/>
      <c r="BC180" s="33" t="b">
        <f>AND(F180&lt;&gt;"",OR(COUNTIF(INDEX(ScopeMethods,F180,),G180)=0,AND(AA180&lt;&gt;"",AU180&lt;&gt;AV180)))</f>
        <v>0</v>
      </c>
      <c r="BD180" s="325"/>
      <c r="BE180" s="325"/>
      <c r="BF180" s="325"/>
      <c r="BG180" s="325"/>
      <c r="BH180" s="325"/>
      <c r="BI180" s="325"/>
      <c r="BJ180" s="325"/>
      <c r="BK180" s="325"/>
      <c r="BL180" s="325"/>
      <c r="BM180" s="325"/>
      <c r="BN180" s="325"/>
      <c r="BO180" s="325"/>
      <c r="BP180" s="325"/>
      <c r="BQ180" s="325"/>
      <c r="BR180" s="325"/>
      <c r="BS180" s="325"/>
      <c r="BT180" s="325"/>
      <c r="BU180" s="325"/>
      <c r="BV180" s="325"/>
      <c r="BW180" s="325"/>
      <c r="BX180" s="325"/>
      <c r="BY180" s="325"/>
      <c r="BZ180" s="325"/>
      <c r="CA180" s="325"/>
      <c r="CB180" s="325"/>
      <c r="CC180" s="325"/>
      <c r="CD180" s="325"/>
      <c r="CE180" s="325"/>
      <c r="CF180" s="325"/>
      <c r="CG180" s="325"/>
    </row>
    <row r="181" spans="1:85" ht="12.75" customHeight="1" x14ac:dyDescent="0.25">
      <c r="A181" s="318"/>
      <c r="B181" s="21"/>
      <c r="C181" s="21"/>
      <c r="D181" s="21"/>
      <c r="E181" s="21"/>
      <c r="F181" s="21"/>
      <c r="G181" s="1130" t="str">
        <f>IF(G180="","",INDEX(ScopeMethodsDetails,MATCH(G180,INDEX(ScopeMethodsDetails,,1),0),2))</f>
        <v/>
      </c>
      <c r="H181" s="1131"/>
      <c r="I181" s="1131"/>
      <c r="J181" s="1131"/>
      <c r="K181" s="1131"/>
      <c r="L181" s="1131"/>
      <c r="M181" s="1132"/>
      <c r="N181" s="22"/>
      <c r="O181" s="323"/>
      <c r="P181" s="301"/>
      <c r="Q181" s="23"/>
      <c r="R181" s="23"/>
      <c r="S181" s="325"/>
      <c r="T181" s="325"/>
      <c r="U181" s="325"/>
      <c r="V181" s="325"/>
      <c r="W181" s="325"/>
      <c r="X181" s="325"/>
      <c r="Y181" s="325"/>
      <c r="Z181" s="325"/>
      <c r="AA181" s="325"/>
      <c r="AB181" s="325"/>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25"/>
      <c r="AY181" s="325"/>
      <c r="AZ181" s="325"/>
      <c r="BA181" s="325"/>
      <c r="BB181" s="325"/>
      <c r="BC181" s="325"/>
      <c r="BD181" s="325"/>
      <c r="BE181" s="325"/>
      <c r="BF181" s="325"/>
      <c r="BG181" s="325"/>
      <c r="BH181" s="325"/>
      <c r="BI181" s="325"/>
      <c r="BJ181" s="325"/>
      <c r="BK181" s="325"/>
      <c r="BL181" s="325"/>
      <c r="BM181" s="325"/>
      <c r="BN181" s="325"/>
      <c r="BO181" s="325"/>
      <c r="BP181" s="325"/>
      <c r="BQ181" s="325"/>
      <c r="BR181" s="325"/>
      <c r="BS181" s="325"/>
      <c r="BT181" s="325"/>
      <c r="BU181" s="325"/>
      <c r="BV181" s="325"/>
      <c r="BW181" s="325"/>
      <c r="BX181" s="325"/>
      <c r="BY181" s="325"/>
      <c r="BZ181" s="325"/>
      <c r="CA181" s="325"/>
      <c r="CB181" s="325"/>
      <c r="CC181" s="325"/>
      <c r="CD181" s="325"/>
      <c r="CE181" s="325"/>
      <c r="CF181" s="325"/>
      <c r="CG181" s="325"/>
    </row>
    <row r="182" spans="1:85" ht="5.15" customHeight="1" x14ac:dyDescent="0.25">
      <c r="A182" s="318"/>
      <c r="C182" s="22"/>
      <c r="D182" s="22"/>
      <c r="E182" s="22"/>
      <c r="F182" s="22"/>
      <c r="G182" s="22"/>
      <c r="H182" s="22"/>
      <c r="I182" s="22"/>
      <c r="J182" s="22"/>
      <c r="K182" s="22"/>
      <c r="L182" s="22"/>
      <c r="O182" s="323"/>
      <c r="P182" s="301"/>
      <c r="Q182" s="23"/>
      <c r="R182" s="23"/>
      <c r="S182" s="325"/>
      <c r="T182" s="325"/>
      <c r="U182" s="325"/>
      <c r="V182" s="325"/>
      <c r="W182" s="325"/>
      <c r="X182" s="325"/>
      <c r="Y182" s="325"/>
      <c r="Z182" s="325"/>
      <c r="AA182" s="325"/>
      <c r="AB182" s="325"/>
      <c r="AC182" s="325"/>
      <c r="AD182" s="325"/>
      <c r="AE182" s="325"/>
      <c r="AF182" s="325"/>
      <c r="AG182" s="325"/>
      <c r="AH182" s="325"/>
      <c r="AI182" s="325"/>
      <c r="AJ182" s="325"/>
      <c r="AK182" s="325"/>
      <c r="AL182" s="325"/>
      <c r="AM182" s="325"/>
      <c r="AN182" s="325"/>
      <c r="AO182" s="325"/>
      <c r="AP182" s="325"/>
      <c r="AQ182" s="325"/>
      <c r="AR182" s="325"/>
      <c r="AS182" s="325"/>
      <c r="AT182" s="325"/>
      <c r="AU182" s="325"/>
      <c r="AV182" s="325"/>
      <c r="AW182" s="325"/>
      <c r="AX182" s="325"/>
      <c r="AY182" s="325"/>
      <c r="AZ182" s="325"/>
      <c r="BA182" s="325"/>
      <c r="BB182" s="325"/>
      <c r="BC182" s="325"/>
      <c r="BD182" s="325"/>
      <c r="BE182" s="325"/>
      <c r="BF182" s="325"/>
      <c r="BG182" s="325"/>
      <c r="BH182" s="325"/>
      <c r="BI182" s="325"/>
      <c r="BJ182" s="325"/>
      <c r="BK182" s="325"/>
      <c r="BL182" s="325"/>
      <c r="BM182" s="325"/>
      <c r="BN182" s="325"/>
      <c r="BO182" s="325"/>
      <c r="BP182" s="325"/>
      <c r="BQ182" s="325"/>
      <c r="BR182" s="325"/>
      <c r="BS182" s="325"/>
      <c r="BT182" s="325"/>
      <c r="BU182" s="325"/>
      <c r="BV182" s="325"/>
      <c r="BW182" s="325"/>
      <c r="BX182" s="325"/>
      <c r="BY182" s="325"/>
      <c r="BZ182" s="325"/>
      <c r="CA182" s="325"/>
      <c r="CB182" s="325"/>
      <c r="CC182" s="325"/>
      <c r="CD182" s="325"/>
      <c r="CE182" s="325"/>
      <c r="CF182" s="325"/>
      <c r="CG182" s="325"/>
    </row>
    <row r="183" spans="1:85" ht="12.75" customHeight="1" x14ac:dyDescent="0.25">
      <c r="A183" s="318"/>
      <c r="C183" s="22"/>
      <c r="D183" s="22"/>
      <c r="E183" s="22"/>
      <c r="F183" s="22"/>
      <c r="G183" s="1133">
        <v>1</v>
      </c>
      <c r="H183" s="1133"/>
      <c r="I183" s="1133">
        <v>2</v>
      </c>
      <c r="J183" s="1133"/>
      <c r="K183" s="1133">
        <v>3</v>
      </c>
      <c r="L183" s="1133"/>
      <c r="O183" s="323"/>
      <c r="P183" s="301"/>
      <c r="Q183" s="23"/>
      <c r="R183" s="23"/>
      <c r="S183" s="325"/>
      <c r="T183" s="325"/>
      <c r="U183" s="325"/>
      <c r="V183" s="325"/>
      <c r="W183" s="325"/>
      <c r="X183" s="325"/>
      <c r="Y183" s="325"/>
      <c r="Z183" s="325"/>
      <c r="AA183" s="325"/>
      <c r="AB183" s="325"/>
      <c r="AC183" s="325"/>
      <c r="AD183" s="325"/>
      <c r="AE183" s="325"/>
      <c r="AF183" s="325"/>
      <c r="AG183" s="325"/>
      <c r="AH183" s="325"/>
      <c r="AI183" s="325"/>
      <c r="AJ183" s="325"/>
      <c r="AK183" s="325"/>
      <c r="AL183" s="325"/>
      <c r="AM183" s="325"/>
      <c r="AN183" s="325"/>
      <c r="AO183" s="325"/>
      <c r="AP183" s="325"/>
      <c r="AQ183" s="325"/>
      <c r="AR183" s="325"/>
      <c r="AS183" s="325"/>
      <c r="AT183" s="325"/>
      <c r="AU183" s="325"/>
      <c r="AV183" s="325"/>
      <c r="AW183" s="325"/>
      <c r="AX183" s="325"/>
      <c r="AY183" s="325"/>
      <c r="AZ183" s="325"/>
      <c r="BA183" s="325"/>
      <c r="BB183" s="325"/>
      <c r="BC183" s="325"/>
      <c r="BD183" s="325"/>
      <c r="BE183" s="325"/>
      <c r="BF183" s="325"/>
      <c r="BG183" s="325"/>
      <c r="BH183" s="325"/>
      <c r="BI183" s="325"/>
      <c r="BJ183" s="325"/>
      <c r="BK183" s="325"/>
      <c r="BL183" s="325"/>
      <c r="BM183" s="325"/>
      <c r="BN183" s="325"/>
      <c r="BO183" s="325"/>
      <c r="BP183" s="325"/>
      <c r="BQ183" s="325"/>
      <c r="BR183" s="325"/>
      <c r="BS183" s="325"/>
      <c r="BT183" s="325"/>
      <c r="BU183" s="325"/>
      <c r="BV183" s="325"/>
      <c r="BW183" s="325"/>
      <c r="BX183" s="325"/>
      <c r="BY183" s="325"/>
      <c r="BZ183" s="325"/>
      <c r="CA183" s="325"/>
      <c r="CB183" s="325"/>
      <c r="CC183" s="325"/>
      <c r="CD183" s="325"/>
      <c r="CE183" s="325"/>
      <c r="CF183" s="325"/>
      <c r="CG183" s="325"/>
    </row>
    <row r="184" spans="1:85" ht="12.75" customHeight="1" x14ac:dyDescent="0.25">
      <c r="A184" s="389"/>
      <c r="B184" s="22"/>
      <c r="C184" s="22"/>
      <c r="D184" s="1134" t="str">
        <f>Translations!$B$372</f>
        <v>CRF-luokka</v>
      </c>
      <c r="E184" s="1134"/>
      <c r="F184" s="1135"/>
      <c r="G184" s="1123"/>
      <c r="H184" s="1124"/>
      <c r="I184" s="1123"/>
      <c r="J184" s="1124"/>
      <c r="K184" s="1123"/>
      <c r="L184" s="1124"/>
      <c r="M184" s="623" t="str">
        <f>IF(AND(E167&lt;&gt;"",COUNTA(G184:L184)=0,AX184=FALSE),EUconst_ERR_Incomplete,"")</f>
        <v/>
      </c>
      <c r="N184" s="22"/>
      <c r="O184" s="323"/>
      <c r="P184" s="301"/>
      <c r="Q184" s="23"/>
      <c r="R184" s="23"/>
      <c r="S184" s="325"/>
      <c r="T184" s="325"/>
      <c r="U184" s="325"/>
      <c r="V184" s="325"/>
      <c r="W184" s="325"/>
      <c r="X184" s="325"/>
      <c r="Y184" s="325"/>
      <c r="Z184" s="325"/>
      <c r="AA184" s="325"/>
      <c r="AB184" s="325"/>
      <c r="AC184" s="325"/>
      <c r="AD184" s="325"/>
      <c r="AE184" s="325"/>
      <c r="AF184" s="325"/>
      <c r="AG184" s="325"/>
      <c r="AH184" s="325"/>
      <c r="AI184" s="325"/>
      <c r="AJ184" s="325"/>
      <c r="AK184" s="325"/>
      <c r="AL184" s="325"/>
      <c r="AM184" s="325"/>
      <c r="AN184" s="325"/>
      <c r="AO184" s="325"/>
      <c r="AP184" s="325"/>
      <c r="AQ184" s="325"/>
      <c r="AR184" s="325"/>
      <c r="AS184" s="325"/>
      <c r="AT184" s="325"/>
      <c r="AU184" s="325"/>
      <c r="AV184" s="325"/>
      <c r="AW184" s="325"/>
      <c r="AX184" s="33" t="b">
        <f>AND(AV180&lt;&gt;"",SUM(AV180=1))</f>
        <v>0</v>
      </c>
      <c r="AY184" s="325"/>
      <c r="AZ184" s="325"/>
      <c r="BA184" s="325"/>
      <c r="BB184" s="325"/>
      <c r="BC184" s="325"/>
      <c r="BD184" s="325"/>
      <c r="BE184" s="325"/>
      <c r="BF184" s="325"/>
      <c r="BG184" s="325"/>
      <c r="BH184" s="325"/>
      <c r="BI184" s="325"/>
      <c r="BJ184" s="325"/>
      <c r="BK184" s="325"/>
      <c r="BL184" s="325"/>
      <c r="BM184" s="325"/>
      <c r="BN184" s="325"/>
      <c r="BO184" s="325"/>
      <c r="BP184" s="325"/>
      <c r="BQ184" s="325"/>
      <c r="BR184" s="325"/>
      <c r="BS184" s="325"/>
      <c r="BT184" s="325"/>
      <c r="BU184" s="325"/>
      <c r="BV184" s="325"/>
      <c r="BW184" s="325"/>
      <c r="BX184" s="325"/>
      <c r="BY184" s="325"/>
      <c r="BZ184" s="325"/>
      <c r="CA184" s="325"/>
      <c r="CB184" s="325"/>
      <c r="CC184" s="325"/>
      <c r="CD184" s="325"/>
      <c r="CE184" s="325"/>
      <c r="CF184" s="325"/>
      <c r="CG184" s="325"/>
    </row>
    <row r="185" spans="1:85" ht="5.15" customHeight="1" x14ac:dyDescent="0.25">
      <c r="A185" s="318"/>
      <c r="B185" s="21"/>
      <c r="C185" s="21"/>
      <c r="D185" s="21"/>
      <c r="E185" s="21"/>
      <c r="F185" s="21"/>
      <c r="G185" s="22"/>
      <c r="H185" s="22"/>
      <c r="I185" s="22"/>
      <c r="J185" s="22"/>
      <c r="K185" s="22"/>
      <c r="L185" s="22"/>
      <c r="M185" s="22"/>
      <c r="N185" s="22"/>
      <c r="O185" s="323"/>
      <c r="P185" s="301"/>
      <c r="Q185" s="23"/>
      <c r="R185" s="23"/>
      <c r="S185" s="325"/>
      <c r="T185" s="325"/>
      <c r="U185" s="325"/>
      <c r="V185" s="325"/>
      <c r="W185" s="325"/>
      <c r="X185" s="325"/>
      <c r="Y185" s="325"/>
      <c r="Z185" s="325"/>
      <c r="AA185" s="325"/>
      <c r="AB185" s="325"/>
      <c r="AC185" s="325"/>
      <c r="AD185" s="325"/>
      <c r="AE185" s="325"/>
      <c r="AF185" s="325"/>
      <c r="AG185" s="325"/>
      <c r="AH185" s="325"/>
      <c r="AI185" s="325"/>
      <c r="AJ185" s="325"/>
      <c r="AK185" s="325"/>
      <c r="AL185" s="325"/>
      <c r="AM185" s="325"/>
      <c r="AN185" s="325"/>
      <c r="AO185" s="325"/>
      <c r="AP185" s="325"/>
      <c r="AQ185" s="325"/>
      <c r="AR185" s="325"/>
      <c r="AS185" s="325"/>
      <c r="AT185" s="325"/>
      <c r="AU185" s="325"/>
      <c r="AV185" s="325"/>
      <c r="AW185" s="325"/>
      <c r="AX185" s="325"/>
      <c r="AY185" s="325"/>
      <c r="AZ185" s="325"/>
      <c r="BA185" s="325"/>
      <c r="BB185" s="325"/>
      <c r="BC185" s="325"/>
      <c r="BD185" s="325"/>
      <c r="BE185" s="325"/>
      <c r="BF185" s="325"/>
      <c r="BG185" s="325"/>
      <c r="BH185" s="325"/>
      <c r="BI185" s="325"/>
      <c r="BJ185" s="325"/>
      <c r="BK185" s="325"/>
      <c r="BL185" s="325"/>
      <c r="BM185" s="325"/>
      <c r="BN185" s="325"/>
      <c r="BO185" s="325"/>
      <c r="BP185" s="325"/>
      <c r="BQ185" s="325"/>
      <c r="BR185" s="325"/>
      <c r="BS185" s="325"/>
      <c r="BT185" s="325"/>
      <c r="BU185" s="325"/>
      <c r="BV185" s="325"/>
      <c r="BW185" s="325"/>
      <c r="BX185" s="325"/>
      <c r="BY185" s="325"/>
      <c r="BZ185" s="325"/>
      <c r="CA185" s="325"/>
      <c r="CB185" s="325"/>
      <c r="CC185" s="325"/>
      <c r="CD185" s="325"/>
      <c r="CE185" s="325"/>
      <c r="CF185" s="325"/>
      <c r="CG185" s="325"/>
    </row>
    <row r="186" spans="1:85" ht="6.65" customHeight="1" x14ac:dyDescent="0.25">
      <c r="A186" s="318"/>
      <c r="B186" s="21"/>
      <c r="C186" s="21"/>
      <c r="D186" s="1145"/>
      <c r="E186" s="1145"/>
      <c r="F186" s="1145"/>
      <c r="G186" s="806"/>
      <c r="H186" s="807"/>
      <c r="I186" s="806"/>
      <c r="J186" s="236"/>
      <c r="K186" s="236"/>
      <c r="L186" s="236"/>
      <c r="M186" s="807"/>
      <c r="N186" s="808"/>
      <c r="O186" s="323"/>
      <c r="P186" s="301"/>
      <c r="Q186" s="23"/>
      <c r="R186" s="23"/>
      <c r="S186" s="388"/>
      <c r="T186" s="325"/>
      <c r="U186" s="325"/>
      <c r="V186" s="325"/>
      <c r="W186" s="325"/>
      <c r="X186" s="325"/>
      <c r="Y186" s="325"/>
      <c r="Z186" s="325"/>
      <c r="AA186" s="325"/>
      <c r="AB186" s="325"/>
      <c r="AC186" s="325"/>
      <c r="AD186" s="325"/>
      <c r="AE186" s="325"/>
      <c r="AF186" s="325"/>
      <c r="AG186" s="325"/>
      <c r="AH186" s="325"/>
      <c r="AI186" s="325"/>
      <c r="AJ186" s="325"/>
      <c r="AK186" s="325"/>
      <c r="AL186" s="325"/>
      <c r="AM186" s="325"/>
      <c r="AN186" s="325"/>
      <c r="AO186" s="325"/>
      <c r="AP186" s="325"/>
      <c r="AQ186" s="325"/>
      <c r="AR186" s="325"/>
      <c r="AS186" s="325"/>
      <c r="AT186" s="325"/>
      <c r="AU186" s="325"/>
      <c r="AV186" s="325"/>
      <c r="AW186" s="325"/>
      <c r="AX186" s="325"/>
      <c r="AY186" s="325"/>
      <c r="AZ186" s="325"/>
      <c r="BA186" s="325"/>
      <c r="BB186" s="325"/>
      <c r="BC186" s="325"/>
      <c r="BD186" s="325"/>
      <c r="BE186" s="325"/>
      <c r="BF186" s="325"/>
      <c r="BG186" s="325"/>
      <c r="BH186" s="325"/>
      <c r="BI186" s="325"/>
      <c r="BJ186" s="325"/>
      <c r="BK186" s="325"/>
      <c r="BL186" s="325"/>
      <c r="BM186" s="325"/>
      <c r="BN186" s="325"/>
      <c r="BO186" s="325"/>
      <c r="BP186" s="325"/>
      <c r="BQ186" s="325"/>
      <c r="BR186" s="325"/>
      <c r="BS186" s="325"/>
      <c r="BT186" s="325"/>
      <c r="BU186" s="325"/>
      <c r="BV186" s="325"/>
      <c r="BW186" s="325"/>
      <c r="BX186" s="325"/>
      <c r="BY186" s="325"/>
      <c r="BZ186" s="325"/>
      <c r="CA186" s="325"/>
      <c r="CB186" s="325"/>
      <c r="CC186" s="325"/>
      <c r="CD186" s="325"/>
      <c r="CE186" s="325"/>
      <c r="CF186" s="325"/>
      <c r="CG186" s="33" t="b">
        <f>CG173</f>
        <v>0</v>
      </c>
    </row>
    <row r="187" spans="1:85" ht="5.15" customHeight="1" x14ac:dyDescent="0.25">
      <c r="A187" s="389"/>
      <c r="B187" s="22"/>
      <c r="C187" s="22"/>
      <c r="D187" s="22"/>
      <c r="E187" s="1116" t="str">
        <f>Translations!$B$304</f>
        <v xml:space="preserve">Lisätiedot: 
tapa, jolla biomassan kestävyys on osoitettu; 
muut polttoainevirtaa koskevat lisätiedot. </v>
      </c>
      <c r="F187" s="1116"/>
      <c r="G187" s="22"/>
      <c r="H187" s="22"/>
      <c r="I187" s="22"/>
      <c r="J187" s="22"/>
      <c r="K187" s="22"/>
      <c r="L187" s="22"/>
      <c r="M187" s="22"/>
      <c r="N187" s="22"/>
      <c r="O187" s="323"/>
      <c r="P187" s="301"/>
      <c r="Q187" s="23"/>
      <c r="R187" s="23"/>
      <c r="S187" s="325"/>
      <c r="T187" s="325"/>
      <c r="U187" s="325"/>
      <c r="V187" s="325"/>
      <c r="W187" s="325"/>
      <c r="X187" s="325"/>
      <c r="Y187" s="325"/>
      <c r="Z187" s="325"/>
      <c r="AA187" s="325"/>
      <c r="AB187" s="325"/>
      <c r="AC187" s="325"/>
      <c r="AD187" s="325"/>
      <c r="AE187" s="325"/>
      <c r="AF187" s="325"/>
      <c r="AG187" s="325"/>
      <c r="AH187" s="325"/>
      <c r="AI187" s="325"/>
      <c r="AJ187" s="325"/>
      <c r="AK187" s="325"/>
      <c r="AL187" s="325"/>
      <c r="AM187" s="325"/>
      <c r="AN187" s="325"/>
      <c r="AO187" s="325"/>
      <c r="AP187" s="325"/>
      <c r="AQ187" s="325"/>
      <c r="AR187" s="325"/>
      <c r="AS187" s="325"/>
      <c r="AT187" s="325"/>
      <c r="AU187" s="325"/>
      <c r="AV187" s="325"/>
      <c r="AW187" s="325"/>
      <c r="AX187" s="325"/>
      <c r="AY187" s="325"/>
      <c r="AZ187" s="325"/>
      <c r="BA187" s="325"/>
      <c r="BB187" s="325"/>
      <c r="BC187" s="325"/>
      <c r="BD187" s="325"/>
      <c r="BE187" s="325"/>
      <c r="BF187" s="325"/>
      <c r="BG187" s="325"/>
      <c r="BH187" s="325"/>
      <c r="BI187" s="325"/>
      <c r="BJ187" s="325"/>
      <c r="BK187" s="325"/>
      <c r="BL187" s="325"/>
      <c r="BM187" s="325"/>
      <c r="BN187" s="325"/>
      <c r="BO187" s="325"/>
      <c r="BP187" s="325"/>
      <c r="BQ187" s="325"/>
      <c r="BR187" s="325"/>
      <c r="BS187" s="325"/>
      <c r="BT187" s="325"/>
      <c r="BU187" s="325"/>
      <c r="BV187" s="325"/>
      <c r="BW187" s="325"/>
      <c r="BX187" s="325"/>
      <c r="BY187" s="325"/>
      <c r="BZ187" s="325"/>
      <c r="CA187" s="325"/>
      <c r="CB187" s="325"/>
      <c r="CC187" s="325"/>
      <c r="CD187" s="325"/>
      <c r="CE187" s="325"/>
      <c r="CF187" s="325"/>
      <c r="CG187" s="325"/>
    </row>
    <row r="188" spans="1:85" ht="39.5" customHeight="1" x14ac:dyDescent="0.25">
      <c r="A188" s="389"/>
      <c r="B188" s="22"/>
      <c r="C188" s="22"/>
      <c r="D188" s="4"/>
      <c r="E188" s="1116"/>
      <c r="F188" s="1116"/>
      <c r="G188" s="1146"/>
      <c r="H188" s="1147"/>
      <c r="I188" s="1147"/>
      <c r="J188" s="1147"/>
      <c r="K188" s="1147"/>
      <c r="L188" s="1147"/>
      <c r="M188" s="1147"/>
      <c r="N188" s="1148"/>
      <c r="O188" s="323"/>
      <c r="P188" s="301"/>
      <c r="Q188" s="23"/>
      <c r="R188" s="23"/>
      <c r="S188" s="325"/>
      <c r="T188" s="325"/>
      <c r="U188" s="325"/>
      <c r="V188" s="325"/>
      <c r="W188" s="325"/>
      <c r="X188" s="325"/>
      <c r="Y188" s="325"/>
      <c r="Z188" s="325"/>
      <c r="AA188" s="325"/>
      <c r="AB188" s="325"/>
      <c r="AC188" s="325"/>
      <c r="AD188" s="325"/>
      <c r="AE188" s="325"/>
      <c r="AF188" s="325"/>
      <c r="AG188" s="325"/>
      <c r="AH188" s="325"/>
      <c r="AI188" s="325"/>
      <c r="AJ188" s="325"/>
      <c r="AK188" s="325"/>
      <c r="AL188" s="325"/>
      <c r="AM188" s="325"/>
      <c r="AN188" s="325"/>
      <c r="AO188" s="325"/>
      <c r="AP188" s="325"/>
      <c r="AQ188" s="325"/>
      <c r="AR188" s="325"/>
      <c r="AS188" s="325"/>
      <c r="AT188" s="325"/>
      <c r="AU188" s="325"/>
      <c r="AV188" s="325"/>
      <c r="AW188" s="325"/>
      <c r="AX188" s="325"/>
      <c r="AY188" s="325"/>
      <c r="AZ188" s="325"/>
      <c r="BA188" s="325"/>
      <c r="BB188" s="325"/>
      <c r="BC188" s="325"/>
      <c r="BD188" s="325"/>
      <c r="BE188" s="325"/>
      <c r="BF188" s="325"/>
      <c r="BG188" s="325"/>
      <c r="BH188" s="325"/>
      <c r="BI188" s="325"/>
      <c r="BJ188" s="325"/>
      <c r="BK188" s="325"/>
      <c r="BL188" s="325"/>
      <c r="BM188" s="325"/>
      <c r="BN188" s="325"/>
      <c r="BO188" s="325"/>
      <c r="BP188" s="325"/>
      <c r="BQ188" s="325"/>
      <c r="BR188" s="325"/>
      <c r="BS188" s="325"/>
      <c r="BT188" s="325"/>
      <c r="BU188" s="325"/>
      <c r="BV188" s="325"/>
      <c r="BW188" s="325"/>
      <c r="BX188" s="325"/>
      <c r="BY188" s="325"/>
      <c r="BZ188" s="325"/>
      <c r="CA188" s="325"/>
      <c r="CB188" s="325"/>
      <c r="CC188" s="325"/>
      <c r="CD188" s="325"/>
      <c r="CE188" s="325"/>
      <c r="CF188" s="325"/>
      <c r="CG188" s="33" t="b">
        <f>CG186</f>
        <v>0</v>
      </c>
    </row>
    <row r="189" spans="1:85" ht="12.75" customHeight="1" thickBot="1" x14ac:dyDescent="0.3">
      <c r="A189" s="318"/>
      <c r="B189" s="22"/>
      <c r="C189" s="319"/>
      <c r="D189" s="320"/>
      <c r="E189" s="321"/>
      <c r="F189" s="319"/>
      <c r="G189" s="322"/>
      <c r="H189" s="322"/>
      <c r="I189" s="322"/>
      <c r="J189" s="322"/>
      <c r="K189" s="322"/>
      <c r="L189" s="322"/>
      <c r="M189" s="322"/>
      <c r="N189" s="322"/>
      <c r="O189" s="323"/>
      <c r="P189" s="301"/>
      <c r="Q189" s="23"/>
      <c r="R189" s="23"/>
      <c r="S189" s="41"/>
      <c r="T189" s="41"/>
      <c r="U189" s="324"/>
      <c r="V189" s="41"/>
      <c r="W189" s="41"/>
      <c r="X189" s="324"/>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325"/>
      <c r="BN189" s="325"/>
      <c r="BO189" s="325"/>
      <c r="BP189" s="325"/>
      <c r="BQ189" s="325"/>
      <c r="BR189" s="325"/>
      <c r="BS189" s="325"/>
      <c r="BT189" s="325"/>
      <c r="BU189" s="41"/>
      <c r="BV189" s="41"/>
      <c r="BW189" s="41"/>
      <c r="BX189" s="41"/>
      <c r="BY189" s="41"/>
      <c r="BZ189" s="41"/>
      <c r="CA189" s="41"/>
      <c r="CB189" s="41"/>
      <c r="CC189" s="41"/>
      <c r="CD189" s="41"/>
      <c r="CE189" s="41"/>
      <c r="CF189" s="41"/>
      <c r="CG189" s="41"/>
    </row>
    <row r="190" spans="1:85" ht="12.75" customHeight="1" thickBot="1" x14ac:dyDescent="0.3">
      <c r="A190" s="326"/>
      <c r="B190" s="22"/>
      <c r="C190" s="22"/>
      <c r="D190" s="327"/>
      <c r="E190" s="328"/>
      <c r="F190" s="22"/>
      <c r="G190" s="1"/>
      <c r="H190" s="1"/>
      <c r="I190" s="1"/>
      <c r="J190" s="1"/>
      <c r="K190" s="22"/>
      <c r="L190" s="1"/>
      <c r="M190" s="1"/>
      <c r="N190" s="1"/>
      <c r="O190" s="323"/>
      <c r="P190" s="301"/>
      <c r="Q190" s="23"/>
      <c r="R190" s="23"/>
      <c r="S190" s="2"/>
      <c r="T190" s="20" t="str">
        <f>IF(ISBLANK(E191),"",MATCH(E191,CNTR_SourceStreamNames,0))</f>
        <v/>
      </c>
      <c r="U190" s="329" t="str">
        <f>IF(ISBLANK(E191),"",INDEX('B_Polttoainevirtojen tiedot'!$D$67:$D$91,MATCH(E191,CNTR_SourceStreamNames,0)))</f>
        <v/>
      </c>
      <c r="V190" s="60"/>
      <c r="W190" s="37"/>
      <c r="X190" s="37"/>
      <c r="Y190" s="37"/>
      <c r="Z190" s="41"/>
      <c r="AA190" s="41"/>
      <c r="AB190" s="41"/>
      <c r="AC190" s="41"/>
      <c r="AD190" s="41"/>
      <c r="AE190" s="41"/>
      <c r="AF190" s="41"/>
      <c r="AG190" s="41"/>
      <c r="AH190" s="41"/>
      <c r="AI190" s="41"/>
      <c r="AJ190" s="41"/>
      <c r="AK190" s="23"/>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30" t="s">
        <v>94</v>
      </c>
    </row>
    <row r="191" spans="1:85" ht="15" customHeight="1" thickBot="1" x14ac:dyDescent="0.3">
      <c r="A191" s="331">
        <f>C191</f>
        <v>7</v>
      </c>
      <c r="B191" s="21"/>
      <c r="C191" s="332">
        <f>C167+1</f>
        <v>7</v>
      </c>
      <c r="D191" s="21"/>
      <c r="E191" s="1117"/>
      <c r="F191" s="1118"/>
      <c r="G191" s="1118"/>
      <c r="H191" s="1118"/>
      <c r="I191" s="1118"/>
      <c r="J191" s="1119"/>
      <c r="K191" s="1138" t="str">
        <f>IF(INDEX('B_Polttoainevirtojen tiedot'!$K$100:$K$124,MATCH(U190,'B_Polttoainevirtojen tiedot'!$D$100:$D$124,0))&gt;0,INDEX('B_Polttoainevirtojen tiedot'!$K$100:$K$124,MATCH(U190,'B_Polttoainevirtojen tiedot'!$D$100:$D$124,0)),"")</f>
        <v/>
      </c>
      <c r="L191" s="1139"/>
      <c r="M191" s="328" t="str">
        <f>Translations!$B$374</f>
        <v>CO2 fossiilinen:</v>
      </c>
      <c r="N191" s="401" t="str">
        <f>IF(E192="","",BG197)</f>
        <v/>
      </c>
      <c r="O191" s="333" t="str">
        <f>EUconst_tCO2</f>
        <v>tCO2</v>
      </c>
      <c r="P191" s="610" t="str">
        <f>IF(AND(E191&lt;&gt;"",COUNTIF(P192:$P$811,"PRINT")=0),"PRINT","")</f>
        <v/>
      </c>
      <c r="Q191" s="335" t="str">
        <f>EUconst_SumCO2</f>
        <v>SUM_CO2</v>
      </c>
      <c r="R191" s="23"/>
      <c r="S191" s="2"/>
      <c r="T191" s="2"/>
      <c r="U191" s="2"/>
      <c r="V191" s="60"/>
      <c r="W191" s="37"/>
      <c r="X191" s="41"/>
      <c r="Y191" s="41"/>
      <c r="Z191" s="41"/>
      <c r="AA191" s="41"/>
      <c r="AB191" s="41"/>
      <c r="AC191" s="41"/>
      <c r="AD191" s="41"/>
      <c r="AE191" s="41"/>
      <c r="AF191" s="41"/>
      <c r="AG191" s="41"/>
      <c r="AH191" s="41"/>
      <c r="AI191" s="337"/>
      <c r="AJ191" s="337"/>
      <c r="AK191" s="337"/>
      <c r="AL191" s="337"/>
      <c r="AM191" s="337"/>
      <c r="AN191" s="337"/>
      <c r="AO191" s="337"/>
      <c r="AP191" s="337"/>
      <c r="AQ191" s="337"/>
      <c r="AR191" s="337"/>
      <c r="AS191" s="337"/>
      <c r="AT191" s="337"/>
      <c r="AU191" s="337"/>
      <c r="AV191" s="337"/>
      <c r="AW191" s="337"/>
      <c r="AX191" s="337"/>
      <c r="AY191" s="337"/>
      <c r="AZ191" s="337"/>
      <c r="BA191" s="337"/>
      <c r="BB191" s="337"/>
      <c r="BC191" s="337"/>
      <c r="BD191" s="337"/>
      <c r="BE191" s="337"/>
      <c r="BF191" s="337"/>
      <c r="BG191" s="337"/>
      <c r="BH191" s="337"/>
      <c r="BI191" s="483" t="str">
        <f>IF(E191="","",E191)</f>
        <v/>
      </c>
      <c r="BJ191" s="338" t="str">
        <f>IF(F197="","",F197)</f>
        <v/>
      </c>
      <c r="BK191" s="485">
        <f>AV197</f>
        <v>0</v>
      </c>
      <c r="BL191" s="485">
        <f>IF(BK191="","",BK191*(1-BP191))</f>
        <v>0</v>
      </c>
      <c r="BM191" s="338" t="str">
        <f>AJ197</f>
        <v/>
      </c>
      <c r="BN191" s="338" t="str">
        <f>IF(F204="","",F204)</f>
        <v/>
      </c>
      <c r="BO191" s="483" t="str">
        <f>IF(G204="","",G204)</f>
        <v/>
      </c>
      <c r="BP191" s="484">
        <f>AV204</f>
        <v>0</v>
      </c>
      <c r="BQ191" s="338" t="str">
        <f>IF(F200="","",F200)</f>
        <v/>
      </c>
      <c r="BR191" s="484">
        <f>AV200</f>
        <v>0</v>
      </c>
      <c r="BS191" s="484" t="str">
        <f>AJ200</f>
        <v/>
      </c>
      <c r="BT191" s="338" t="str">
        <f>IF(F199="","",F199)</f>
        <v/>
      </c>
      <c r="BU191" s="484">
        <f>IF(F199=EUconst_NA,"",AV199)</f>
        <v>0</v>
      </c>
      <c r="BV191" s="484" t="str">
        <f>AJ199</f>
        <v/>
      </c>
      <c r="BW191" s="338" t="str">
        <f>IF(F201="","",F201)</f>
        <v/>
      </c>
      <c r="BX191" s="484">
        <f>AV201</f>
        <v>0</v>
      </c>
      <c r="BY191" s="338" t="str">
        <f>IF(F202="","",F202)</f>
        <v/>
      </c>
      <c r="BZ191" s="484">
        <f>AV202</f>
        <v>0</v>
      </c>
      <c r="CA191" s="485" t="str">
        <f>N191</f>
        <v/>
      </c>
      <c r="CB191" s="485" t="str">
        <f>N192</f>
        <v/>
      </c>
      <c r="CC191" s="485" t="str">
        <f>R194</f>
        <v/>
      </c>
      <c r="CD191" s="485" t="str">
        <f>R196</f>
        <v/>
      </c>
      <c r="CE191" s="485" t="str">
        <f>R197</f>
        <v/>
      </c>
      <c r="CF191" s="37"/>
      <c r="CG191" s="339" t="b">
        <v>0</v>
      </c>
    </row>
    <row r="192" spans="1:85" ht="15" customHeight="1" thickBot="1" x14ac:dyDescent="0.3">
      <c r="A192" s="318"/>
      <c r="B192" s="21"/>
      <c r="C192" s="21"/>
      <c r="D192" s="21"/>
      <c r="E192" s="1127" t="str">
        <f>IF(ISBLANK(E191),"",IF(INDEX('B_Polttoainevirtojen tiedot'!$E$67:$E$91,MATCH(U190,'B_Polttoainevirtojen tiedot'!$D$67:$D$91,0))&gt;0,INDEX('B_Polttoainevirtojen tiedot'!$E$67:$E$91,MATCH(U190,'B_Polttoainevirtojen tiedot'!$D$67:$D$91,0)),""))</f>
        <v/>
      </c>
      <c r="F192" s="1128"/>
      <c r="G192" s="1128"/>
      <c r="H192" s="1128"/>
      <c r="I192" s="1128"/>
      <c r="J192" s="1129"/>
      <c r="K192" s="1138" t="str">
        <f>IF(INDEX('B_Polttoainevirtojen tiedot'!$M$100:$M$124,MATCH(U190,'B_Polttoainevirtojen tiedot'!$D$100:$D$124,0))&gt;0,INDEX('B_Polttoainevirtojen tiedot'!$M$100:$M$124,MATCH(U190,'B_Polttoainevirtojen tiedot'!$D$100:$D$124,0)),"")</f>
        <v/>
      </c>
      <c r="L192" s="1139"/>
      <c r="M192" s="340" t="str">
        <f>Translations!$B$375</f>
        <v>CO2 bio:</v>
      </c>
      <c r="N192" s="482" t="str">
        <f>IF(E192="","",BG199)</f>
        <v/>
      </c>
      <c r="O192" s="341" t="str">
        <f>EUconst_tCO2</f>
        <v>tCO2</v>
      </c>
      <c r="P192" s="301"/>
      <c r="Q192" s="335" t="str">
        <f>EUconst_SumBioCO2</f>
        <v>SUM_bioCO2</v>
      </c>
      <c r="R192" s="23"/>
      <c r="S192" s="2"/>
      <c r="T192" s="2"/>
      <c r="U192" s="2"/>
      <c r="V192" s="60"/>
      <c r="W192" s="37"/>
      <c r="X192" s="41"/>
      <c r="Y192" s="20" t="str">
        <f>Translations!$B$143</f>
        <v>Määrittämistasot</v>
      </c>
      <c r="Z192" s="325"/>
      <c r="AA192" s="325"/>
      <c r="AB192" s="325"/>
      <c r="AC192" s="325"/>
      <c r="AD192" s="325"/>
      <c r="AE192" s="20" t="s">
        <v>95</v>
      </c>
      <c r="AF192" s="41"/>
      <c r="AG192" s="342"/>
      <c r="AH192" s="325"/>
      <c r="AI192" s="325"/>
      <c r="AJ192" s="342"/>
      <c r="AK192" s="342"/>
      <c r="AL192" s="337"/>
      <c r="AM192" s="337"/>
      <c r="AN192" s="337"/>
      <c r="AO192" s="337"/>
      <c r="AP192" s="337"/>
      <c r="AQ192" s="20" t="s">
        <v>96</v>
      </c>
      <c r="AR192" s="343"/>
      <c r="AS192" s="343"/>
      <c r="AT192" s="325"/>
      <c r="AU192" s="325"/>
      <c r="AV192" s="325"/>
      <c r="AW192" s="325"/>
      <c r="AX192" s="325"/>
      <c r="AY192" s="325"/>
      <c r="AZ192" s="20" t="s">
        <v>97</v>
      </c>
      <c r="BA192" s="325"/>
      <c r="BB192" s="325"/>
      <c r="BC192" s="325"/>
      <c r="BD192" s="325"/>
      <c r="BE192" s="325"/>
      <c r="BF192" s="20" t="s">
        <v>98</v>
      </c>
      <c r="BG192" s="325"/>
      <c r="BH192" s="325"/>
      <c r="BI192" s="20" t="s">
        <v>99</v>
      </c>
      <c r="BJ192" s="338" t="str">
        <f>Translations!$B$376</f>
        <v>RFA-määrittämistaso</v>
      </c>
      <c r="BK192" s="338" t="str">
        <f>Translations!$B$377</f>
        <v>RFA</v>
      </c>
      <c r="BL192" s="338" t="str">
        <f>Translations!$B$378</f>
        <v>RFA (SF:n jälkeen)</v>
      </c>
      <c r="BM192" s="338" t="str">
        <f>Translations!$B$379</f>
        <v>RFA-yksikkö</v>
      </c>
      <c r="BN192" s="338" t="str">
        <f>Translations!$B$380</f>
        <v>SF-määrittämistaso</v>
      </c>
      <c r="BO192" s="338" t="str">
        <f>Translations!$B$380</f>
        <v>SF-määrittämistaso</v>
      </c>
      <c r="BP192" s="338" t="str">
        <f>Translations!$B$381</f>
        <v>SF</v>
      </c>
      <c r="BQ192" s="338" t="str">
        <f>Translations!$B$382</f>
        <v>EF-määrittämistaso</v>
      </c>
      <c r="BR192" s="338" t="str">
        <f>Translations!$B$383</f>
        <v>EF</v>
      </c>
      <c r="BS192" s="338" t="str">
        <f>Translations!$B$384</f>
        <v>EF-yksikkö</v>
      </c>
      <c r="BT192" s="338" t="str">
        <f>Translations!$B$385</f>
        <v>UCF-määrittämistaso</v>
      </c>
      <c r="BU192" s="338" t="str">
        <f>Translations!$B$386</f>
        <v>UCF</v>
      </c>
      <c r="BV192" s="338" t="str">
        <f>Translations!$B$387</f>
        <v>UCF-yksikkö</v>
      </c>
      <c r="BW192" s="338" t="str">
        <f>Translations!$B$388</f>
        <v>Bio-määrittämistaso</v>
      </c>
      <c r="BX192" s="338" t="s">
        <v>100</v>
      </c>
      <c r="BY192" s="338" t="str">
        <f>Translations!$B$389</f>
        <v>NonSustBio-määrittämistaso</v>
      </c>
      <c r="BZ192" s="338" t="s">
        <v>101</v>
      </c>
      <c r="CA192" s="338" t="str">
        <f>Translations!$B$390</f>
        <v>CO2 fossil</v>
      </c>
      <c r="CB192" s="338" t="str">
        <f>Translations!$B$391</f>
        <v>CO2 bio</v>
      </c>
      <c r="CC192" s="338" t="str">
        <f>Translations!$B$392</f>
        <v>CO2 non-sust</v>
      </c>
      <c r="CD192" s="338" t="s">
        <v>102</v>
      </c>
      <c r="CE192" s="338" t="s">
        <v>103</v>
      </c>
      <c r="CF192" s="325"/>
      <c r="CG192" s="325"/>
    </row>
    <row r="193" spans="1:85" ht="5.15" customHeight="1" thickBot="1" x14ac:dyDescent="0.3">
      <c r="A193" s="318"/>
      <c r="B193" s="21"/>
      <c r="C193" s="21"/>
      <c r="D193" s="21"/>
      <c r="E193" s="21"/>
      <c r="F193" s="21"/>
      <c r="G193" s="21"/>
      <c r="H193" s="22"/>
      <c r="I193" s="22"/>
      <c r="J193" s="22"/>
      <c r="K193" s="22"/>
      <c r="L193" s="22"/>
      <c r="M193" s="22"/>
      <c r="N193" s="22"/>
      <c r="O193" s="323"/>
      <c r="P193" s="301"/>
      <c r="Q193" s="23"/>
      <c r="R193" s="23"/>
      <c r="S193" s="2"/>
      <c r="T193" s="2"/>
      <c r="U193" s="2"/>
      <c r="V193" s="60"/>
      <c r="W193" s="325"/>
      <c r="X193" s="325"/>
      <c r="Y193" s="23"/>
      <c r="Z193" s="325"/>
      <c r="AA193" s="325"/>
      <c r="AB193" s="325"/>
      <c r="AC193" s="325"/>
      <c r="AD193" s="325"/>
      <c r="AE193" s="325"/>
      <c r="AF193" s="41"/>
      <c r="AG193" s="325"/>
      <c r="AH193" s="325"/>
      <c r="AI193" s="325"/>
      <c r="AJ193" s="342"/>
      <c r="AK193" s="342"/>
      <c r="AL193" s="337"/>
      <c r="AM193" s="337"/>
      <c r="AN193" s="337"/>
      <c r="AO193" s="337"/>
      <c r="AP193" s="337"/>
      <c r="AQ193" s="325"/>
      <c r="AR193" s="325"/>
      <c r="AS193" s="325"/>
      <c r="AT193" s="325"/>
      <c r="AU193" s="325"/>
      <c r="AV193" s="325"/>
      <c r="AW193" s="325"/>
      <c r="AX193" s="325"/>
      <c r="AY193" s="325"/>
      <c r="AZ193" s="325"/>
      <c r="BA193" s="325"/>
      <c r="BB193" s="325"/>
      <c r="BC193" s="325"/>
      <c r="BD193" s="325"/>
      <c r="BE193" s="325"/>
      <c r="BF193" s="325"/>
      <c r="BG193" s="325"/>
      <c r="BH193" s="325"/>
      <c r="BI193" s="325"/>
      <c r="BJ193" s="325"/>
      <c r="BK193" s="325"/>
      <c r="BL193" s="325"/>
      <c r="BM193" s="325"/>
      <c r="BN193" s="325"/>
      <c r="BO193" s="325"/>
      <c r="BP193" s="325"/>
      <c r="BQ193" s="325"/>
      <c r="BR193" s="325"/>
      <c r="BS193" s="325"/>
      <c r="BT193" s="325"/>
      <c r="BU193" s="325"/>
      <c r="BV193" s="325"/>
      <c r="BW193" s="325"/>
      <c r="BX193" s="325"/>
      <c r="BY193" s="325"/>
      <c r="BZ193" s="325"/>
      <c r="CA193" s="325"/>
      <c r="CB193" s="325"/>
      <c r="CC193" s="325"/>
      <c r="CD193" s="325"/>
      <c r="CE193" s="325"/>
      <c r="CF193" s="325"/>
      <c r="CG193" s="325"/>
    </row>
    <row r="194" spans="1:85" ht="12.75" customHeight="1" thickBot="1" x14ac:dyDescent="0.3">
      <c r="A194" s="318"/>
      <c r="B194" s="21"/>
      <c r="C194" s="21"/>
      <c r="D194" s="21"/>
      <c r="E194" s="1140" t="str">
        <f>IF(E191="","",HYPERLINK("#JUMP_E_Top",EUconst_FurtherGuidancePoint1))</f>
        <v/>
      </c>
      <c r="F194" s="1140"/>
      <c r="G194" s="1140"/>
      <c r="H194" s="1140"/>
      <c r="I194" s="1140"/>
      <c r="J194" s="1140"/>
      <c r="K194" s="1140"/>
      <c r="L194" s="1140"/>
      <c r="M194" s="1140"/>
      <c r="N194" s="22"/>
      <c r="O194" s="323"/>
      <c r="P194" s="301"/>
      <c r="Q194" s="335" t="str">
        <f>EUconst_SumNonSustBioCO2</f>
        <v>SUM_bioNonSustCO2</v>
      </c>
      <c r="R194" s="500" t="str">
        <f>IF(E192="","",BG200)</f>
        <v/>
      </c>
      <c r="S194" s="2"/>
      <c r="T194" s="2"/>
      <c r="U194" s="2"/>
      <c r="V194" s="325"/>
      <c r="W194" s="325"/>
      <c r="X194" s="325"/>
      <c r="Y194" s="41"/>
      <c r="Z194" s="325"/>
      <c r="AA194" s="325"/>
      <c r="AB194" s="325"/>
      <c r="AC194" s="325"/>
      <c r="AD194" s="325"/>
      <c r="AE194" s="325"/>
      <c r="AF194" s="41"/>
      <c r="AG194" s="325"/>
      <c r="AH194" s="325"/>
      <c r="AI194" s="325"/>
      <c r="AJ194" s="342"/>
      <c r="AK194" s="342"/>
      <c r="AL194" s="337"/>
      <c r="AM194" s="337"/>
      <c r="AN194" s="337"/>
      <c r="AO194" s="337"/>
      <c r="AP194" s="337"/>
      <c r="AQ194" s="325"/>
      <c r="AR194" s="325"/>
      <c r="AS194" s="325"/>
      <c r="AT194" s="325"/>
      <c r="AU194" s="325"/>
      <c r="AV194" s="325"/>
      <c r="AW194" s="325"/>
      <c r="AX194" s="325"/>
      <c r="AY194" s="325"/>
      <c r="AZ194" s="325"/>
      <c r="BA194" s="325"/>
      <c r="BB194" s="325"/>
      <c r="BC194" s="325"/>
      <c r="BD194" s="325"/>
      <c r="BE194" s="325"/>
      <c r="BF194" s="325"/>
      <c r="BG194" s="325"/>
      <c r="BH194" s="325"/>
      <c r="BI194" s="20" t="s">
        <v>104</v>
      </c>
      <c r="BJ194" s="343"/>
      <c r="BK194" s="483" t="str">
        <f>IF(G208="","",G208)</f>
        <v/>
      </c>
      <c r="BL194" s="483" t="str">
        <f>IF(I208="","",I208)</f>
        <v/>
      </c>
      <c r="BM194" s="483" t="str">
        <f>IF(K208="","",K208)</f>
        <v/>
      </c>
      <c r="BN194" s="325"/>
      <c r="BO194" s="325"/>
      <c r="BP194" s="325"/>
      <c r="BQ194" s="325"/>
      <c r="BR194" s="325"/>
      <c r="BS194" s="325"/>
      <c r="BT194" s="330"/>
      <c r="BU194" s="325"/>
      <c r="BV194" s="325"/>
      <c r="BW194" s="325"/>
      <c r="BX194" s="325"/>
      <c r="BY194" s="325"/>
      <c r="BZ194" s="325"/>
      <c r="CA194" s="325"/>
      <c r="CB194" s="325"/>
      <c r="CC194" s="325"/>
      <c r="CD194" s="325"/>
      <c r="CE194" s="325"/>
      <c r="CF194" s="325"/>
      <c r="CG194" s="325"/>
    </row>
    <row r="195" spans="1:85" ht="5.15" customHeight="1" thickBot="1" x14ac:dyDescent="0.3">
      <c r="A195" s="318"/>
      <c r="B195" s="21"/>
      <c r="C195" s="21"/>
      <c r="D195" s="21"/>
      <c r="E195" s="21"/>
      <c r="F195" s="21"/>
      <c r="G195" s="21"/>
      <c r="H195" s="22"/>
      <c r="I195" s="22"/>
      <c r="J195" s="22"/>
      <c r="K195" s="22"/>
      <c r="L195" s="22"/>
      <c r="M195" s="22"/>
      <c r="N195" s="22"/>
      <c r="O195" s="323"/>
      <c r="P195" s="259"/>
      <c r="Q195" s="2"/>
      <c r="R195" s="259"/>
      <c r="S195" s="2"/>
      <c r="T195" s="2"/>
      <c r="U195" s="2"/>
      <c r="V195" s="325"/>
      <c r="W195" s="325"/>
      <c r="X195" s="325"/>
      <c r="Y195" s="23"/>
      <c r="Z195" s="325"/>
      <c r="AA195" s="325"/>
      <c r="AB195" s="325"/>
      <c r="AC195" s="325"/>
      <c r="AD195" s="325"/>
      <c r="AE195" s="325"/>
      <c r="AF195" s="41"/>
      <c r="AG195" s="325"/>
      <c r="AH195" s="325"/>
      <c r="AI195" s="325"/>
      <c r="AJ195" s="342"/>
      <c r="AK195" s="342"/>
      <c r="AL195" s="337"/>
      <c r="AM195" s="337"/>
      <c r="AN195" s="337"/>
      <c r="AO195" s="337"/>
      <c r="AP195" s="337"/>
      <c r="AQ195" s="325"/>
      <c r="AR195" s="325"/>
      <c r="AS195" s="325"/>
      <c r="AT195" s="325"/>
      <c r="AU195" s="325"/>
      <c r="AV195" s="325"/>
      <c r="AW195" s="325"/>
      <c r="AX195" s="325"/>
      <c r="AY195" s="325"/>
      <c r="AZ195" s="325"/>
      <c r="BA195" s="325"/>
      <c r="BB195" s="325"/>
      <c r="BC195" s="325"/>
      <c r="BD195" s="325"/>
      <c r="BE195" s="325"/>
      <c r="BF195" s="325"/>
      <c r="BG195" s="325"/>
      <c r="BH195" s="325"/>
      <c r="BI195" s="325"/>
      <c r="BJ195" s="325"/>
      <c r="BK195" s="325"/>
      <c r="BL195" s="325"/>
      <c r="BM195" s="325"/>
      <c r="BN195" s="325"/>
      <c r="BO195" s="325"/>
      <c r="BP195" s="325"/>
      <c r="BQ195" s="325"/>
      <c r="BR195" s="325"/>
      <c r="BS195" s="325"/>
      <c r="BT195" s="325"/>
      <c r="BU195" s="325"/>
      <c r="BV195" s="325"/>
      <c r="BW195" s="325"/>
      <c r="BX195" s="325"/>
      <c r="BY195" s="325"/>
      <c r="BZ195" s="325"/>
      <c r="CA195" s="325"/>
      <c r="CB195" s="325"/>
      <c r="CC195" s="325"/>
      <c r="CD195" s="325"/>
      <c r="CE195" s="325"/>
      <c r="CF195" s="325"/>
      <c r="CG195" s="325"/>
    </row>
    <row r="196" spans="1:85" ht="12.75" customHeight="1" thickBot="1" x14ac:dyDescent="0.3">
      <c r="A196" s="318"/>
      <c r="B196" s="21"/>
      <c r="C196" s="21"/>
      <c r="D196" s="21"/>
      <c r="E196" s="21"/>
      <c r="F196" s="347" t="str">
        <f>Translations!$B$127</f>
        <v>Määrittämistaso</v>
      </c>
      <c r="G196" s="1141" t="str">
        <f>Translations!$B$393</f>
        <v>määrittämistason kuvaus</v>
      </c>
      <c r="H196" s="1141"/>
      <c r="I196" s="1142" t="str">
        <f>Translations!$B$394</f>
        <v>Yksikkö</v>
      </c>
      <c r="J196" s="1142"/>
      <c r="K196" s="1142" t="str">
        <f>Translations!$B$395</f>
        <v>Arvo</v>
      </c>
      <c r="L196" s="1142"/>
      <c r="M196" s="327" t="str">
        <f>Translations!$B$396</f>
        <v>virhe</v>
      </c>
      <c r="N196" s="22"/>
      <c r="O196" s="323"/>
      <c r="P196" s="611"/>
      <c r="Q196" s="335" t="str">
        <f>EUconst_SumEnergyIN</f>
        <v>SUM_EnergyIN</v>
      </c>
      <c r="R196" s="501" t="str">
        <f>IF(E192="","",BG201)</f>
        <v/>
      </c>
      <c r="S196" s="325"/>
      <c r="T196" s="325"/>
      <c r="U196" s="325"/>
      <c r="V196" s="336" t="s">
        <v>105</v>
      </c>
      <c r="W196" s="325"/>
      <c r="X196" s="325"/>
      <c r="Y196" s="23" t="s">
        <v>106</v>
      </c>
      <c r="Z196" s="23" t="s">
        <v>107</v>
      </c>
      <c r="AA196" s="325"/>
      <c r="AB196" s="325"/>
      <c r="AC196" s="343" t="s">
        <v>108</v>
      </c>
      <c r="AD196" s="325"/>
      <c r="AE196" s="325"/>
      <c r="AF196" s="325" t="s">
        <v>109</v>
      </c>
      <c r="AG196" s="325" t="s">
        <v>110</v>
      </c>
      <c r="AH196" s="23" t="s">
        <v>111</v>
      </c>
      <c r="AI196" s="342" t="s">
        <v>112</v>
      </c>
      <c r="AJ196" s="342" t="s">
        <v>113</v>
      </c>
      <c r="AK196" s="348" t="s">
        <v>114</v>
      </c>
      <c r="AL196" s="337"/>
      <c r="AM196" s="337"/>
      <c r="AN196" s="337"/>
      <c r="AO196" s="337"/>
      <c r="AP196" s="337"/>
      <c r="AQ196" s="325"/>
      <c r="AR196" s="325" t="s">
        <v>109</v>
      </c>
      <c r="AS196" s="325" t="s">
        <v>110</v>
      </c>
      <c r="AT196" s="349" t="s">
        <v>115</v>
      </c>
      <c r="AU196" s="342" t="s">
        <v>116</v>
      </c>
      <c r="AV196" s="342" t="s">
        <v>117</v>
      </c>
      <c r="AW196" s="348" t="s">
        <v>114</v>
      </c>
      <c r="AX196" s="348" t="s">
        <v>114</v>
      </c>
      <c r="AY196" s="325"/>
      <c r="AZ196" s="325"/>
      <c r="BA196" s="325"/>
      <c r="BB196" s="325" t="s">
        <v>118</v>
      </c>
      <c r="BC196" s="325"/>
      <c r="BD196" s="325"/>
      <c r="BE196" s="325"/>
      <c r="BF196" s="325"/>
      <c r="BG196" s="330" t="str">
        <f>EUconst_Fuel</f>
        <v>Poltto</v>
      </c>
      <c r="BH196" s="325"/>
      <c r="BI196" s="325"/>
      <c r="BJ196" s="325"/>
      <c r="BK196" s="325"/>
      <c r="BL196" s="325"/>
      <c r="BM196" s="325"/>
      <c r="BN196" s="325"/>
      <c r="BO196" s="325"/>
      <c r="BP196" s="325"/>
      <c r="BQ196" s="325"/>
      <c r="BR196" s="325"/>
      <c r="BS196" s="325"/>
      <c r="BT196" s="325"/>
      <c r="BU196" s="325"/>
      <c r="BV196" s="325"/>
      <c r="BW196" s="325"/>
      <c r="BX196" s="325"/>
      <c r="BY196" s="325"/>
      <c r="BZ196" s="325"/>
      <c r="CA196" s="325"/>
      <c r="CB196" s="325"/>
      <c r="CC196" s="325"/>
      <c r="CD196" s="325"/>
      <c r="CE196" s="325"/>
      <c r="CF196" s="325"/>
      <c r="CG196" s="330" t="s">
        <v>94</v>
      </c>
    </row>
    <row r="197" spans="1:85" ht="12.75" customHeight="1" thickBot="1" x14ac:dyDescent="0.3">
      <c r="A197" s="318"/>
      <c r="B197" s="21"/>
      <c r="C197" s="344"/>
      <c r="D197" s="345" t="str">
        <f>Translations!$B$356</f>
        <v>Polttoaineen määrä:</v>
      </c>
      <c r="E197" s="350"/>
      <c r="F197" s="351"/>
      <c r="G197" s="1120" t="str">
        <f>IF(OR(ISBLANK(F197),F197=EUconst_NoTier),"",IF(Z197=0,EUconst_NA,IF(ISERROR(Z197),"",Z197)))</f>
        <v/>
      </c>
      <c r="H197" s="1122"/>
      <c r="I197" s="352" t="str">
        <f>IF(J197&lt;&gt;"","",AI197)</f>
        <v/>
      </c>
      <c r="J197" s="353"/>
      <c r="K197" s="1143"/>
      <c r="L197" s="1144"/>
      <c r="M197" s="486" t="str">
        <f>IF(AND(E192&lt;&gt;"",OR(F197="",COUNT(K197)=0),Y197&lt;&gt;EUconst_NA),EUconst_ERR_Incomplete,"")</f>
        <v/>
      </c>
      <c r="N197" s="22"/>
      <c r="O197" s="323"/>
      <c r="P197" s="612"/>
      <c r="Q197" s="335" t="str">
        <f>EUconst_SumBioEnergyIN</f>
        <v>SUM_BioEnergyIN</v>
      </c>
      <c r="R197" s="501" t="str">
        <f>IF(E192="","",BG202)</f>
        <v/>
      </c>
      <c r="S197" s="325"/>
      <c r="T197" s="355" t="str">
        <f>EUconst_CNTR_ActivityData&amp;E192</f>
        <v>ActivityData_</v>
      </c>
      <c r="U197" s="23"/>
      <c r="V197" s="355" t="str">
        <f>IF(E191="","",INDEX('B_Polttoainevirtojen tiedot'!$I$67:$I$91,MATCH(U190,'B_Polttoainevirtojen tiedot'!$D$67:$D$91,0)))</f>
        <v/>
      </c>
      <c r="W197" s="342" t="s">
        <v>121</v>
      </c>
      <c r="X197" s="23"/>
      <c r="Y197" s="356" t="str">
        <f>IF(E192="","",INDEX(EUwideConstants!$P$153:$P$180,MATCH(T197,EUwideConstants!$S$153:$S$180,0)))</f>
        <v/>
      </c>
      <c r="Z197" s="357" t="str">
        <f>IF(ISBLANK(F197),"",IF(F197=EUconst_NA,"",INDEX(EUwideConstants!$H:$O,MATCH(T197,EUwideConstants!$S:$S,0),MATCH(F197,CNTR_TierList,0))))</f>
        <v/>
      </c>
      <c r="AA197" s="358" t="s">
        <v>111</v>
      </c>
      <c r="AB197" s="342"/>
      <c r="AC197" s="339" t="b">
        <f>E191&lt;&gt;""</f>
        <v>0</v>
      </c>
      <c r="AD197" s="325"/>
      <c r="AE197" s="359" t="str">
        <f>EUconst_CNTR_ActivityData&amp;EUconst_Unit</f>
        <v>ActivityData_Yksikkö</v>
      </c>
      <c r="AF197" s="360" t="str">
        <f>IF(AC197=TRUE, IF(COUNTIF(MSPara_SourceStreamCategory,V197)=0,"",INDEX(MSPara_CalcFactorsMatrix,MATCH(V197,MSPara_SourceStreamCategory,0),MATCH(AE197&amp;"_"&amp;2,MSPara_CalcFactors,0))),"")</f>
        <v/>
      </c>
      <c r="AG197" s="361" t="str">
        <f>IF(AC197=TRUE, IF(COUNTIF(MSPara_SourceStreamCategory,V197)=0,"",INDEX(MSPara_CalcFactorsMatrix,MATCH(V197,MSPara_SourceStreamCategory,0),MATCH(AE197&amp;"_"&amp;1,MSPara_CalcFactors,0))),"")</f>
        <v/>
      </c>
      <c r="AH197" s="339" t="str">
        <f>IF(OR(AF197="",AF197=EUconst_NA),IF(OR(AG197=EUconst_NA,AG197=""),"",AG197),AF197)</f>
        <v/>
      </c>
      <c r="AI197" s="356" t="str">
        <f>IF(AC197=TRUE,IF(AH197="",EUconst_t,AH197),"")</f>
        <v/>
      </c>
      <c r="AJ197" s="362" t="str">
        <f>IF(J197="",AI197,J197)</f>
        <v/>
      </c>
      <c r="AK197" s="363" t="b">
        <f>AND(E191&lt;&gt;"",J197&lt;&gt;"")</f>
        <v>0</v>
      </c>
      <c r="AL197" s="337"/>
      <c r="AM197" s="404" t="s">
        <v>122</v>
      </c>
      <c r="AN197" s="403" t="str">
        <f>AJ197</f>
        <v/>
      </c>
      <c r="AO197" s="337"/>
      <c r="AP197" s="337"/>
      <c r="AQ197" s="355" t="str">
        <f>EUconst_CNTR_ActivityData&amp;EUconst_Value</f>
        <v>ActivityData_Arvo</v>
      </c>
      <c r="AR197" s="343"/>
      <c r="AS197" s="343"/>
      <c r="AT197" s="339" t="b">
        <f>AND(AND(AH197&lt;&gt;"",AJ197&lt;&gt;""),AJ197=AH197)</f>
        <v>0</v>
      </c>
      <c r="AU197" s="325"/>
      <c r="AV197" s="339">
        <f>IF(Y197=EUconst_NA,0,IF(COUNT(K197:K197)=0,0,IF(K197="",#REF!,K197)))</f>
        <v>0</v>
      </c>
      <c r="AW197" s="346" t="b">
        <f>AND(AC197=TRUE,OR(K197&lt;&gt;"",AU197=""))</f>
        <v>0</v>
      </c>
      <c r="AX197" s="346" t="b">
        <f>AND(AC197=TRUE,NOT(AW197))</f>
        <v>0</v>
      </c>
      <c r="AY197" s="325"/>
      <c r="AZ197" s="325" t="s">
        <v>123</v>
      </c>
      <c r="BA197" s="325" t="s">
        <v>124</v>
      </c>
      <c r="BB197" s="346"/>
      <c r="BC197" s="325" t="s">
        <v>125</v>
      </c>
      <c r="BD197" s="325"/>
      <c r="BE197" s="325"/>
      <c r="BF197" s="400" t="str">
        <f>Translations!$B$390</f>
        <v>CO2 fossil</v>
      </c>
      <c r="BG197" s="495" t="str">
        <f>IF(COUNTIF(AO200:AO201,TRUE)=0,"",AV197*IF(AO200,1,AV199*AN201)*AV200*(1-AV201)*AV204)</f>
        <v/>
      </c>
      <c r="BH197" s="325"/>
      <c r="BI197" s="325"/>
      <c r="BJ197" s="325"/>
      <c r="BK197" s="325"/>
      <c r="BL197" s="325"/>
      <c r="BM197" s="325"/>
      <c r="BN197" s="325"/>
      <c r="BO197" s="325"/>
      <c r="BP197" s="325"/>
      <c r="BQ197" s="325"/>
      <c r="BR197" s="325"/>
      <c r="BS197" s="325"/>
      <c r="BT197" s="325"/>
      <c r="BU197" s="325"/>
      <c r="BV197" s="325"/>
      <c r="BW197" s="325"/>
      <c r="BX197" s="325"/>
      <c r="BY197" s="325"/>
      <c r="BZ197" s="325"/>
      <c r="CA197" s="325"/>
      <c r="CB197" s="325"/>
      <c r="CC197" s="325"/>
      <c r="CD197" s="325"/>
      <c r="CE197" s="325"/>
      <c r="CF197" s="325"/>
      <c r="CG197" s="346" t="b">
        <v>0</v>
      </c>
    </row>
    <row r="198" spans="1:85" ht="5.15" customHeight="1" thickBot="1" x14ac:dyDescent="0.3">
      <c r="A198" s="318"/>
      <c r="B198" s="21"/>
      <c r="C198" s="344"/>
      <c r="D198" s="188"/>
      <c r="E198" s="22"/>
      <c r="F198" s="22"/>
      <c r="G198" s="22"/>
      <c r="H198" s="22" t="str">
        <f>Translations!$B$397</f>
        <v xml:space="preserve"> </v>
      </c>
      <c r="I198" s="364"/>
      <c r="J198" s="364"/>
      <c r="K198" s="22"/>
      <c r="L198" s="22"/>
      <c r="M198" s="487"/>
      <c r="N198" s="22"/>
      <c r="O198" s="323"/>
      <c r="P198" s="301"/>
      <c r="Q198" s="23"/>
      <c r="R198" s="23"/>
      <c r="S198" s="325"/>
      <c r="T198" s="277"/>
      <c r="U198" s="23"/>
      <c r="V198" s="325"/>
      <c r="W198" s="325"/>
      <c r="X198" s="23"/>
      <c r="Y198" s="330"/>
      <c r="Z198" s="325"/>
      <c r="AA198" s="325"/>
      <c r="AB198" s="325"/>
      <c r="AC198" s="325"/>
      <c r="AD198" s="325"/>
      <c r="AE198" s="325"/>
      <c r="AF198" s="325"/>
      <c r="AG198" s="325"/>
      <c r="AH198" s="325"/>
      <c r="AI198" s="325"/>
      <c r="AJ198" s="325"/>
      <c r="AK198" s="325"/>
      <c r="AL198" s="337"/>
      <c r="AM198" s="337"/>
      <c r="AN198" s="337"/>
      <c r="AO198" s="337"/>
      <c r="AP198" s="337"/>
      <c r="AQ198" s="325"/>
      <c r="AR198" s="325"/>
      <c r="AS198" s="325"/>
      <c r="AT198" s="325"/>
      <c r="AU198" s="325"/>
      <c r="AV198" s="325"/>
      <c r="AW198" s="325"/>
      <c r="AX198" s="325"/>
      <c r="AY198" s="325"/>
      <c r="AZ198" s="325"/>
      <c r="BA198" s="325"/>
      <c r="BB198" s="325"/>
      <c r="BC198" s="325"/>
      <c r="BD198" s="325"/>
      <c r="BE198" s="325"/>
      <c r="BF198" s="325"/>
      <c r="BG198" s="496"/>
      <c r="BH198" s="325"/>
      <c r="BI198" s="325"/>
      <c r="BJ198" s="325"/>
      <c r="BK198" s="325"/>
      <c r="BL198" s="325"/>
      <c r="BM198" s="325"/>
      <c r="BN198" s="325"/>
      <c r="BO198" s="325"/>
      <c r="BP198" s="325"/>
      <c r="BQ198" s="325"/>
      <c r="BR198" s="325"/>
      <c r="BS198" s="325"/>
      <c r="BT198" s="325"/>
      <c r="BU198" s="325"/>
      <c r="BV198" s="325"/>
      <c r="BW198" s="325"/>
      <c r="BX198" s="325"/>
      <c r="BY198" s="325"/>
      <c r="BZ198" s="325"/>
      <c r="CA198" s="325"/>
      <c r="CB198" s="325"/>
      <c r="CC198" s="325"/>
      <c r="CD198" s="325"/>
      <c r="CE198" s="325"/>
      <c r="CF198" s="325"/>
      <c r="CG198" s="330"/>
    </row>
    <row r="199" spans="1:85" ht="12.75" customHeight="1" thickBot="1" x14ac:dyDescent="0.3">
      <c r="A199" s="318"/>
      <c r="B199" s="21"/>
      <c r="C199" s="344"/>
      <c r="D199" s="345" t="str">
        <f>Translations!$B$360</f>
        <v>Yksikön muuntokerroin:</v>
      </c>
      <c r="E199" s="350"/>
      <c r="F199" s="443"/>
      <c r="G199" s="1120" t="str">
        <f>IF(OR(ISBLANK(F199),F199=EUconst_NoTier),"",IF(Z199=0,EUconst_NotApplicable,IF(ISERROR(Z199),"",Z199)))</f>
        <v/>
      </c>
      <c r="H199" s="1122"/>
      <c r="I199" s="444" t="str">
        <f>IF(J199&lt;&gt;"","",AI199)</f>
        <v/>
      </c>
      <c r="J199" s="445"/>
      <c r="K199" s="632" t="str">
        <f>IF(L199="",AU199,"")</f>
        <v/>
      </c>
      <c r="L199" s="633"/>
      <c r="M199" s="486" t="str">
        <f>IF(AND(E192&lt;&gt;"",OR(F199="",COUNT(K199:L199)=0),Y199&lt;&gt;EUconst_NA),EUconst_ERR_Incomplete,IF(COUNTIF(BB199:BD199,TRUE)&gt;0,EUconst_ERR_Inconsistent,""))</f>
        <v/>
      </c>
      <c r="N199" s="752"/>
      <c r="O199" s="323"/>
      <c r="P199" s="301"/>
      <c r="Q199" s="23"/>
      <c r="R199" s="23"/>
      <c r="S199" s="325"/>
      <c r="T199" s="365" t="str">
        <f>EUconst_CNTR_UCF&amp;E192</f>
        <v>UCF_</v>
      </c>
      <c r="U199" s="23"/>
      <c r="V199" s="366" t="str">
        <f>V200</f>
        <v/>
      </c>
      <c r="W199" s="325"/>
      <c r="X199" s="23"/>
      <c r="Y199" s="448" t="str">
        <f>IF(E192="","",IF(OR(F199=EUconst_NA,W199=TRUE),EUconst_NA,INDEX(EUwideConstants!$P$153:$P$180,MATCH(T199,EUwideConstants!$S$153:$S$180,0))))</f>
        <v/>
      </c>
      <c r="Z199" s="471" t="str">
        <f>IF(ISBLANK(F199),"",IF(F199=EUconst_NA,"",INDEX(EUwideConstants!$H:$O,MATCH(T199,EUwideConstants!$S:$S,0),MATCH(F199,CNTR_TierList,0))))</f>
        <v/>
      </c>
      <c r="AA199" s="449" t="str">
        <f>IF(COUNTIF(EUconst_DefaultValues,Z199)&gt;0,MATCH(Z199,EUconst_DefaultValues,0),"")</f>
        <v/>
      </c>
      <c r="AB199" s="325"/>
      <c r="AC199" s="367" t="b">
        <f>AND(AC197,Y199&lt;&gt;EUconst_NA)</f>
        <v>0</v>
      </c>
      <c r="AD199" s="325"/>
      <c r="AE199" s="359" t="str">
        <f>EUconst_CNTR_UCF&amp;EUconst_Unit</f>
        <v>UCF_Yksikkö</v>
      </c>
      <c r="AF199" s="368" t="str">
        <f>IF(AC199=TRUE, IF(COUNTIF(MSPara_SourceStreamCategory,V199)=0,"",INDEX(MSPara_CalcFactorsMatrix,MATCH(V199,MSPara_SourceStreamCategory,0),MATCH(AE199&amp;"_"&amp;2,MSPara_CalcFactors,0))),"")</f>
        <v/>
      </c>
      <c r="AG199" s="372" t="str">
        <f>IF(AC199=TRUE, IF(COUNTIF(MSPara_SourceStreamCategory,V199)=0,"",INDEX(MSPara_CalcFactorsMatrix,MATCH(V199,MSPara_SourceStreamCategory,0),MATCH(AE199&amp;"_"&amp;1,MSPara_CalcFactors,0))),"")</f>
        <v/>
      </c>
      <c r="AH199" s="367" t="str">
        <f>IF(AA199="","",INDEX(AF199:AG199,3-AA199))</f>
        <v/>
      </c>
      <c r="AI199" s="367" t="str">
        <f>IF(AC199=TRUE,IF(OR(AH199="",AH199=EUconst_NA),EUconst_GJ&amp;"/"&amp;AJ197,AH199),"")</f>
        <v/>
      </c>
      <c r="AJ199" s="367" t="str">
        <f>IF(J199="",AI199,J199)</f>
        <v/>
      </c>
      <c r="AK199" s="366" t="b">
        <f>AND(E191&lt;&gt;"",J199&lt;&gt;"")</f>
        <v>0</v>
      </c>
      <c r="AL199" s="337"/>
      <c r="AM199" s="404" t="s">
        <v>127</v>
      </c>
      <c r="AN199" s="403" t="str">
        <f>IF(AJ199="",EUconst_NA,IF(AN197=EUconst_TJ,EUconst_TJ,INDEX(EUwideConstants!$C$124:$G$128,MATCH(AN197,RFAUnits,0),MATCH(AJ199,UCFUnits,0))))</f>
        <v>ei sovellettavissa</v>
      </c>
      <c r="AO199" s="337"/>
      <c r="AP199" s="337"/>
      <c r="AQ199" s="454" t="str">
        <f>EUconst_CNTR_UCF&amp;EUconst_Value</f>
        <v>UCF_Arvo</v>
      </c>
      <c r="AR199" s="475" t="str">
        <f>IF(AC199=TRUE,IF(COUNTIF(MSPara_SourceStreamCategory,V199)=0,"",INDEX(MSPara_CalcFactorsMatrix,MATCH(V199,MSPara_SourceStreamCategory,0),MATCH(AQ199&amp;"_"&amp;2,MSPara_CalcFactors,0))),"")</f>
        <v/>
      </c>
      <c r="AS199" s="371" t="str">
        <f>IF(AC199=TRUE,IF(COUNTIF(MSPara_SourceStreamCategory,V199)=0,"",INDEX(MSPara_CalcFactorsMatrix,MATCH(V199,MSPara_SourceStreamCategory,0),MATCH(AQ199&amp;"_"&amp;1,MSPara_CalcFactors,0))),"")</f>
        <v/>
      </c>
      <c r="AT199" s="369" t="b">
        <f>AND(AND(AH199&lt;&gt;"",AJ199&lt;&gt;""),AJ199=AH199)</f>
        <v>0</v>
      </c>
      <c r="AU199" s="381" t="str">
        <f>IF(AND(AA199&lt;&gt;"",AT199=TRUE),IF(OR(INDEX(AR199:AS199,3-AA199)=EUconst_NA,INDEX(AR199:AS199,3-AA199)=0),"",INDEX(AR199:AS199,3-AA199)),"")</f>
        <v/>
      </c>
      <c r="AV199" s="367">
        <f>IF(AC199=TRUE,IF(COUNT(K199:L199)=0,0,IF(L199="",K199,L199)),0)</f>
        <v>0</v>
      </c>
      <c r="AW199" s="366" t="b">
        <f>AND(AC199=TRUE,OR(AND(F199&lt;&gt;"",NOT(ISNUMBER(AA199))),L199&lt;&gt;"",F199="",AU199=""))</f>
        <v>0</v>
      </c>
      <c r="AX199" s="370" t="b">
        <f>AND(AC199=TRUE,NOT(AW199))</f>
        <v>0</v>
      </c>
      <c r="AY199" s="325"/>
      <c r="AZ199" s="373" t="b">
        <f>AND(ISNUMBER(AA199),AU199="")</f>
        <v>0</v>
      </c>
      <c r="BA199" s="399" t="b">
        <f>AND(ISNUMBER(AA199),AU199&lt;&gt;AV199)</f>
        <v>0</v>
      </c>
      <c r="BB199" s="366" t="b">
        <f>AND(E192&lt;&gt;"",F199&lt;&gt;EUconst_NA,AN199=EUconst_NA)</f>
        <v>0</v>
      </c>
      <c r="BC199" s="366" t="b">
        <f>AND(L199&lt;&gt;"",Y199=EUconst_NA)</f>
        <v>0</v>
      </c>
      <c r="BD199" s="325"/>
      <c r="BE199" s="325"/>
      <c r="BF199" s="373" t="s">
        <v>128</v>
      </c>
      <c r="BG199" s="497" t="str">
        <f>IF(COUNTIF(AO200:AO201,TRUE)=0,"",AV197*IF(AO200,1,AV199*AN201)*AV200*AV201*AV204)</f>
        <v/>
      </c>
      <c r="BH199" s="325"/>
      <c r="BI199" s="325"/>
      <c r="BJ199" s="325"/>
      <c r="BK199" s="325"/>
      <c r="BL199" s="325"/>
      <c r="BM199" s="325"/>
      <c r="BN199" s="325"/>
      <c r="BO199" s="325"/>
      <c r="BP199" s="325"/>
      <c r="BQ199" s="325"/>
      <c r="BR199" s="325"/>
      <c r="BS199" s="325"/>
      <c r="BT199" s="325"/>
      <c r="BU199" s="325"/>
      <c r="BV199" s="325"/>
      <c r="BW199" s="325"/>
      <c r="BX199" s="325"/>
      <c r="BY199" s="325"/>
      <c r="BZ199" s="325"/>
      <c r="CA199" s="325"/>
      <c r="CB199" s="325"/>
      <c r="CC199" s="325"/>
      <c r="CD199" s="325"/>
      <c r="CE199" s="325"/>
      <c r="CF199" s="325"/>
      <c r="CG199" s="375" t="b">
        <f>OR(CG197,Y199=EUconst_NA)</f>
        <v>0</v>
      </c>
    </row>
    <row r="200" spans="1:85" ht="12.75" customHeight="1" thickBot="1" x14ac:dyDescent="0.3">
      <c r="A200" s="318"/>
      <c r="B200" s="21"/>
      <c r="C200" s="344"/>
      <c r="D200" s="345" t="str">
        <f>Translations!$B$358</f>
        <v>Päästökerroin (alustava):</v>
      </c>
      <c r="E200" s="350"/>
      <c r="F200" s="624"/>
      <c r="G200" s="1120" t="str">
        <f>IF(OR(ISBLANK(F200),F200=EUconst_NoTier),"",IF(Z200=0,EUconst_NotApplicable,IF(ISERROR(Z200),"",Z200)))</f>
        <v/>
      </c>
      <c r="H200" s="1121"/>
      <c r="I200" s="625" t="str">
        <f>IF(J200&lt;&gt;"","",AI200)</f>
        <v/>
      </c>
      <c r="J200" s="631"/>
      <c r="K200" s="634" t="str">
        <f>IF(L200="",AU200,"")</f>
        <v/>
      </c>
      <c r="L200" s="754"/>
      <c r="M200" s="486" t="str">
        <f>IF(AND(E192&lt;&gt;"",OR(F200="",COUNT(K200:L200)=0),Y200&lt;&gt;EUconst_NA),EUconst_ERR_Incomplete,IF(COUNTIF(BB200:BD200,TRUE)&gt;0,EUconst_ERR_Inconsistent,""))</f>
        <v/>
      </c>
      <c r="N200" s="753"/>
      <c r="O200" s="323"/>
      <c r="P200" s="301"/>
      <c r="Q200" s="23"/>
      <c r="R200" s="23"/>
      <c r="S200" s="325"/>
      <c r="T200" s="374" t="str">
        <f>EUconst_CNTR_EF&amp;E192</f>
        <v>EF_</v>
      </c>
      <c r="U200" s="23"/>
      <c r="V200" s="375" t="str">
        <f>V197</f>
        <v/>
      </c>
      <c r="W200" s="325"/>
      <c r="X200" s="23"/>
      <c r="Y200" s="450" t="str">
        <f>IF(E192="","",IF(OR(F200=EUconst_NA,W200=TRUE),EUconst_NA,INDEX(EUwideConstants!$P$153:$P$180,MATCH(T200,EUwideConstants!$S$153:$S$180,0))))</f>
        <v/>
      </c>
      <c r="Z200" s="472" t="str">
        <f>IF(ISBLANK(F200),"",IF(F200=EUconst_NA,"",INDEX(EUwideConstants!$H:$O,MATCH(T200,EUwideConstants!$S:$S,0),MATCH(F200,CNTR_TierList,0))))</f>
        <v/>
      </c>
      <c r="AA200" s="451" t="str">
        <f>IF(COUNTIF(EUconst_DefaultValues,Z200)&gt;0,MATCH(Z200,EUconst_DefaultValues,0),"")</f>
        <v/>
      </c>
      <c r="AB200" s="325"/>
      <c r="AC200" s="376" t="b">
        <f>AND(AC197,Y200&lt;&gt;EUconst_NA)</f>
        <v>0</v>
      </c>
      <c r="AD200" s="325"/>
      <c r="AE200" s="377" t="str">
        <f>EUconst_CNTR_EF&amp;EUconst_Unit</f>
        <v>EF_Yksikkö</v>
      </c>
      <c r="AF200" s="378" t="str">
        <f>IF(AC200=TRUE, IF(COUNTIF(MSPara_SourceStreamCategory,V200)=0,"",INDEX(MSPara_CalcFactorsMatrix,MATCH(V200,MSPara_SourceStreamCategory,0),MATCH(AE200&amp;"_"&amp;2,MSPara_CalcFactors,0))),"")</f>
        <v/>
      </c>
      <c r="AG200" s="464" t="str">
        <f>IF(AC200=TRUE, IF(COUNTIF(MSPara_SourceStreamCategory,V200)=0,"",INDEX(MSPara_CalcFactorsMatrix,MATCH(V200,MSPara_SourceStreamCategory,0),MATCH(AE200&amp;"_"&amp;1,MSPara_CalcFactors,0))),"")</f>
        <v/>
      </c>
      <c r="AH200" s="376" t="str">
        <f>IF(AA200="","",INDEX(AF200:AG200,3-AA200))</f>
        <v/>
      </c>
      <c r="AI200" s="376" t="str">
        <f>IF(AC200=TRUE,IF(OR(AH200="",AH200=EUconst_NA),EUconst_tCO2&amp;"/"&amp;IF(AN199=EUconst_NA,AN197,IF(AN199=EUconst_GJ,EUconst_TJ,AN199)),AH200),"")</f>
        <v/>
      </c>
      <c r="AJ200" s="376" t="str">
        <f>IF(J200="",AI200,J200)</f>
        <v/>
      </c>
      <c r="AK200" s="375" t="b">
        <f>AND(E192&lt;&gt;"",J200&lt;&gt;"")</f>
        <v>0</v>
      </c>
      <c r="AL200" s="337"/>
      <c r="AM200" s="404" t="s">
        <v>130</v>
      </c>
      <c r="AN200" s="403" t="str">
        <f>IF(COUNTIF(RFAUnits,AN197)=0,EUconst_NA,INDEX(EUwideConstants!$C$139:$H$143,MATCH(AJ200,EFUnits,0),MATCH(AN197,EUwideConstants!$C$138:$H$138,0)))</f>
        <v>ei sovellettavissa</v>
      </c>
      <c r="AO200" s="403" t="b">
        <f>AN200&lt;&gt;EUconst_NA</f>
        <v>0</v>
      </c>
      <c r="AP200" s="337"/>
      <c r="AQ200" s="455" t="str">
        <f>EUconst_CNTR_EF&amp;EUconst_Value</f>
        <v>EF_Arvo</v>
      </c>
      <c r="AR200" s="476" t="str">
        <f>IF(AC200=TRUE,IF(COUNTIF(MSPara_SourceStreamCategory,V200)=0,"",INDEX(MSPara_CalcFactorsMatrix,MATCH(V200,MSPara_SourceStreamCategory,0),MATCH(AQ200&amp;"_"&amp;2,MSPara_CalcFactors,0))),"")</f>
        <v/>
      </c>
      <c r="AS200" s="383" t="str">
        <f>IF(AC200=TRUE,IF(COUNTIF(MSPara_SourceStreamCategory,V200)=0,"",INDEX(MSPara_CalcFactorsMatrix,MATCH(V200,MSPara_SourceStreamCategory,0),MATCH(AQ200&amp;"_"&amp;1,MSPara_CalcFactors,0))),"")</f>
        <v/>
      </c>
      <c r="AT200" s="456" t="b">
        <f>AND(AND(AH200&lt;&gt;"",AJ200&lt;&gt;""),AJ200=AH200)</f>
        <v>0</v>
      </c>
      <c r="AU200" s="334" t="str">
        <f>IF(AND(AA200&lt;&gt;"",AT200=TRUE),IF(OR(INDEX(AR200:AS200,3-AA200)=EUconst_NA,INDEX(AR200:AS200,3-AA200)=0),"",INDEX(AR200:AS200,3-AA200)),"")</f>
        <v/>
      </c>
      <c r="AV200" s="376">
        <f>IF(AC200=TRUE,IF(COUNT(K200:L200)=0,0,IF(L200="",K200,L200)),0)</f>
        <v>0</v>
      </c>
      <c r="AW200" s="375" t="b">
        <f>AND(AC200=TRUE,OR(AND(F200&lt;&gt;"",NOT(ISNUMBER(AA200))),L200&lt;&gt;"",F200="",AU200=""))</f>
        <v>0</v>
      </c>
      <c r="AX200" s="457" t="b">
        <f>AND(AC200=TRUE,NOT(AW200))</f>
        <v>0</v>
      </c>
      <c r="AY200" s="325"/>
      <c r="AZ200" s="379" t="b">
        <f>AND(ISNUMBER(AA200),AU200="")</f>
        <v>0</v>
      </c>
      <c r="BA200" s="380" t="b">
        <f>AND(ISNUMBER(AA200),AU200&lt;&gt;AV200)</f>
        <v>0</v>
      </c>
      <c r="BB200" s="382" t="b">
        <f>AND(E192&lt;&gt;"",COUNTIF(AO200:AO201,TRUE)=0)</f>
        <v>0</v>
      </c>
      <c r="BC200" s="375" t="b">
        <f>AND(L200&lt;&gt;"",Y200=EUconst_NA)</f>
        <v>0</v>
      </c>
      <c r="BD200" s="325"/>
      <c r="BE200" s="325"/>
      <c r="BF200" s="379" t="s">
        <v>131</v>
      </c>
      <c r="BG200" s="498" t="str">
        <f>IF(COUNTIF(AO200:AO201,TRUE)=0,"",AV197*IF(AO200,1,AV199*AN201)*AV200*AV202*AV204)</f>
        <v/>
      </c>
      <c r="BH200" s="325"/>
      <c r="BI200" s="325"/>
      <c r="BJ200" s="325"/>
      <c r="BK200" s="325"/>
      <c r="BL200" s="325"/>
      <c r="BM200" s="325"/>
      <c r="BN200" s="325"/>
      <c r="BO200" s="325"/>
      <c r="BP200" s="325"/>
      <c r="BQ200" s="325"/>
      <c r="BR200" s="325"/>
      <c r="BS200" s="325"/>
      <c r="BT200" s="325"/>
      <c r="BU200" s="325"/>
      <c r="BV200" s="325"/>
      <c r="BW200" s="325"/>
      <c r="BX200" s="325"/>
      <c r="BY200" s="325"/>
      <c r="BZ200" s="325"/>
      <c r="CA200" s="325"/>
      <c r="CB200" s="325"/>
      <c r="CC200" s="325"/>
      <c r="CD200" s="325"/>
      <c r="CE200" s="325"/>
      <c r="CF200" s="325"/>
      <c r="CG200" s="366" t="b">
        <f>OR(CG197,Y200=EUconst_NA)</f>
        <v>0</v>
      </c>
    </row>
    <row r="201" spans="1:85" ht="12.75" customHeight="1" x14ac:dyDescent="0.25">
      <c r="A201" s="318"/>
      <c r="B201" s="21"/>
      <c r="C201" s="344"/>
      <c r="D201" s="345" t="str">
        <f>Translations!$B$362</f>
        <v>Biomassaosuus:</v>
      </c>
      <c r="E201" s="350"/>
      <c r="F201" s="624"/>
      <c r="G201" s="1120" t="str">
        <f>IF(OR(ISBLANK(F201),F201=EUconst_NoTier),"",IF(Z201=0,EUconst_NotApplicable,IF(ISERROR(Z201),"",Z201)))</f>
        <v/>
      </c>
      <c r="H201" s="1122"/>
      <c r="I201" s="626" t="str">
        <f>IF(OR(AC201=FALSE,Y201=EUconst_NA),"","-")</f>
        <v/>
      </c>
      <c r="J201" s="446"/>
      <c r="K201" s="635" t="str">
        <f>IF(L201="",AU201,"")</f>
        <v/>
      </c>
      <c r="L201" s="627"/>
      <c r="M201" s="486" t="str">
        <f>IF(AND(E192&lt;&gt;"",OR(F201="",COUNT(K201:L201)=0),Y201&lt;&gt;EUconst_NA),EUconst_ERR_Incomplete,IF(COUNTIF(BB201:BD201,TRUE)&gt;0,EUconst_ERR_Inconsistent,""))</f>
        <v/>
      </c>
      <c r="O201" s="323"/>
      <c r="P201" s="612"/>
      <c r="Q201" s="354"/>
      <c r="R201" s="354"/>
      <c r="S201" s="325"/>
      <c r="T201" s="374" t="str">
        <f>EUconst_CNTR_BiomassContent&amp;E192</f>
        <v>BioC_</v>
      </c>
      <c r="U201" s="23"/>
      <c r="V201" s="375" t="str">
        <f>V199</f>
        <v/>
      </c>
      <c r="W201" s="366" t="e">
        <f>IF(COUNTIF(MSPara_SourceStreamCategory,V201)=0,"",INDEX(MSPara_IsFossil,MATCH(V201,MSPara_SourceStreamCategory,0)))</f>
        <v>#N/A</v>
      </c>
      <c r="X201" s="23"/>
      <c r="Y201" s="450" t="str">
        <f>IF(E192="","",IF(OR(F201=EUconst_NA,W201=TRUE),EUconst_NA,INDEX(EUwideConstants!$P$153:$P$180,MATCH(T201,EUwideConstants!$S$153:$S$180,0))))</f>
        <v/>
      </c>
      <c r="Z201" s="472" t="str">
        <f>IF(ISBLANK(F201),"",IF(F201=EUconst_NA,"",INDEX(EUwideConstants!$H:$O,MATCH(T201,EUwideConstants!$S:$S,0),MATCH(F201,CNTR_TierList,0))))</f>
        <v/>
      </c>
      <c r="AA201" s="681" t="str">
        <f>IF(F201=1,1,"")</f>
        <v/>
      </c>
      <c r="AB201" s="325"/>
      <c r="AC201" s="376" t="b">
        <f>AND(AC197,Y201&lt;&gt;EUconst_NA)</f>
        <v>0</v>
      </c>
      <c r="AD201" s="325"/>
      <c r="AE201" s="462"/>
      <c r="AF201" s="460"/>
      <c r="AG201" s="465"/>
      <c r="AH201" s="467"/>
      <c r="AI201" s="467"/>
      <c r="AJ201" s="467"/>
      <c r="AK201" s="469"/>
      <c r="AL201" s="337"/>
      <c r="AM201" s="404" t="s">
        <v>132</v>
      </c>
      <c r="AN201" s="403" t="str">
        <f>IF(AN199=EUconst_NA,EUconst_NA,INDEX(EUwideConstants!$C$139:$H$143,MATCH(AJ200,EFUnits,0),MATCH(AN199,EUwideConstants!$C$138:$H$138,0)))</f>
        <v>ei sovellettavissa</v>
      </c>
      <c r="AO201" s="403" t="b">
        <f>AN201&lt;&gt;EUconst_NA</f>
        <v>0</v>
      </c>
      <c r="AP201" s="337"/>
      <c r="AQ201" s="455" t="str">
        <f>EUconst_CNTR_BiomassContent&amp;EUconst_Value</f>
        <v>BioC_Arvo</v>
      </c>
      <c r="AR201" s="462"/>
      <c r="AS201" s="383" t="str">
        <f>IF(AC201=TRUE,IF(COUNTIF(MSPara_SourceStreamCategory,V201)=0,"",INDEX(MSPara_CalcFactorsMatrix,MATCH(V201,MSPara_SourceStreamCategory,0),MATCH(AQ201&amp;"_"&amp;2,MSPara_CalcFactors,0))),"")</f>
        <v/>
      </c>
      <c r="AT201" s="458"/>
      <c r="AU201" s="334" t="str">
        <f>IF(OR(AA201="",AS201=EUconst_NA),"",AS201)</f>
        <v/>
      </c>
      <c r="AV201" s="376">
        <f>IF(AC201=TRUE,IF(COUNT(K201:L201)=0,0,IF(L201="",K201,L201)),0)</f>
        <v>0</v>
      </c>
      <c r="AW201" s="375" t="b">
        <f>AND(AC201=TRUE,OR(AND(F201&lt;&gt;"",NOT(ISNUMBER(AA201))),L201&lt;&gt;"",F201="",AU201=""))</f>
        <v>0</v>
      </c>
      <c r="AX201" s="457" t="b">
        <f>AND(AC201=TRUE,NOT(AW201))</f>
        <v>0</v>
      </c>
      <c r="AY201" s="325"/>
      <c r="AZ201" s="379" t="b">
        <f>AND(ISNUMBER(AA201),AU201="")</f>
        <v>0</v>
      </c>
      <c r="BA201" s="380" t="b">
        <f>AND(ISNUMBER(AA201),AU201&lt;&gt;AV201)</f>
        <v>0</v>
      </c>
      <c r="BB201" s="325"/>
      <c r="BC201" s="375" t="b">
        <f>AND(L201&lt;&gt;"",Y201=EUconst_NA)</f>
        <v>0</v>
      </c>
      <c r="BD201" s="366" t="b">
        <f>OR(AV201&gt;100%,(AV201+AV202)&gt;100%)</f>
        <v>0</v>
      </c>
      <c r="BE201" s="325"/>
      <c r="BF201" s="379" t="s">
        <v>133</v>
      </c>
      <c r="BG201" s="498" t="str">
        <f>IF(AN197=EUconst_TJ,AV197*(1-AV201),IF(AN199=EUconst_GJ,AV197*AV199/1000*(1-AV201),""))</f>
        <v/>
      </c>
      <c r="BH201" s="325"/>
      <c r="BI201" s="325"/>
      <c r="BJ201" s="325"/>
      <c r="BK201" s="325"/>
      <c r="BL201" s="325"/>
      <c r="BM201" s="325"/>
      <c r="BN201" s="325"/>
      <c r="BO201" s="325"/>
      <c r="BP201" s="325"/>
      <c r="BQ201" s="325"/>
      <c r="BR201" s="325"/>
      <c r="BS201" s="325"/>
      <c r="BT201" s="325"/>
      <c r="BU201" s="325"/>
      <c r="BV201" s="325"/>
      <c r="BW201" s="325"/>
      <c r="BX201" s="325"/>
      <c r="BY201" s="325"/>
      <c r="BZ201" s="325"/>
      <c r="CA201" s="325"/>
      <c r="CB201" s="325"/>
      <c r="CC201" s="325"/>
      <c r="CD201" s="325"/>
      <c r="CE201" s="325"/>
      <c r="CF201" s="325"/>
      <c r="CG201" s="375" t="b">
        <f>OR(CG197,Y201=EUconst_NA)</f>
        <v>0</v>
      </c>
    </row>
    <row r="202" spans="1:85" ht="12.75" customHeight="1" thickBot="1" x14ac:dyDescent="0.3">
      <c r="A202" s="318"/>
      <c r="B202" s="21"/>
      <c r="C202" s="344"/>
      <c r="D202" s="345" t="str">
        <f>Translations!$B$368</f>
        <v>Ei kestävä biomassaosuus:</v>
      </c>
      <c r="E202" s="350"/>
      <c r="F202" s="628"/>
      <c r="G202" s="1120" t="str">
        <f>IF(OR(ISBLANK(F202),F202=EUconst_NoTier),"",IF(Z202=0,EUconst_NotApplicable,IF(ISERROR(Z202),"",Z202)))</f>
        <v/>
      </c>
      <c r="H202" s="1122"/>
      <c r="I202" s="629" t="str">
        <f>IF(OR(AC202=FALSE,Y202=EUconst_NA),"","-")</f>
        <v/>
      </c>
      <c r="J202" s="447"/>
      <c r="K202" s="636" t="str">
        <f>IF(L202="",AU202,"")</f>
        <v/>
      </c>
      <c r="L202" s="630"/>
      <c r="M202" s="486" t="str">
        <f>IF(AND(E192&lt;&gt;"",OR(F202="",COUNT(K202:L202)=0),Y202&lt;&gt;EUconst_NA),EUconst_ERR_Incomplete,IF(COUNTIF(BB202:BD202,TRUE)&gt;0,EUconst_ERR_Inconsistent,""))</f>
        <v/>
      </c>
      <c r="N202" s="22"/>
      <c r="O202" s="323"/>
      <c r="P202" s="612"/>
      <c r="Q202" s="354"/>
      <c r="R202" s="354"/>
      <c r="S202" s="325"/>
      <c r="T202" s="384" t="str">
        <f>EUconst_CNTR_BiomassContent&amp;E192</f>
        <v>BioC_</v>
      </c>
      <c r="U202" s="23"/>
      <c r="V202" s="382" t="str">
        <f>V201</f>
        <v/>
      </c>
      <c r="W202" s="382" t="e">
        <f>IF(COUNTIF(MSPara_SourceStreamCategory,V202)=0,"",INDEX(MSPara_IsFossil,MATCH(V202,MSPara_SourceStreamCategory,0)))</f>
        <v>#N/A</v>
      </c>
      <c r="X202" s="23"/>
      <c r="Y202" s="452" t="str">
        <f>IF(E192="","",IF(OR(F202=EUconst_NA,W202=TRUE),EUconst_NA,INDEX(EUwideConstants!$P$153:$P$180,MATCH(T202,EUwideConstants!$S$153:$S$180,0))))</f>
        <v/>
      </c>
      <c r="Z202" s="473" t="str">
        <f>IF(ISBLANK(F202),"",IF(F202=EUconst_NA,"",INDEX(EUwideConstants!$H:$O,MATCH(T202,EUwideConstants!$S:$S,0),MATCH(F202,CNTR_TierList,0))))</f>
        <v/>
      </c>
      <c r="AA202" s="682" t="str">
        <f>IF(F202=1,1,"")</f>
        <v/>
      </c>
      <c r="AB202" s="325"/>
      <c r="AC202" s="453" t="b">
        <f>AND(AC197,Y202&lt;&gt;EUconst_NA)</f>
        <v>0</v>
      </c>
      <c r="AD202" s="325"/>
      <c r="AE202" s="463"/>
      <c r="AF202" s="461"/>
      <c r="AG202" s="466"/>
      <c r="AH202" s="468"/>
      <c r="AI202" s="468"/>
      <c r="AJ202" s="468"/>
      <c r="AK202" s="470"/>
      <c r="AL202" s="337"/>
      <c r="AM202" s="337"/>
      <c r="AN202" s="337"/>
      <c r="AO202" s="337"/>
      <c r="AP202" s="337"/>
      <c r="AQ202" s="474" t="str">
        <f>EUconst_CNTR_BiomassContent&amp;EUconst_Value</f>
        <v>BioC_Arvo</v>
      </c>
      <c r="AR202" s="463"/>
      <c r="AS202" s="385" t="str">
        <f>IF(AC202=TRUE,IF(COUNTIF(MSPara_SourceStreamCategory,V202)=0,"",INDEX(MSPara_CalcFactorsMatrix,MATCH(V202,MSPara_SourceStreamCategory,0),MATCH(AQ202&amp;"_"&amp;2,MSPara_CalcFactors,0))),"")</f>
        <v/>
      </c>
      <c r="AT202" s="459"/>
      <c r="AU202" s="477" t="str">
        <f>IF(OR(AA202="",AS202=EUconst_NA),"",AS202)</f>
        <v/>
      </c>
      <c r="AV202" s="453">
        <f>IF(AC202=TRUE,IF(COUNT(K202:L202)=0,0,IF(L202="",K202,L202)),0)</f>
        <v>0</v>
      </c>
      <c r="AW202" s="382" t="b">
        <f>AND(AC202=TRUE,OR(AND(F202&lt;&gt;"",NOT(ISNUMBER(AA202))),L202&lt;&gt;"",F202="",AU202=""))</f>
        <v>0</v>
      </c>
      <c r="AX202" s="478" t="b">
        <f>AND(AC202=TRUE,NOT(AW202))</f>
        <v>0</v>
      </c>
      <c r="AY202" s="325"/>
      <c r="AZ202" s="386" t="b">
        <f>AND(ISNUMBER(AA202),AU202="")</f>
        <v>0</v>
      </c>
      <c r="BA202" s="387" t="b">
        <f>AND(ISNUMBER(AA202),AU202&lt;&gt;AV202)</f>
        <v>0</v>
      </c>
      <c r="BB202" s="325"/>
      <c r="BC202" s="382" t="b">
        <f>AND(L202&lt;&gt;"",Y202=EUconst_NA)</f>
        <v>0</v>
      </c>
      <c r="BD202" s="382" t="b">
        <f>OR(AV201&gt;100%,(AV201+AV202)&gt;100%)</f>
        <v>0</v>
      </c>
      <c r="BE202" s="325"/>
      <c r="BF202" s="386" t="s">
        <v>134</v>
      </c>
      <c r="BG202" s="499" t="str">
        <f>IF(AN197=EUconst_TJ,AV197*AV201,IF(AN199=EUconst_GJ,AV197*AV199/1000*AV201,""))</f>
        <v/>
      </c>
      <c r="BH202" s="325"/>
      <c r="BI202" s="325"/>
      <c r="BJ202" s="325"/>
      <c r="BK202" s="325"/>
      <c r="BL202" s="325"/>
      <c r="BM202" s="325"/>
      <c r="BN202" s="325"/>
      <c r="BO202" s="325"/>
      <c r="BP202" s="325"/>
      <c r="BQ202" s="325"/>
      <c r="BR202" s="325"/>
      <c r="BS202" s="325"/>
      <c r="BT202" s="325"/>
      <c r="BU202" s="325"/>
      <c r="BV202" s="325"/>
      <c r="BW202" s="325"/>
      <c r="BX202" s="325"/>
      <c r="BY202" s="325"/>
      <c r="BZ202" s="325"/>
      <c r="CA202" s="325"/>
      <c r="CB202" s="325"/>
      <c r="CC202" s="325"/>
      <c r="CD202" s="325"/>
      <c r="CE202" s="325"/>
      <c r="CF202" s="325"/>
      <c r="CG202" s="382" t="b">
        <f>OR(CG197,Y202=EUconst_NA)</f>
        <v>0</v>
      </c>
    </row>
    <row r="203" spans="1:85" ht="5.15" customHeight="1" thickBot="1" x14ac:dyDescent="0.3">
      <c r="A203" s="318"/>
      <c r="B203" s="21"/>
      <c r="C203" s="21"/>
      <c r="D203" s="327"/>
      <c r="E203" s="22"/>
      <c r="F203" s="22"/>
      <c r="G203" s="22"/>
      <c r="H203" s="22"/>
      <c r="I203" s="22"/>
      <c r="J203" s="22"/>
      <c r="K203" s="22"/>
      <c r="L203" s="22"/>
      <c r="M203" s="488"/>
      <c r="N203" s="22"/>
      <c r="O203" s="323"/>
      <c r="P203" s="301"/>
      <c r="Q203" s="23"/>
      <c r="R203" s="23"/>
      <c r="S203" s="325"/>
      <c r="T203" s="325"/>
      <c r="U203" s="325"/>
      <c r="V203" s="325"/>
      <c r="W203" s="325"/>
      <c r="X203" s="325"/>
      <c r="Y203" s="325"/>
      <c r="Z203" s="325"/>
      <c r="AA203" s="325"/>
      <c r="AB203" s="325"/>
      <c r="AC203" s="325"/>
      <c r="AD203" s="325"/>
      <c r="AE203" s="325"/>
      <c r="AF203" s="325"/>
      <c r="AG203" s="325"/>
      <c r="AH203" s="325"/>
      <c r="AI203" s="325"/>
      <c r="AJ203" s="325"/>
      <c r="AK203" s="325"/>
      <c r="AL203" s="325"/>
      <c r="AM203" s="325"/>
      <c r="AN203" s="325"/>
      <c r="AO203" s="325"/>
      <c r="AP203" s="325"/>
      <c r="AQ203" s="325"/>
      <c r="AR203" s="325"/>
      <c r="AS203" s="325"/>
      <c r="AT203" s="325"/>
      <c r="AU203" s="325"/>
      <c r="AV203" s="325"/>
      <c r="AW203" s="325"/>
      <c r="AX203" s="325"/>
      <c r="AY203" s="325"/>
      <c r="AZ203" s="325"/>
      <c r="BA203" s="325"/>
      <c r="BB203" s="325"/>
      <c r="BC203" s="325"/>
      <c r="BD203" s="325"/>
      <c r="BE203" s="325"/>
      <c r="BF203" s="325"/>
      <c r="BG203" s="325"/>
      <c r="BH203" s="325"/>
      <c r="BI203" s="325"/>
      <c r="BJ203" s="325"/>
      <c r="BK203" s="325"/>
      <c r="BL203" s="325"/>
      <c r="BM203" s="325"/>
      <c r="BN203" s="325"/>
      <c r="BO203" s="325"/>
      <c r="BP203" s="325"/>
      <c r="BQ203" s="325"/>
      <c r="BR203" s="325"/>
      <c r="BS203" s="325"/>
      <c r="BT203" s="325"/>
      <c r="BU203" s="325"/>
      <c r="BV203" s="325"/>
      <c r="BW203" s="325"/>
      <c r="BX203" s="325"/>
      <c r="BY203" s="325"/>
      <c r="BZ203" s="325"/>
      <c r="CA203" s="325"/>
      <c r="CB203" s="325"/>
      <c r="CC203" s="325"/>
      <c r="CD203" s="325"/>
      <c r="CE203" s="325"/>
      <c r="CF203" s="325"/>
      <c r="CG203" s="325"/>
    </row>
    <row r="204" spans="1:85" ht="12.75" customHeight="1" thickBot="1" x14ac:dyDescent="0.3">
      <c r="A204" s="318"/>
      <c r="B204" s="21"/>
      <c r="C204" s="344"/>
      <c r="D204" s="345" t="str">
        <f>Translations!$B$398</f>
        <v>Soveltamisalakerroin:</v>
      </c>
      <c r="E204" s="479"/>
      <c r="F204" s="803"/>
      <c r="G204" s="1125"/>
      <c r="H204" s="1126"/>
      <c r="I204" s="492" t="s">
        <v>52</v>
      </c>
      <c r="J204" s="480"/>
      <c r="K204" s="481" t="str">
        <f>IF(L204="",AU204,"")</f>
        <v/>
      </c>
      <c r="L204" s="607"/>
      <c r="M204" s="489" t="str">
        <f>IF(AND(E192&lt;&gt;"",OR(F204="",G204="",COUNT(K204:L204)=0)),EUconst_ERR_Incomplete,IF(COUNTIF(BB204:BD204,TRUE)&gt;0,EUconst_ERR_Inconsistent,""))</f>
        <v/>
      </c>
      <c r="N204" s="22"/>
      <c r="O204" s="323"/>
      <c r="P204" s="301"/>
      <c r="Q204" s="23"/>
      <c r="R204" s="325"/>
      <c r="S204" s="10"/>
      <c r="T204" s="48" t="str">
        <f>EUconst_CNTR_ScopeFactor&amp;E192</f>
        <v>ScopeFactor_</v>
      </c>
      <c r="U204" s="248" t="str">
        <f>IF(F204="","",INDEX(ScopeAddress,MATCH(F204,ScopeTiers,0)))</f>
        <v/>
      </c>
      <c r="V204" s="382" t="str">
        <f>V197</f>
        <v/>
      </c>
      <c r="W204" s="325"/>
      <c r="X204" s="325"/>
      <c r="Y204" s="452" t="str">
        <f>IF(E192="","",IF(F204=EUconst_NA,EUconst_NA,INDEX(EUwideConstants!$P$153:$P$180,MATCH(T204,EUwideConstants!$S$153:$S$180,0))))</f>
        <v/>
      </c>
      <c r="Z204" s="473" t="str">
        <f>IF(ISBLANK(F204),"",IF(F204=EUconst_NA,"",INDEX(EUwideConstants!$H:$O,MATCH(T204,EUwideConstants!$S:$S,0),MATCH(F204,CNTR_TierList,0))))</f>
        <v/>
      </c>
      <c r="AA204" s="339" t="str">
        <f>IF(G204=EUwideConstants!$A$88,1,"")</f>
        <v/>
      </c>
      <c r="AB204" s="325"/>
      <c r="AC204" s="376" t="b">
        <f>AND(AC197,Y204&lt;&gt;EUconst_NA)</f>
        <v>0</v>
      </c>
      <c r="AD204" s="325"/>
      <c r="AE204" s="325"/>
      <c r="AF204" s="325"/>
      <c r="AG204" s="330"/>
      <c r="AH204" s="325"/>
      <c r="AI204" s="325"/>
      <c r="AJ204" s="325"/>
      <c r="AK204" s="325"/>
      <c r="AL204" s="325"/>
      <c r="AM204" s="325"/>
      <c r="AN204" s="325"/>
      <c r="AO204" s="325"/>
      <c r="AP204" s="325"/>
      <c r="AQ204" s="325"/>
      <c r="AR204" s="325"/>
      <c r="AS204" s="338">
        <v>1</v>
      </c>
      <c r="AT204" s="325"/>
      <c r="AU204" s="330" t="str">
        <f>IF(G204=EUwideConstants!$A$88,AS204,"")</f>
        <v/>
      </c>
      <c r="AV204" s="376">
        <f>IF(AC204=TRUE,IF(COUNT(K204:L204)=0,0,IF(L204="",K204,L204)),0)</f>
        <v>0</v>
      </c>
      <c r="AW204" s="375" t="b">
        <f>AND(AC204=TRUE,OR(AND(F204&lt;&gt;"",NOT(ISNUMBER(AA204))),L204&lt;&gt;"",F204="",AU204=""))</f>
        <v>0</v>
      </c>
      <c r="AX204" s="457" t="b">
        <f>AND(AC204=TRUE,NOT(AW204))</f>
        <v>0</v>
      </c>
      <c r="AY204" s="325"/>
      <c r="AZ204" s="379" t="b">
        <f>AND(ISNUMBER(AA204),AU204="")</f>
        <v>0</v>
      </c>
      <c r="BA204" s="380" t="b">
        <f>AND(ISNUMBER(AA204),AU204&lt;&gt;AV204)</f>
        <v>0</v>
      </c>
      <c r="BB204" s="325"/>
      <c r="BC204" s="33" t="b">
        <f>AND(F204&lt;&gt;"",OR(COUNTIF(INDEX(ScopeMethods,F204,),G204)=0,AND(AA204&lt;&gt;"",AU204&lt;&gt;AV204)))</f>
        <v>0</v>
      </c>
      <c r="BD204" s="325"/>
      <c r="BE204" s="325"/>
      <c r="BF204" s="325"/>
      <c r="BG204" s="325"/>
      <c r="BH204" s="325"/>
      <c r="BI204" s="325"/>
      <c r="BJ204" s="325"/>
      <c r="BK204" s="325"/>
      <c r="BL204" s="325"/>
      <c r="BM204" s="325"/>
      <c r="BN204" s="325"/>
      <c r="BO204" s="325"/>
      <c r="BP204" s="325"/>
      <c r="BQ204" s="325"/>
      <c r="BR204" s="325"/>
      <c r="BS204" s="325"/>
      <c r="BT204" s="325"/>
      <c r="BU204" s="325"/>
      <c r="BV204" s="325"/>
      <c r="BW204" s="325"/>
      <c r="BX204" s="325"/>
      <c r="BY204" s="325"/>
      <c r="BZ204" s="325"/>
      <c r="CA204" s="325"/>
      <c r="CB204" s="325"/>
      <c r="CC204" s="325"/>
      <c r="CD204" s="325"/>
      <c r="CE204" s="325"/>
      <c r="CF204" s="325"/>
      <c r="CG204" s="325"/>
    </row>
    <row r="205" spans="1:85" ht="12.75" customHeight="1" x14ac:dyDescent="0.25">
      <c r="A205" s="318"/>
      <c r="B205" s="21"/>
      <c r="C205" s="21"/>
      <c r="D205" s="21"/>
      <c r="E205" s="21"/>
      <c r="F205" s="21"/>
      <c r="G205" s="1130" t="str">
        <f>IF(G204="","",INDEX(ScopeMethodsDetails,MATCH(G204,INDEX(ScopeMethodsDetails,,1),0),2))</f>
        <v/>
      </c>
      <c r="H205" s="1131"/>
      <c r="I205" s="1131"/>
      <c r="J205" s="1131"/>
      <c r="K205" s="1131"/>
      <c r="L205" s="1131"/>
      <c r="M205" s="1132"/>
      <c r="N205" s="22"/>
      <c r="O205" s="323"/>
      <c r="P205" s="301"/>
      <c r="Q205" s="23"/>
      <c r="R205" s="23"/>
      <c r="S205" s="325"/>
      <c r="T205" s="325"/>
      <c r="U205" s="325"/>
      <c r="V205" s="325"/>
      <c r="W205" s="325"/>
      <c r="X205" s="325"/>
      <c r="Y205" s="325"/>
      <c r="Z205" s="325"/>
      <c r="AA205" s="325"/>
      <c r="AB205" s="325"/>
      <c r="AC205" s="325"/>
      <c r="AD205" s="325"/>
      <c r="AE205" s="325"/>
      <c r="AF205" s="325"/>
      <c r="AG205" s="325"/>
      <c r="AH205" s="325"/>
      <c r="AI205" s="325"/>
      <c r="AJ205" s="325"/>
      <c r="AK205" s="325"/>
      <c r="AL205" s="325"/>
      <c r="AM205" s="325"/>
      <c r="AN205" s="325"/>
      <c r="AO205" s="325"/>
      <c r="AP205" s="325"/>
      <c r="AQ205" s="325"/>
      <c r="AR205" s="325"/>
      <c r="AS205" s="325"/>
      <c r="AT205" s="325"/>
      <c r="AU205" s="325"/>
      <c r="AV205" s="325"/>
      <c r="AW205" s="325"/>
      <c r="AX205" s="325"/>
      <c r="AY205" s="325"/>
      <c r="AZ205" s="325"/>
      <c r="BA205" s="325"/>
      <c r="BB205" s="325"/>
      <c r="BC205" s="325"/>
      <c r="BD205" s="325"/>
      <c r="BE205" s="325"/>
      <c r="BF205" s="325"/>
      <c r="BG205" s="325"/>
      <c r="BH205" s="325"/>
      <c r="BI205" s="325"/>
      <c r="BJ205" s="325"/>
      <c r="BK205" s="325"/>
      <c r="BL205" s="325"/>
      <c r="BM205" s="325"/>
      <c r="BN205" s="325"/>
      <c r="BO205" s="325"/>
      <c r="BP205" s="325"/>
      <c r="BQ205" s="325"/>
      <c r="BR205" s="325"/>
      <c r="BS205" s="325"/>
      <c r="BT205" s="325"/>
      <c r="BU205" s="325"/>
      <c r="BV205" s="325"/>
      <c r="BW205" s="325"/>
      <c r="BX205" s="325"/>
      <c r="BY205" s="325"/>
      <c r="BZ205" s="325"/>
      <c r="CA205" s="325"/>
      <c r="CB205" s="325"/>
      <c r="CC205" s="325"/>
      <c r="CD205" s="325"/>
      <c r="CE205" s="325"/>
      <c r="CF205" s="325"/>
      <c r="CG205" s="325"/>
    </row>
    <row r="206" spans="1:85" ht="5.15" customHeight="1" x14ac:dyDescent="0.25">
      <c r="A206" s="318"/>
      <c r="C206" s="22"/>
      <c r="D206" s="22"/>
      <c r="E206" s="22"/>
      <c r="F206" s="22"/>
      <c r="G206" s="22"/>
      <c r="H206" s="22"/>
      <c r="I206" s="22"/>
      <c r="J206" s="22"/>
      <c r="K206" s="22"/>
      <c r="L206" s="22"/>
      <c r="O206" s="323"/>
      <c r="P206" s="301"/>
      <c r="Q206" s="23"/>
      <c r="R206" s="23"/>
      <c r="S206" s="325"/>
      <c r="T206" s="325"/>
      <c r="U206" s="325"/>
      <c r="V206" s="325"/>
      <c r="W206" s="325"/>
      <c r="X206" s="325"/>
      <c r="Y206" s="325"/>
      <c r="Z206" s="325"/>
      <c r="AA206" s="325"/>
      <c r="AB206" s="325"/>
      <c r="AC206" s="325"/>
      <c r="AD206" s="325"/>
      <c r="AE206" s="325"/>
      <c r="AF206" s="325"/>
      <c r="AG206" s="325"/>
      <c r="AH206" s="325"/>
      <c r="AI206" s="325"/>
      <c r="AJ206" s="325"/>
      <c r="AK206" s="325"/>
      <c r="AL206" s="325"/>
      <c r="AM206" s="325"/>
      <c r="AN206" s="325"/>
      <c r="AO206" s="325"/>
      <c r="AP206" s="325"/>
      <c r="AQ206" s="325"/>
      <c r="AR206" s="325"/>
      <c r="AS206" s="325"/>
      <c r="AT206" s="325"/>
      <c r="AU206" s="325"/>
      <c r="AV206" s="325"/>
      <c r="AW206" s="325"/>
      <c r="AX206" s="325"/>
      <c r="AY206" s="325"/>
      <c r="AZ206" s="325"/>
      <c r="BA206" s="325"/>
      <c r="BB206" s="325"/>
      <c r="BC206" s="325"/>
      <c r="BD206" s="325"/>
      <c r="BE206" s="325"/>
      <c r="BF206" s="325"/>
      <c r="BG206" s="325"/>
      <c r="BH206" s="325"/>
      <c r="BI206" s="325"/>
      <c r="BJ206" s="325"/>
      <c r="BK206" s="325"/>
      <c r="BL206" s="325"/>
      <c r="BM206" s="325"/>
      <c r="BN206" s="325"/>
      <c r="BO206" s="325"/>
      <c r="BP206" s="325"/>
      <c r="BQ206" s="325"/>
      <c r="BR206" s="325"/>
      <c r="BS206" s="325"/>
      <c r="BT206" s="325"/>
      <c r="BU206" s="325"/>
      <c r="BV206" s="325"/>
      <c r="BW206" s="325"/>
      <c r="BX206" s="325"/>
      <c r="BY206" s="325"/>
      <c r="BZ206" s="325"/>
      <c r="CA206" s="325"/>
      <c r="CB206" s="325"/>
      <c r="CC206" s="325"/>
      <c r="CD206" s="325"/>
      <c r="CE206" s="325"/>
      <c r="CF206" s="325"/>
      <c r="CG206" s="325"/>
    </row>
    <row r="207" spans="1:85" ht="12.75" customHeight="1" x14ac:dyDescent="0.25">
      <c r="A207" s="318"/>
      <c r="C207" s="22"/>
      <c r="D207" s="22"/>
      <c r="E207" s="22"/>
      <c r="F207" s="22"/>
      <c r="G207" s="1133">
        <v>1</v>
      </c>
      <c r="H207" s="1133"/>
      <c r="I207" s="1133">
        <v>2</v>
      </c>
      <c r="J207" s="1133"/>
      <c r="K207" s="1133">
        <v>3</v>
      </c>
      <c r="L207" s="1133"/>
      <c r="O207" s="323"/>
      <c r="P207" s="301"/>
      <c r="Q207" s="23"/>
      <c r="R207" s="23"/>
      <c r="S207" s="325"/>
      <c r="T207" s="325"/>
      <c r="U207" s="325"/>
      <c r="V207" s="325"/>
      <c r="W207" s="325"/>
      <c r="X207" s="325"/>
      <c r="Y207" s="325"/>
      <c r="Z207" s="325"/>
      <c r="AA207" s="325"/>
      <c r="AB207" s="325"/>
      <c r="AC207" s="325"/>
      <c r="AD207" s="325"/>
      <c r="AE207" s="325"/>
      <c r="AF207" s="325"/>
      <c r="AG207" s="325"/>
      <c r="AH207" s="325"/>
      <c r="AI207" s="325"/>
      <c r="AJ207" s="325"/>
      <c r="AK207" s="325"/>
      <c r="AL207" s="325"/>
      <c r="AM207" s="325"/>
      <c r="AN207" s="325"/>
      <c r="AO207" s="325"/>
      <c r="AP207" s="325"/>
      <c r="AQ207" s="325"/>
      <c r="AR207" s="325"/>
      <c r="AS207" s="325"/>
      <c r="AT207" s="325"/>
      <c r="AU207" s="325"/>
      <c r="AV207" s="325"/>
      <c r="AW207" s="325"/>
      <c r="AX207" s="325"/>
      <c r="AY207" s="325"/>
      <c r="AZ207" s="325"/>
      <c r="BA207" s="325"/>
      <c r="BB207" s="325"/>
      <c r="BC207" s="325"/>
      <c r="BD207" s="325"/>
      <c r="BE207" s="325"/>
      <c r="BF207" s="325"/>
      <c r="BG207" s="325"/>
      <c r="BH207" s="325"/>
      <c r="BI207" s="325"/>
      <c r="BJ207" s="325"/>
      <c r="BK207" s="325"/>
      <c r="BL207" s="325"/>
      <c r="BM207" s="325"/>
      <c r="BN207" s="325"/>
      <c r="BO207" s="325"/>
      <c r="BP207" s="325"/>
      <c r="BQ207" s="325"/>
      <c r="BR207" s="325"/>
      <c r="BS207" s="325"/>
      <c r="BT207" s="325"/>
      <c r="BU207" s="325"/>
      <c r="BV207" s="325"/>
      <c r="BW207" s="325"/>
      <c r="BX207" s="325"/>
      <c r="BY207" s="325"/>
      <c r="BZ207" s="325"/>
      <c r="CA207" s="325"/>
      <c r="CB207" s="325"/>
      <c r="CC207" s="325"/>
      <c r="CD207" s="325"/>
      <c r="CE207" s="325"/>
      <c r="CF207" s="325"/>
      <c r="CG207" s="325"/>
    </row>
    <row r="208" spans="1:85" ht="12.75" customHeight="1" x14ac:dyDescent="0.25">
      <c r="A208" s="389"/>
      <c r="B208" s="22"/>
      <c r="C208" s="22"/>
      <c r="D208" s="1134" t="str">
        <f>Translations!$B$372</f>
        <v>CRF-luokka</v>
      </c>
      <c r="E208" s="1134"/>
      <c r="F208" s="1135"/>
      <c r="G208" s="1123"/>
      <c r="H208" s="1124"/>
      <c r="I208" s="1123"/>
      <c r="J208" s="1124"/>
      <c r="K208" s="1123"/>
      <c r="L208" s="1124"/>
      <c r="M208" s="623" t="str">
        <f>IF(AND(E191&lt;&gt;"",COUNTA(G208:L208)=0,AX208=FALSE),EUconst_ERR_Incomplete,"")</f>
        <v/>
      </c>
      <c r="N208" s="22"/>
      <c r="O208" s="323"/>
      <c r="P208" s="301"/>
      <c r="Q208" s="23"/>
      <c r="R208" s="23"/>
      <c r="S208" s="325"/>
      <c r="T208" s="325"/>
      <c r="U208" s="325"/>
      <c r="V208" s="325"/>
      <c r="W208" s="325"/>
      <c r="X208" s="325"/>
      <c r="Y208" s="325"/>
      <c r="Z208" s="325"/>
      <c r="AA208" s="325"/>
      <c r="AB208" s="325"/>
      <c r="AC208" s="325"/>
      <c r="AD208" s="325"/>
      <c r="AE208" s="325"/>
      <c r="AF208" s="325"/>
      <c r="AG208" s="325"/>
      <c r="AH208" s="325"/>
      <c r="AI208" s="325"/>
      <c r="AJ208" s="325"/>
      <c r="AK208" s="325"/>
      <c r="AL208" s="325"/>
      <c r="AM208" s="325"/>
      <c r="AN208" s="325"/>
      <c r="AO208" s="325"/>
      <c r="AP208" s="325"/>
      <c r="AQ208" s="325"/>
      <c r="AR208" s="325"/>
      <c r="AS208" s="325"/>
      <c r="AT208" s="325"/>
      <c r="AU208" s="325"/>
      <c r="AV208" s="325"/>
      <c r="AW208" s="325"/>
      <c r="AX208" s="33" t="b">
        <f>AND(AV204&lt;&gt;"",SUM(AV204=1))</f>
        <v>0</v>
      </c>
      <c r="AY208" s="325"/>
      <c r="AZ208" s="325"/>
      <c r="BA208" s="325"/>
      <c r="BB208" s="325"/>
      <c r="BC208" s="325"/>
      <c r="BD208" s="325"/>
      <c r="BE208" s="325"/>
      <c r="BF208" s="325"/>
      <c r="BG208" s="325"/>
      <c r="BH208" s="325"/>
      <c r="BI208" s="325"/>
      <c r="BJ208" s="325"/>
      <c r="BK208" s="325"/>
      <c r="BL208" s="325"/>
      <c r="BM208" s="325"/>
      <c r="BN208" s="325"/>
      <c r="BO208" s="325"/>
      <c r="BP208" s="325"/>
      <c r="BQ208" s="325"/>
      <c r="BR208" s="325"/>
      <c r="BS208" s="325"/>
      <c r="BT208" s="325"/>
      <c r="BU208" s="325"/>
      <c r="BV208" s="325"/>
      <c r="BW208" s="325"/>
      <c r="BX208" s="325"/>
      <c r="BY208" s="325"/>
      <c r="BZ208" s="325"/>
      <c r="CA208" s="325"/>
      <c r="CB208" s="325"/>
      <c r="CC208" s="325"/>
      <c r="CD208" s="325"/>
      <c r="CE208" s="325"/>
      <c r="CF208" s="325"/>
      <c r="CG208" s="325"/>
    </row>
    <row r="209" spans="1:85" ht="4.5" customHeight="1" x14ac:dyDescent="0.25">
      <c r="A209" s="318"/>
      <c r="B209" s="21"/>
      <c r="C209" s="21"/>
      <c r="D209" s="21"/>
      <c r="E209" s="21"/>
      <c r="F209" s="21"/>
      <c r="G209" s="22"/>
      <c r="H209" s="22"/>
      <c r="I209" s="22"/>
      <c r="J209" s="22"/>
      <c r="K209" s="22"/>
      <c r="L209" s="22"/>
      <c r="M209" s="22"/>
      <c r="N209" s="22"/>
      <c r="O209" s="323"/>
      <c r="P209" s="301"/>
      <c r="Q209" s="23"/>
      <c r="R209" s="23"/>
      <c r="S209" s="325"/>
      <c r="T209" s="325"/>
      <c r="U209" s="325"/>
      <c r="V209" s="325"/>
      <c r="W209" s="325"/>
      <c r="X209" s="325"/>
      <c r="Y209" s="325"/>
      <c r="Z209" s="325"/>
      <c r="AA209" s="325"/>
      <c r="AB209" s="325"/>
      <c r="AC209" s="325"/>
      <c r="AD209" s="325"/>
      <c r="AE209" s="325"/>
      <c r="AF209" s="325"/>
      <c r="AG209" s="325"/>
      <c r="AH209" s="325"/>
      <c r="AI209" s="325"/>
      <c r="AJ209" s="325"/>
      <c r="AK209" s="325"/>
      <c r="AL209" s="325"/>
      <c r="AM209" s="325"/>
      <c r="AN209" s="325"/>
      <c r="AO209" s="325"/>
      <c r="AP209" s="325"/>
      <c r="AQ209" s="325"/>
      <c r="AR209" s="325"/>
      <c r="AS209" s="325"/>
      <c r="AT209" s="325"/>
      <c r="AU209" s="325"/>
      <c r="AV209" s="325"/>
      <c r="AW209" s="325"/>
      <c r="AX209" s="325"/>
      <c r="AY209" s="325"/>
      <c r="AZ209" s="325"/>
      <c r="BA209" s="325"/>
      <c r="BB209" s="325"/>
      <c r="BC209" s="325"/>
      <c r="BD209" s="325"/>
      <c r="BE209" s="325"/>
      <c r="BF209" s="325"/>
      <c r="BG209" s="325"/>
      <c r="BH209" s="325"/>
      <c r="BI209" s="325"/>
      <c r="BJ209" s="325"/>
      <c r="BK209" s="325"/>
      <c r="BL209" s="325"/>
      <c r="BM209" s="325"/>
      <c r="BN209" s="325"/>
      <c r="BO209" s="325"/>
      <c r="BP209" s="325"/>
      <c r="BQ209" s="325"/>
      <c r="BR209" s="325"/>
      <c r="BS209" s="325"/>
      <c r="BT209" s="325"/>
      <c r="BU209" s="325"/>
      <c r="BV209" s="325"/>
      <c r="BW209" s="325"/>
      <c r="BX209" s="325"/>
      <c r="BY209" s="325"/>
      <c r="BZ209" s="325"/>
      <c r="CA209" s="325"/>
      <c r="CB209" s="325"/>
      <c r="CC209" s="325"/>
      <c r="CD209" s="325"/>
      <c r="CE209" s="325"/>
      <c r="CF209" s="325"/>
      <c r="CG209" s="325"/>
    </row>
    <row r="210" spans="1:85" ht="5" hidden="1" customHeight="1" x14ac:dyDescent="0.25">
      <c r="A210" s="318"/>
      <c r="B210" s="21"/>
      <c r="C210" s="21"/>
      <c r="D210" s="1145"/>
      <c r="E210" s="1145"/>
      <c r="F210" s="1145"/>
      <c r="G210" s="806"/>
      <c r="H210" s="807"/>
      <c r="I210" s="806"/>
      <c r="J210" s="236"/>
      <c r="K210" s="236"/>
      <c r="L210" s="236"/>
      <c r="M210" s="807"/>
      <c r="N210" s="808"/>
      <c r="O210" s="323"/>
      <c r="P210" s="301"/>
      <c r="Q210" s="23"/>
      <c r="R210" s="23"/>
      <c r="S210" s="388"/>
      <c r="T210" s="325"/>
      <c r="U210" s="325"/>
      <c r="V210" s="325"/>
      <c r="W210" s="325"/>
      <c r="X210" s="325"/>
      <c r="Y210" s="325"/>
      <c r="Z210" s="325"/>
      <c r="AA210" s="325"/>
      <c r="AB210" s="325"/>
      <c r="AC210" s="325"/>
      <c r="AD210" s="325"/>
      <c r="AE210" s="325"/>
      <c r="AF210" s="325"/>
      <c r="AG210" s="325"/>
      <c r="AH210" s="325"/>
      <c r="AI210" s="325"/>
      <c r="AJ210" s="325"/>
      <c r="AK210" s="325"/>
      <c r="AL210" s="325"/>
      <c r="AM210" s="325"/>
      <c r="AN210" s="325"/>
      <c r="AO210" s="325"/>
      <c r="AP210" s="325"/>
      <c r="AQ210" s="325"/>
      <c r="AR210" s="325"/>
      <c r="AS210" s="325"/>
      <c r="AT210" s="325"/>
      <c r="AU210" s="325"/>
      <c r="AV210" s="325"/>
      <c r="AW210" s="325"/>
      <c r="AX210" s="325"/>
      <c r="AY210" s="325"/>
      <c r="AZ210" s="325"/>
      <c r="BA210" s="325"/>
      <c r="BB210" s="325"/>
      <c r="BC210" s="325"/>
      <c r="BD210" s="325"/>
      <c r="BE210" s="325"/>
      <c r="BF210" s="325"/>
      <c r="BG210" s="325"/>
      <c r="BH210" s="325"/>
      <c r="BI210" s="325"/>
      <c r="BJ210" s="325"/>
      <c r="BK210" s="325"/>
      <c r="BL210" s="325"/>
      <c r="BM210" s="325"/>
      <c r="BN210" s="325"/>
      <c r="BO210" s="325"/>
      <c r="BP210" s="325"/>
      <c r="BQ210" s="325"/>
      <c r="BR210" s="325"/>
      <c r="BS210" s="325"/>
      <c r="BT210" s="325"/>
      <c r="BU210" s="325"/>
      <c r="BV210" s="325"/>
      <c r="BW210" s="325"/>
      <c r="BX210" s="325"/>
      <c r="BY210" s="325"/>
      <c r="BZ210" s="325"/>
      <c r="CA210" s="325"/>
      <c r="CB210" s="325"/>
      <c r="CC210" s="325"/>
      <c r="CD210" s="325"/>
      <c r="CE210" s="325"/>
      <c r="CF210" s="325"/>
      <c r="CG210" s="33" t="b">
        <f>CG197</f>
        <v>0</v>
      </c>
    </row>
    <row r="211" spans="1:85" ht="5.15" customHeight="1" x14ac:dyDescent="0.25">
      <c r="A211" s="389"/>
      <c r="B211" s="22"/>
      <c r="C211" s="22"/>
      <c r="D211" s="22"/>
      <c r="E211" s="1116" t="str">
        <f>Translations!$B$304</f>
        <v xml:space="preserve">Lisätiedot: 
tapa, jolla biomassan kestävyys on osoitettu; 
muut polttoainevirtaa koskevat lisätiedot. </v>
      </c>
      <c r="F211" s="1116"/>
      <c r="G211" s="22"/>
      <c r="H211" s="22"/>
      <c r="I211" s="22"/>
      <c r="J211" s="22"/>
      <c r="K211" s="22"/>
      <c r="L211" s="22"/>
      <c r="M211" s="22"/>
      <c r="N211" s="22"/>
      <c r="O211" s="323"/>
      <c r="P211" s="301"/>
      <c r="Q211" s="23"/>
      <c r="R211" s="23"/>
      <c r="S211" s="325"/>
      <c r="T211" s="325"/>
      <c r="U211" s="325"/>
      <c r="V211" s="325"/>
      <c r="W211" s="325"/>
      <c r="X211" s="325"/>
      <c r="Y211" s="325"/>
      <c r="Z211" s="325"/>
      <c r="AA211" s="325"/>
      <c r="AB211" s="325"/>
      <c r="AC211" s="325"/>
      <c r="AD211" s="325"/>
      <c r="AE211" s="325"/>
      <c r="AF211" s="325"/>
      <c r="AG211" s="325"/>
      <c r="AH211" s="325"/>
      <c r="AI211" s="325"/>
      <c r="AJ211" s="325"/>
      <c r="AK211" s="325"/>
      <c r="AL211" s="325"/>
      <c r="AM211" s="325"/>
      <c r="AN211" s="325"/>
      <c r="AO211" s="325"/>
      <c r="AP211" s="325"/>
      <c r="AQ211" s="325"/>
      <c r="AR211" s="325"/>
      <c r="AS211" s="325"/>
      <c r="AT211" s="325"/>
      <c r="AU211" s="325"/>
      <c r="AV211" s="325"/>
      <c r="AW211" s="325"/>
      <c r="AX211" s="325"/>
      <c r="AY211" s="325"/>
      <c r="AZ211" s="325"/>
      <c r="BA211" s="325"/>
      <c r="BB211" s="325"/>
      <c r="BC211" s="325"/>
      <c r="BD211" s="325"/>
      <c r="BE211" s="325"/>
      <c r="BF211" s="325"/>
      <c r="BG211" s="325"/>
      <c r="BH211" s="325"/>
      <c r="BI211" s="325"/>
      <c r="BJ211" s="325"/>
      <c r="BK211" s="325"/>
      <c r="BL211" s="325"/>
      <c r="BM211" s="325"/>
      <c r="BN211" s="325"/>
      <c r="BO211" s="325"/>
      <c r="BP211" s="325"/>
      <c r="BQ211" s="325"/>
      <c r="BR211" s="325"/>
      <c r="BS211" s="325"/>
      <c r="BT211" s="325"/>
      <c r="BU211" s="325"/>
      <c r="BV211" s="325"/>
      <c r="BW211" s="325"/>
      <c r="BX211" s="325"/>
      <c r="BY211" s="325"/>
      <c r="BZ211" s="325"/>
      <c r="CA211" s="325"/>
      <c r="CB211" s="325"/>
      <c r="CC211" s="325"/>
      <c r="CD211" s="325"/>
      <c r="CE211" s="325"/>
      <c r="CF211" s="325"/>
      <c r="CG211" s="325"/>
    </row>
    <row r="212" spans="1:85" ht="39" customHeight="1" x14ac:dyDescent="0.25">
      <c r="A212" s="389"/>
      <c r="B212" s="22"/>
      <c r="C212" s="22"/>
      <c r="D212" s="4"/>
      <c r="E212" s="1116"/>
      <c r="F212" s="1116"/>
      <c r="G212" s="1146"/>
      <c r="H212" s="1147"/>
      <c r="I212" s="1147"/>
      <c r="J212" s="1147"/>
      <c r="K212" s="1147"/>
      <c r="L212" s="1147"/>
      <c r="M212" s="1147"/>
      <c r="N212" s="1148"/>
      <c r="O212" s="323"/>
      <c r="P212" s="301"/>
      <c r="Q212" s="23"/>
      <c r="R212" s="23"/>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c r="BL212" s="325"/>
      <c r="BM212" s="325"/>
      <c r="BN212" s="325"/>
      <c r="BO212" s="325"/>
      <c r="BP212" s="325"/>
      <c r="BQ212" s="325"/>
      <c r="BR212" s="325"/>
      <c r="BS212" s="325"/>
      <c r="BT212" s="325"/>
      <c r="BU212" s="325"/>
      <c r="BV212" s="325"/>
      <c r="BW212" s="325"/>
      <c r="BX212" s="325"/>
      <c r="BY212" s="325"/>
      <c r="BZ212" s="325"/>
      <c r="CA212" s="325"/>
      <c r="CB212" s="325"/>
      <c r="CC212" s="325"/>
      <c r="CD212" s="325"/>
      <c r="CE212" s="325"/>
      <c r="CF212" s="325"/>
      <c r="CG212" s="33" t="b">
        <f>CG210</f>
        <v>0</v>
      </c>
    </row>
    <row r="213" spans="1:85" ht="12.75" customHeight="1" thickBot="1" x14ac:dyDescent="0.3">
      <c r="A213" s="318"/>
      <c r="B213" s="22"/>
      <c r="C213" s="319"/>
      <c r="D213" s="320"/>
      <c r="E213" s="321"/>
      <c r="F213" s="319"/>
      <c r="G213" s="322"/>
      <c r="H213" s="322"/>
      <c r="I213" s="322"/>
      <c r="J213" s="322"/>
      <c r="K213" s="322"/>
      <c r="L213" s="322"/>
      <c r="M213" s="322"/>
      <c r="N213" s="322"/>
      <c r="O213" s="323"/>
      <c r="P213" s="301"/>
      <c r="Q213" s="23"/>
      <c r="R213" s="23"/>
      <c r="S213" s="41"/>
      <c r="T213" s="41"/>
      <c r="U213" s="324"/>
      <c r="V213" s="41"/>
      <c r="W213" s="41"/>
      <c r="X213" s="324"/>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325"/>
      <c r="BN213" s="325"/>
      <c r="BO213" s="325"/>
      <c r="BP213" s="325"/>
      <c r="BQ213" s="325"/>
      <c r="BR213" s="325"/>
      <c r="BS213" s="325"/>
      <c r="BT213" s="325"/>
      <c r="BU213" s="41"/>
      <c r="BV213" s="41"/>
      <c r="BW213" s="41"/>
      <c r="BX213" s="41"/>
      <c r="BY213" s="41"/>
      <c r="BZ213" s="41"/>
      <c r="CA213" s="41"/>
      <c r="CB213" s="41"/>
      <c r="CC213" s="41"/>
      <c r="CD213" s="41"/>
      <c r="CE213" s="41"/>
      <c r="CF213" s="41"/>
      <c r="CG213" s="41"/>
    </row>
    <row r="214" spans="1:85" ht="12.75" customHeight="1" thickBot="1" x14ac:dyDescent="0.3">
      <c r="A214" s="326"/>
      <c r="B214" s="22"/>
      <c r="C214" s="22"/>
      <c r="D214" s="327"/>
      <c r="E214" s="328"/>
      <c r="F214" s="22"/>
      <c r="G214" s="1"/>
      <c r="H214" s="1"/>
      <c r="I214" s="1"/>
      <c r="J214" s="1"/>
      <c r="K214" s="22"/>
      <c r="L214" s="1"/>
      <c r="M214" s="1"/>
      <c r="N214" s="1"/>
      <c r="O214" s="323"/>
      <c r="P214" s="301"/>
      <c r="Q214" s="23"/>
      <c r="R214" s="23"/>
      <c r="S214" s="2"/>
      <c r="T214" s="20" t="str">
        <f>IF(ISBLANK(E215),"",MATCH(E215,CNTR_SourceStreamNames,0))</f>
        <v/>
      </c>
      <c r="U214" s="329" t="str">
        <f>IF(ISBLANK(E215),"",INDEX('B_Polttoainevirtojen tiedot'!$D$67:$D$91,MATCH(E215,CNTR_SourceStreamNames,0)))</f>
        <v/>
      </c>
      <c r="V214" s="60"/>
      <c r="W214" s="37"/>
      <c r="X214" s="37"/>
      <c r="Y214" s="37"/>
      <c r="Z214" s="41"/>
      <c r="AA214" s="41"/>
      <c r="AB214" s="41"/>
      <c r="AC214" s="41"/>
      <c r="AD214" s="41"/>
      <c r="AE214" s="41"/>
      <c r="AF214" s="41"/>
      <c r="AG214" s="41"/>
      <c r="AH214" s="41"/>
      <c r="AI214" s="41"/>
      <c r="AJ214" s="41"/>
      <c r="AK214" s="23"/>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30" t="s">
        <v>94</v>
      </c>
    </row>
    <row r="215" spans="1:85" ht="15" customHeight="1" thickBot="1" x14ac:dyDescent="0.3">
      <c r="A215" s="331">
        <f>C215</f>
        <v>8</v>
      </c>
      <c r="B215" s="21"/>
      <c r="C215" s="332">
        <f>C191+1</f>
        <v>8</v>
      </c>
      <c r="D215" s="21"/>
      <c r="E215" s="1117"/>
      <c r="F215" s="1118"/>
      <c r="G215" s="1118"/>
      <c r="H215" s="1118"/>
      <c r="I215" s="1118"/>
      <c r="J215" s="1119"/>
      <c r="K215" s="1138" t="str">
        <f>IF(INDEX('B_Polttoainevirtojen tiedot'!$K$100:$K$124,MATCH(U214,'B_Polttoainevirtojen tiedot'!$D$100:$D$124,0))&gt;0,INDEX('B_Polttoainevirtojen tiedot'!$K$100:$K$124,MATCH(U214,'B_Polttoainevirtojen tiedot'!$D$100:$D$124,0)),"")</f>
        <v/>
      </c>
      <c r="L215" s="1139"/>
      <c r="M215" s="328" t="str">
        <f>Translations!$B$374</f>
        <v>CO2 fossiilinen:</v>
      </c>
      <c r="N215" s="401" t="str">
        <f>IF(E216="","",BG221)</f>
        <v/>
      </c>
      <c r="O215" s="333" t="str">
        <f>EUconst_tCO2</f>
        <v>tCO2</v>
      </c>
      <c r="P215" s="610" t="str">
        <f>IF(AND(E215&lt;&gt;"",COUNTIF(P216:$P$811,"PRINT")=0),"PRINT","")</f>
        <v/>
      </c>
      <c r="Q215" s="335" t="str">
        <f>EUconst_SumCO2</f>
        <v>SUM_CO2</v>
      </c>
      <c r="R215" s="23"/>
      <c r="S215" s="2"/>
      <c r="T215" s="2"/>
      <c r="U215" s="2"/>
      <c r="V215" s="60"/>
      <c r="W215" s="37"/>
      <c r="X215" s="41"/>
      <c r="Y215" s="41"/>
      <c r="Z215" s="41"/>
      <c r="AA215" s="41"/>
      <c r="AB215" s="41"/>
      <c r="AC215" s="41"/>
      <c r="AD215" s="41"/>
      <c r="AE215" s="41"/>
      <c r="AF215" s="41"/>
      <c r="AG215" s="41"/>
      <c r="AH215" s="41"/>
      <c r="AI215" s="337"/>
      <c r="AJ215" s="337"/>
      <c r="AK215" s="337"/>
      <c r="AL215" s="337"/>
      <c r="AM215" s="337"/>
      <c r="AN215" s="337"/>
      <c r="AO215" s="337"/>
      <c r="AP215" s="337"/>
      <c r="AQ215" s="337"/>
      <c r="AR215" s="337"/>
      <c r="AS215" s="337"/>
      <c r="AT215" s="337"/>
      <c r="AU215" s="337"/>
      <c r="AV215" s="337"/>
      <c r="AW215" s="337"/>
      <c r="AX215" s="337"/>
      <c r="AY215" s="337"/>
      <c r="AZ215" s="337"/>
      <c r="BA215" s="337"/>
      <c r="BB215" s="337"/>
      <c r="BC215" s="337"/>
      <c r="BD215" s="337"/>
      <c r="BE215" s="337"/>
      <c r="BF215" s="337"/>
      <c r="BG215" s="337"/>
      <c r="BH215" s="337"/>
      <c r="BI215" s="483" t="str">
        <f>IF(E215="","",E215)</f>
        <v/>
      </c>
      <c r="BJ215" s="338" t="str">
        <f>IF(F221="","",F221)</f>
        <v/>
      </c>
      <c r="BK215" s="485">
        <f>AV221</f>
        <v>0</v>
      </c>
      <c r="BL215" s="485">
        <f>IF(BK215="","",BK215*(1-BP215))</f>
        <v>0</v>
      </c>
      <c r="BM215" s="338" t="str">
        <f>AJ221</f>
        <v/>
      </c>
      <c r="BN215" s="338" t="str">
        <f>IF(F228="","",F228)</f>
        <v/>
      </c>
      <c r="BO215" s="483" t="str">
        <f>IF(G228="","",G228)</f>
        <v/>
      </c>
      <c r="BP215" s="484">
        <f>AV228</f>
        <v>0</v>
      </c>
      <c r="BQ215" s="338" t="str">
        <f>IF(F224="","",F224)</f>
        <v/>
      </c>
      <c r="BR215" s="484">
        <f>AV224</f>
        <v>0</v>
      </c>
      <c r="BS215" s="484" t="str">
        <f>AJ224</f>
        <v/>
      </c>
      <c r="BT215" s="338" t="str">
        <f>IF(F223="","",F223)</f>
        <v/>
      </c>
      <c r="BU215" s="484">
        <f>IF(F223=EUconst_NA,"",AV223)</f>
        <v>0</v>
      </c>
      <c r="BV215" s="484" t="str">
        <f>AJ223</f>
        <v/>
      </c>
      <c r="BW215" s="338" t="str">
        <f>IF(F225="","",F225)</f>
        <v/>
      </c>
      <c r="BX215" s="484">
        <f>AV225</f>
        <v>0</v>
      </c>
      <c r="BY215" s="338" t="str">
        <f>IF(F226="","",F226)</f>
        <v/>
      </c>
      <c r="BZ215" s="484">
        <f>AV226</f>
        <v>0</v>
      </c>
      <c r="CA215" s="485" t="str">
        <f>N215</f>
        <v/>
      </c>
      <c r="CB215" s="485" t="str">
        <f>N216</f>
        <v/>
      </c>
      <c r="CC215" s="485" t="str">
        <f>R218</f>
        <v/>
      </c>
      <c r="CD215" s="485" t="str">
        <f>R220</f>
        <v/>
      </c>
      <c r="CE215" s="485" t="str">
        <f>R221</f>
        <v/>
      </c>
      <c r="CF215" s="37"/>
      <c r="CG215" s="339" t="b">
        <v>0</v>
      </c>
    </row>
    <row r="216" spans="1:85" ht="15" customHeight="1" thickBot="1" x14ac:dyDescent="0.3">
      <c r="A216" s="318"/>
      <c r="B216" s="21"/>
      <c r="C216" s="21"/>
      <c r="D216" s="21"/>
      <c r="E216" s="1127" t="str">
        <f>IF(ISBLANK(E215),"",IF(INDEX('B_Polttoainevirtojen tiedot'!$E$67:$E$91,MATCH(U214,'B_Polttoainevirtojen tiedot'!$D$67:$D$91,0))&gt;0,INDEX('B_Polttoainevirtojen tiedot'!$E$67:$E$91,MATCH(U214,'B_Polttoainevirtojen tiedot'!$D$67:$D$91,0)),""))</f>
        <v/>
      </c>
      <c r="F216" s="1128"/>
      <c r="G216" s="1128"/>
      <c r="H216" s="1128"/>
      <c r="I216" s="1128"/>
      <c r="J216" s="1129"/>
      <c r="K216" s="1138" t="str">
        <f>IF(INDEX('B_Polttoainevirtojen tiedot'!$M$100:$M$124,MATCH(U214,'B_Polttoainevirtojen tiedot'!$D$100:$D$124,0))&gt;0,INDEX('B_Polttoainevirtojen tiedot'!$M$100:$M$124,MATCH(U214,'B_Polttoainevirtojen tiedot'!$D$100:$D$124,0)),"")</f>
        <v/>
      </c>
      <c r="L216" s="1139"/>
      <c r="M216" s="340" t="str">
        <f>Translations!$B$375</f>
        <v>CO2 bio:</v>
      </c>
      <c r="N216" s="482" t="str">
        <f>IF(E216="","",BG223)</f>
        <v/>
      </c>
      <c r="O216" s="341" t="str">
        <f>EUconst_tCO2</f>
        <v>tCO2</v>
      </c>
      <c r="P216" s="301"/>
      <c r="Q216" s="335" t="str">
        <f>EUconst_SumBioCO2</f>
        <v>SUM_bioCO2</v>
      </c>
      <c r="R216" s="23"/>
      <c r="S216" s="2"/>
      <c r="T216" s="2"/>
      <c r="U216" s="2"/>
      <c r="V216" s="60"/>
      <c r="W216" s="37"/>
      <c r="X216" s="41"/>
      <c r="Y216" s="20" t="str">
        <f>Translations!$B$143</f>
        <v>Määrittämistasot</v>
      </c>
      <c r="Z216" s="325"/>
      <c r="AA216" s="325"/>
      <c r="AB216" s="325"/>
      <c r="AC216" s="325"/>
      <c r="AD216" s="325"/>
      <c r="AE216" s="20" t="s">
        <v>95</v>
      </c>
      <c r="AF216" s="41"/>
      <c r="AG216" s="342"/>
      <c r="AH216" s="325"/>
      <c r="AI216" s="325"/>
      <c r="AJ216" s="342"/>
      <c r="AK216" s="342"/>
      <c r="AL216" s="337"/>
      <c r="AM216" s="337"/>
      <c r="AN216" s="337"/>
      <c r="AO216" s="337"/>
      <c r="AP216" s="337"/>
      <c r="AQ216" s="20" t="s">
        <v>96</v>
      </c>
      <c r="AR216" s="343"/>
      <c r="AS216" s="343"/>
      <c r="AT216" s="325"/>
      <c r="AU216" s="325"/>
      <c r="AV216" s="325"/>
      <c r="AW216" s="325"/>
      <c r="AX216" s="325"/>
      <c r="AY216" s="325"/>
      <c r="AZ216" s="20" t="s">
        <v>97</v>
      </c>
      <c r="BA216" s="325"/>
      <c r="BB216" s="325"/>
      <c r="BC216" s="325"/>
      <c r="BD216" s="325"/>
      <c r="BE216" s="325"/>
      <c r="BF216" s="20" t="s">
        <v>98</v>
      </c>
      <c r="BG216" s="325"/>
      <c r="BH216" s="325"/>
      <c r="BI216" s="20" t="s">
        <v>99</v>
      </c>
      <c r="BJ216" s="338" t="str">
        <f>Translations!$B$376</f>
        <v>RFA-määrittämistaso</v>
      </c>
      <c r="BK216" s="338" t="str">
        <f>Translations!$B$377</f>
        <v>RFA</v>
      </c>
      <c r="BL216" s="338" t="str">
        <f>Translations!$B$378</f>
        <v>RFA (SF:n jälkeen)</v>
      </c>
      <c r="BM216" s="338" t="str">
        <f>Translations!$B$379</f>
        <v>RFA-yksikkö</v>
      </c>
      <c r="BN216" s="338" t="str">
        <f>Translations!$B$380</f>
        <v>SF-määrittämistaso</v>
      </c>
      <c r="BO216" s="338" t="str">
        <f>Translations!$B$380</f>
        <v>SF-määrittämistaso</v>
      </c>
      <c r="BP216" s="338" t="str">
        <f>Translations!$B$381</f>
        <v>SF</v>
      </c>
      <c r="BQ216" s="338" t="str">
        <f>Translations!$B$382</f>
        <v>EF-määrittämistaso</v>
      </c>
      <c r="BR216" s="338" t="str">
        <f>Translations!$B$383</f>
        <v>EF</v>
      </c>
      <c r="BS216" s="338" t="str">
        <f>Translations!$B$384</f>
        <v>EF-yksikkö</v>
      </c>
      <c r="BT216" s="338" t="str">
        <f>Translations!$B$385</f>
        <v>UCF-määrittämistaso</v>
      </c>
      <c r="BU216" s="338" t="str">
        <f>Translations!$B$386</f>
        <v>UCF</v>
      </c>
      <c r="BV216" s="338" t="str">
        <f>Translations!$B$387</f>
        <v>UCF-yksikkö</v>
      </c>
      <c r="BW216" s="338" t="str">
        <f>Translations!$B$388</f>
        <v>Bio-määrittämistaso</v>
      </c>
      <c r="BX216" s="338" t="s">
        <v>100</v>
      </c>
      <c r="BY216" s="338" t="str">
        <f>Translations!$B$389</f>
        <v>NonSustBio-määrittämistaso</v>
      </c>
      <c r="BZ216" s="338" t="s">
        <v>101</v>
      </c>
      <c r="CA216" s="338" t="str">
        <f>Translations!$B$390</f>
        <v>CO2 fossil</v>
      </c>
      <c r="CB216" s="338" t="str">
        <f>Translations!$B$391</f>
        <v>CO2 bio</v>
      </c>
      <c r="CC216" s="338" t="str">
        <f>Translations!$B$392</f>
        <v>CO2 non-sust</v>
      </c>
      <c r="CD216" s="338" t="s">
        <v>102</v>
      </c>
      <c r="CE216" s="338" t="s">
        <v>103</v>
      </c>
      <c r="CF216" s="325"/>
      <c r="CG216" s="325"/>
    </row>
    <row r="217" spans="1:85" ht="5.15" customHeight="1" thickBot="1" x14ac:dyDescent="0.3">
      <c r="A217" s="318"/>
      <c r="B217" s="21"/>
      <c r="C217" s="21"/>
      <c r="D217" s="21"/>
      <c r="E217" s="21"/>
      <c r="F217" s="21"/>
      <c r="G217" s="21"/>
      <c r="H217" s="22"/>
      <c r="I217" s="22"/>
      <c r="J217" s="22"/>
      <c r="K217" s="22"/>
      <c r="L217" s="22"/>
      <c r="M217" s="22"/>
      <c r="N217" s="22"/>
      <c r="O217" s="323"/>
      <c r="P217" s="301"/>
      <c r="Q217" s="23"/>
      <c r="R217" s="23"/>
      <c r="S217" s="2"/>
      <c r="T217" s="2"/>
      <c r="U217" s="2"/>
      <c r="V217" s="60"/>
      <c r="W217" s="325"/>
      <c r="X217" s="325"/>
      <c r="Y217" s="23"/>
      <c r="Z217" s="325"/>
      <c r="AA217" s="325"/>
      <c r="AB217" s="325"/>
      <c r="AC217" s="325"/>
      <c r="AD217" s="325"/>
      <c r="AE217" s="325"/>
      <c r="AF217" s="41"/>
      <c r="AG217" s="325"/>
      <c r="AH217" s="325"/>
      <c r="AI217" s="325"/>
      <c r="AJ217" s="342"/>
      <c r="AK217" s="342"/>
      <c r="AL217" s="337"/>
      <c r="AM217" s="337"/>
      <c r="AN217" s="337"/>
      <c r="AO217" s="337"/>
      <c r="AP217" s="337"/>
      <c r="AQ217" s="325"/>
      <c r="AR217" s="325"/>
      <c r="AS217" s="325"/>
      <c r="AT217" s="325"/>
      <c r="AU217" s="325"/>
      <c r="AV217" s="325"/>
      <c r="AW217" s="325"/>
      <c r="AX217" s="325"/>
      <c r="AY217" s="325"/>
      <c r="AZ217" s="325"/>
      <c r="BA217" s="325"/>
      <c r="BB217" s="325"/>
      <c r="BC217" s="325"/>
      <c r="BD217" s="325"/>
      <c r="BE217" s="325"/>
      <c r="BF217" s="325"/>
      <c r="BG217" s="325"/>
      <c r="BH217" s="325"/>
      <c r="BI217" s="325"/>
      <c r="BJ217" s="325"/>
      <c r="BK217" s="325"/>
      <c r="BL217" s="325"/>
      <c r="BM217" s="325"/>
      <c r="BN217" s="325"/>
      <c r="BO217" s="325"/>
      <c r="BP217" s="325"/>
      <c r="BQ217" s="325"/>
      <c r="BR217" s="325"/>
      <c r="BS217" s="325"/>
      <c r="BT217" s="325"/>
      <c r="BU217" s="325"/>
      <c r="BV217" s="325"/>
      <c r="BW217" s="325"/>
      <c r="BX217" s="325"/>
      <c r="BY217" s="325"/>
      <c r="BZ217" s="325"/>
      <c r="CA217" s="325"/>
      <c r="CB217" s="325"/>
      <c r="CC217" s="325"/>
      <c r="CD217" s="325"/>
      <c r="CE217" s="325"/>
      <c r="CF217" s="325"/>
      <c r="CG217" s="325"/>
    </row>
    <row r="218" spans="1:85" ht="12.75" customHeight="1" thickBot="1" x14ac:dyDescent="0.3">
      <c r="A218" s="318"/>
      <c r="B218" s="21"/>
      <c r="C218" s="21"/>
      <c r="D218" s="21"/>
      <c r="E218" s="1140" t="str">
        <f>IF(E215="","",HYPERLINK("#JUMP_E_Top",EUconst_FurtherGuidancePoint1))</f>
        <v/>
      </c>
      <c r="F218" s="1140"/>
      <c r="G218" s="1140"/>
      <c r="H218" s="1140"/>
      <c r="I218" s="1140"/>
      <c r="J218" s="1140"/>
      <c r="K218" s="1140"/>
      <c r="L218" s="1140"/>
      <c r="M218" s="1140"/>
      <c r="N218" s="22"/>
      <c r="O218" s="323"/>
      <c r="P218" s="301"/>
      <c r="Q218" s="335" t="str">
        <f>EUconst_SumNonSustBioCO2</f>
        <v>SUM_bioNonSustCO2</v>
      </c>
      <c r="R218" s="500" t="str">
        <f>IF(E216="","",BG224)</f>
        <v/>
      </c>
      <c r="S218" s="2"/>
      <c r="T218" s="2"/>
      <c r="U218" s="2"/>
      <c r="V218" s="325"/>
      <c r="W218" s="325"/>
      <c r="X218" s="325"/>
      <c r="Y218" s="41"/>
      <c r="Z218" s="325"/>
      <c r="AA218" s="325"/>
      <c r="AB218" s="325"/>
      <c r="AC218" s="325"/>
      <c r="AD218" s="325"/>
      <c r="AE218" s="325"/>
      <c r="AF218" s="41"/>
      <c r="AG218" s="325"/>
      <c r="AH218" s="325"/>
      <c r="AI218" s="325"/>
      <c r="AJ218" s="342"/>
      <c r="AK218" s="342"/>
      <c r="AL218" s="337"/>
      <c r="AM218" s="337"/>
      <c r="AN218" s="337"/>
      <c r="AO218" s="337"/>
      <c r="AP218" s="337"/>
      <c r="AQ218" s="325"/>
      <c r="AR218" s="325"/>
      <c r="AS218" s="325"/>
      <c r="AT218" s="325"/>
      <c r="AU218" s="325"/>
      <c r="AV218" s="325"/>
      <c r="AW218" s="325"/>
      <c r="AX218" s="325"/>
      <c r="AY218" s="325"/>
      <c r="AZ218" s="325"/>
      <c r="BA218" s="325"/>
      <c r="BB218" s="325"/>
      <c r="BC218" s="325"/>
      <c r="BD218" s="325"/>
      <c r="BE218" s="325"/>
      <c r="BF218" s="325"/>
      <c r="BG218" s="325"/>
      <c r="BH218" s="325"/>
      <c r="BI218" s="20" t="s">
        <v>104</v>
      </c>
      <c r="BJ218" s="343"/>
      <c r="BK218" s="483" t="str">
        <f>IF(G232="","",G232)</f>
        <v/>
      </c>
      <c r="BL218" s="483" t="str">
        <f>IF(I232="","",I232)</f>
        <v/>
      </c>
      <c r="BM218" s="483" t="str">
        <f>IF(K232="","",K232)</f>
        <v/>
      </c>
      <c r="BN218" s="325"/>
      <c r="BO218" s="325"/>
      <c r="BP218" s="325"/>
      <c r="BQ218" s="325"/>
      <c r="BR218" s="325"/>
      <c r="BS218" s="325"/>
      <c r="BT218" s="330"/>
      <c r="BU218" s="325"/>
      <c r="BV218" s="325"/>
      <c r="BW218" s="325"/>
      <c r="BX218" s="325"/>
      <c r="BY218" s="325"/>
      <c r="BZ218" s="325"/>
      <c r="CA218" s="325"/>
      <c r="CB218" s="325"/>
      <c r="CC218" s="325"/>
      <c r="CD218" s="325"/>
      <c r="CE218" s="325"/>
      <c r="CF218" s="325"/>
      <c r="CG218" s="325"/>
    </row>
    <row r="219" spans="1:85" ht="5.15" customHeight="1" thickBot="1" x14ac:dyDescent="0.3">
      <c r="A219" s="318"/>
      <c r="B219" s="21"/>
      <c r="C219" s="21"/>
      <c r="D219" s="21"/>
      <c r="E219" s="21"/>
      <c r="F219" s="21"/>
      <c r="G219" s="21"/>
      <c r="H219" s="22"/>
      <c r="I219" s="22"/>
      <c r="J219" s="22"/>
      <c r="K219" s="22"/>
      <c r="L219" s="22"/>
      <c r="M219" s="22"/>
      <c r="N219" s="22"/>
      <c r="O219" s="323"/>
      <c r="P219" s="259"/>
      <c r="Q219" s="2"/>
      <c r="R219" s="259"/>
      <c r="S219" s="2"/>
      <c r="T219" s="2"/>
      <c r="U219" s="2"/>
      <c r="V219" s="325"/>
      <c r="W219" s="325"/>
      <c r="X219" s="325"/>
      <c r="Y219" s="23"/>
      <c r="Z219" s="325"/>
      <c r="AA219" s="325"/>
      <c r="AB219" s="325"/>
      <c r="AC219" s="325"/>
      <c r="AD219" s="325"/>
      <c r="AE219" s="325"/>
      <c r="AF219" s="41"/>
      <c r="AG219" s="325"/>
      <c r="AH219" s="325"/>
      <c r="AI219" s="325"/>
      <c r="AJ219" s="342"/>
      <c r="AK219" s="342"/>
      <c r="AL219" s="337"/>
      <c r="AM219" s="337"/>
      <c r="AN219" s="337"/>
      <c r="AO219" s="337"/>
      <c r="AP219" s="337"/>
      <c r="AQ219" s="325"/>
      <c r="AR219" s="325"/>
      <c r="AS219" s="325"/>
      <c r="AT219" s="325"/>
      <c r="AU219" s="325"/>
      <c r="AV219" s="325"/>
      <c r="AW219" s="325"/>
      <c r="AX219" s="325"/>
      <c r="AY219" s="325"/>
      <c r="AZ219" s="325"/>
      <c r="BA219" s="325"/>
      <c r="BB219" s="325"/>
      <c r="BC219" s="325"/>
      <c r="BD219" s="325"/>
      <c r="BE219" s="325"/>
      <c r="BF219" s="325"/>
      <c r="BG219" s="325"/>
      <c r="BH219" s="325"/>
      <c r="BI219" s="325"/>
      <c r="BJ219" s="325"/>
      <c r="BK219" s="325"/>
      <c r="BL219" s="325"/>
      <c r="BM219" s="325"/>
      <c r="BN219" s="325"/>
      <c r="BO219" s="325"/>
      <c r="BP219" s="325"/>
      <c r="BQ219" s="325"/>
      <c r="BR219" s="325"/>
      <c r="BS219" s="325"/>
      <c r="BT219" s="325"/>
      <c r="BU219" s="325"/>
      <c r="BV219" s="325"/>
      <c r="BW219" s="325"/>
      <c r="BX219" s="325"/>
      <c r="BY219" s="325"/>
      <c r="BZ219" s="325"/>
      <c r="CA219" s="325"/>
      <c r="CB219" s="325"/>
      <c r="CC219" s="325"/>
      <c r="CD219" s="325"/>
      <c r="CE219" s="325"/>
      <c r="CF219" s="325"/>
      <c r="CG219" s="325"/>
    </row>
    <row r="220" spans="1:85" ht="12.75" customHeight="1" thickBot="1" x14ac:dyDescent="0.3">
      <c r="A220" s="318"/>
      <c r="B220" s="21"/>
      <c r="C220" s="21"/>
      <c r="D220" s="21"/>
      <c r="E220" s="21"/>
      <c r="F220" s="347" t="str">
        <f>Translations!$B$127</f>
        <v>Määrittämistaso</v>
      </c>
      <c r="G220" s="1141" t="str">
        <f>Translations!$B$393</f>
        <v>määrittämistason kuvaus</v>
      </c>
      <c r="H220" s="1141"/>
      <c r="I220" s="1142" t="str">
        <f>Translations!$B$394</f>
        <v>Yksikkö</v>
      </c>
      <c r="J220" s="1142"/>
      <c r="K220" s="1142" t="str">
        <f>Translations!$B$395</f>
        <v>Arvo</v>
      </c>
      <c r="L220" s="1142"/>
      <c r="M220" s="327" t="str">
        <f>Translations!$B$396</f>
        <v>virhe</v>
      </c>
      <c r="N220" s="22"/>
      <c r="O220" s="323"/>
      <c r="P220" s="611"/>
      <c r="Q220" s="335" t="str">
        <f>EUconst_SumEnergyIN</f>
        <v>SUM_EnergyIN</v>
      </c>
      <c r="R220" s="501" t="str">
        <f>IF(E216="","",BG225)</f>
        <v/>
      </c>
      <c r="S220" s="325"/>
      <c r="T220" s="325"/>
      <c r="U220" s="325"/>
      <c r="V220" s="336" t="s">
        <v>105</v>
      </c>
      <c r="W220" s="325"/>
      <c r="X220" s="325"/>
      <c r="Y220" s="23" t="s">
        <v>106</v>
      </c>
      <c r="Z220" s="23" t="s">
        <v>107</v>
      </c>
      <c r="AA220" s="325"/>
      <c r="AB220" s="325"/>
      <c r="AC220" s="343" t="s">
        <v>108</v>
      </c>
      <c r="AD220" s="325"/>
      <c r="AE220" s="325"/>
      <c r="AF220" s="325" t="s">
        <v>109</v>
      </c>
      <c r="AG220" s="325" t="s">
        <v>110</v>
      </c>
      <c r="AH220" s="23" t="s">
        <v>111</v>
      </c>
      <c r="AI220" s="342" t="s">
        <v>112</v>
      </c>
      <c r="AJ220" s="342" t="s">
        <v>113</v>
      </c>
      <c r="AK220" s="348" t="s">
        <v>114</v>
      </c>
      <c r="AL220" s="337"/>
      <c r="AM220" s="337"/>
      <c r="AN220" s="337"/>
      <c r="AO220" s="337"/>
      <c r="AP220" s="337"/>
      <c r="AQ220" s="325"/>
      <c r="AR220" s="325" t="s">
        <v>109</v>
      </c>
      <c r="AS220" s="325" t="s">
        <v>110</v>
      </c>
      <c r="AT220" s="349" t="s">
        <v>115</v>
      </c>
      <c r="AU220" s="342" t="s">
        <v>116</v>
      </c>
      <c r="AV220" s="342" t="s">
        <v>117</v>
      </c>
      <c r="AW220" s="348" t="s">
        <v>114</v>
      </c>
      <c r="AX220" s="348" t="s">
        <v>114</v>
      </c>
      <c r="AY220" s="325"/>
      <c r="AZ220" s="325"/>
      <c r="BA220" s="325"/>
      <c r="BB220" s="325" t="s">
        <v>118</v>
      </c>
      <c r="BC220" s="325"/>
      <c r="BD220" s="325"/>
      <c r="BE220" s="325"/>
      <c r="BF220" s="325"/>
      <c r="BG220" s="330" t="str">
        <f>EUconst_Fuel</f>
        <v>Poltto</v>
      </c>
      <c r="BH220" s="325"/>
      <c r="BI220" s="325"/>
      <c r="BJ220" s="325"/>
      <c r="BK220" s="325"/>
      <c r="BL220" s="325"/>
      <c r="BM220" s="325"/>
      <c r="BN220" s="325"/>
      <c r="BO220" s="325"/>
      <c r="BP220" s="325"/>
      <c r="BQ220" s="325"/>
      <c r="BR220" s="325"/>
      <c r="BS220" s="325"/>
      <c r="BT220" s="325"/>
      <c r="BU220" s="325"/>
      <c r="BV220" s="325"/>
      <c r="BW220" s="325"/>
      <c r="BX220" s="325"/>
      <c r="BY220" s="325"/>
      <c r="BZ220" s="325"/>
      <c r="CA220" s="325"/>
      <c r="CB220" s="325"/>
      <c r="CC220" s="325"/>
      <c r="CD220" s="325"/>
      <c r="CE220" s="325"/>
      <c r="CF220" s="325"/>
      <c r="CG220" s="330" t="s">
        <v>94</v>
      </c>
    </row>
    <row r="221" spans="1:85" ht="12.75" customHeight="1" thickBot="1" x14ac:dyDescent="0.3">
      <c r="A221" s="318"/>
      <c r="B221" s="21"/>
      <c r="C221" s="344"/>
      <c r="D221" s="345" t="str">
        <f>Translations!$B$356</f>
        <v>Polttoaineen määrä:</v>
      </c>
      <c r="E221" s="350"/>
      <c r="F221" s="351"/>
      <c r="G221" s="1120" t="str">
        <f>IF(OR(ISBLANK(F221),F221=EUconst_NoTier),"",IF(Z221=0,EUconst_NA,IF(ISERROR(Z221),"",Z221)))</f>
        <v/>
      </c>
      <c r="H221" s="1122"/>
      <c r="I221" s="352" t="str">
        <f>IF(J221&lt;&gt;"","",AI221)</f>
        <v/>
      </c>
      <c r="J221" s="353"/>
      <c r="K221" s="1143"/>
      <c r="L221" s="1144"/>
      <c r="M221" s="486" t="str">
        <f>IF(AND(E216&lt;&gt;"",OR(F221="",COUNT(K221)=0),Y221&lt;&gt;EUconst_NA),EUconst_ERR_Incomplete,"")</f>
        <v/>
      </c>
      <c r="N221" s="22"/>
      <c r="O221" s="323"/>
      <c r="P221" s="612"/>
      <c r="Q221" s="335" t="str">
        <f>EUconst_SumBioEnergyIN</f>
        <v>SUM_BioEnergyIN</v>
      </c>
      <c r="R221" s="501" t="str">
        <f>IF(E216="","",BG226)</f>
        <v/>
      </c>
      <c r="S221" s="325"/>
      <c r="T221" s="355" t="str">
        <f>EUconst_CNTR_ActivityData&amp;E216</f>
        <v>ActivityData_</v>
      </c>
      <c r="U221" s="23"/>
      <c r="V221" s="355" t="str">
        <f>IF(E215="","",INDEX('B_Polttoainevirtojen tiedot'!$I$67:$I$91,MATCH(U214,'B_Polttoainevirtojen tiedot'!$D$67:$D$91,0)))</f>
        <v/>
      </c>
      <c r="W221" s="342" t="s">
        <v>121</v>
      </c>
      <c r="X221" s="23"/>
      <c r="Y221" s="356" t="str">
        <f>IF(E216="","",INDEX(EUwideConstants!$P$153:$P$180,MATCH(T221,EUwideConstants!$S$153:$S$180,0)))</f>
        <v/>
      </c>
      <c r="Z221" s="357" t="str">
        <f>IF(ISBLANK(F221),"",IF(F221=EUconst_NA,"",INDEX(EUwideConstants!$H:$O,MATCH(T221,EUwideConstants!$S:$S,0),MATCH(F221,CNTR_TierList,0))))</f>
        <v/>
      </c>
      <c r="AA221" s="358" t="s">
        <v>111</v>
      </c>
      <c r="AB221" s="342"/>
      <c r="AC221" s="339" t="b">
        <f>E215&lt;&gt;""</f>
        <v>0</v>
      </c>
      <c r="AD221" s="325"/>
      <c r="AE221" s="359" t="str">
        <f>EUconst_CNTR_ActivityData&amp;EUconst_Unit</f>
        <v>ActivityData_Yksikkö</v>
      </c>
      <c r="AF221" s="360" t="str">
        <f>IF(AC221=TRUE, IF(COUNTIF(MSPara_SourceStreamCategory,V221)=0,"",INDEX(MSPara_CalcFactorsMatrix,MATCH(V221,MSPara_SourceStreamCategory,0),MATCH(AE221&amp;"_"&amp;2,MSPara_CalcFactors,0))),"")</f>
        <v/>
      </c>
      <c r="AG221" s="361" t="str">
        <f>IF(AC221=TRUE, IF(COUNTIF(MSPara_SourceStreamCategory,V221)=0,"",INDEX(MSPara_CalcFactorsMatrix,MATCH(V221,MSPara_SourceStreamCategory,0),MATCH(AE221&amp;"_"&amp;1,MSPara_CalcFactors,0))),"")</f>
        <v/>
      </c>
      <c r="AH221" s="339" t="str">
        <f>IF(OR(AF221="",AF221=EUconst_NA),IF(OR(AG221=EUconst_NA,AG221=""),"",AG221),AF221)</f>
        <v/>
      </c>
      <c r="AI221" s="356" t="str">
        <f>IF(AC221=TRUE,IF(AH221="",EUconst_t,AH221),"")</f>
        <v/>
      </c>
      <c r="AJ221" s="362" t="str">
        <f>IF(J221="",AI221,J221)</f>
        <v/>
      </c>
      <c r="AK221" s="363" t="b">
        <f>AND(E215&lt;&gt;"",J221&lt;&gt;"")</f>
        <v>0</v>
      </c>
      <c r="AL221" s="337"/>
      <c r="AM221" s="404" t="s">
        <v>122</v>
      </c>
      <c r="AN221" s="403" t="str">
        <f>AJ221</f>
        <v/>
      </c>
      <c r="AO221" s="337"/>
      <c r="AP221" s="337"/>
      <c r="AQ221" s="355" t="str">
        <f>EUconst_CNTR_ActivityData&amp;EUconst_Value</f>
        <v>ActivityData_Arvo</v>
      </c>
      <c r="AR221" s="343"/>
      <c r="AS221" s="343"/>
      <c r="AT221" s="339" t="b">
        <f>AND(AND(AH221&lt;&gt;"",AJ221&lt;&gt;""),AJ221=AH221)</f>
        <v>0</v>
      </c>
      <c r="AU221" s="325"/>
      <c r="AV221" s="339">
        <f>IF(Y221=EUconst_NA,0,IF(COUNT(K221:K221)=0,0,IF(K221="",#REF!,K221)))</f>
        <v>0</v>
      </c>
      <c r="AW221" s="346" t="b">
        <f>AND(AC221=TRUE,OR(K221&lt;&gt;"",AU221=""))</f>
        <v>0</v>
      </c>
      <c r="AX221" s="346" t="b">
        <f>AND(AC221=TRUE,NOT(AW221))</f>
        <v>0</v>
      </c>
      <c r="AY221" s="325"/>
      <c r="AZ221" s="325" t="s">
        <v>123</v>
      </c>
      <c r="BA221" s="325" t="s">
        <v>124</v>
      </c>
      <c r="BB221" s="346"/>
      <c r="BC221" s="325" t="s">
        <v>125</v>
      </c>
      <c r="BD221" s="325"/>
      <c r="BE221" s="325"/>
      <c r="BF221" s="400" t="str">
        <f>Translations!$B$390</f>
        <v>CO2 fossil</v>
      </c>
      <c r="BG221" s="495" t="str">
        <f>IF(COUNTIF(AO224:AO225,TRUE)=0,"",AV221*IF(AO224,1,AV223*AN225)*AV224*(1-AV225)*AV228)</f>
        <v/>
      </c>
      <c r="BH221" s="325"/>
      <c r="BI221" s="325"/>
      <c r="BJ221" s="325"/>
      <c r="BK221" s="325"/>
      <c r="BL221" s="325"/>
      <c r="BM221" s="325"/>
      <c r="BN221" s="325"/>
      <c r="BO221" s="325"/>
      <c r="BP221" s="325"/>
      <c r="BQ221" s="325"/>
      <c r="BR221" s="325"/>
      <c r="BS221" s="325"/>
      <c r="BT221" s="325"/>
      <c r="BU221" s="325"/>
      <c r="BV221" s="325"/>
      <c r="BW221" s="325"/>
      <c r="BX221" s="325"/>
      <c r="BY221" s="325"/>
      <c r="BZ221" s="325"/>
      <c r="CA221" s="325"/>
      <c r="CB221" s="325"/>
      <c r="CC221" s="325"/>
      <c r="CD221" s="325"/>
      <c r="CE221" s="325"/>
      <c r="CF221" s="325"/>
      <c r="CG221" s="346" t="b">
        <v>0</v>
      </c>
    </row>
    <row r="222" spans="1:85" ht="5.15" customHeight="1" thickBot="1" x14ac:dyDescent="0.3">
      <c r="A222" s="318"/>
      <c r="B222" s="21"/>
      <c r="C222" s="344"/>
      <c r="D222" s="188"/>
      <c r="E222" s="22"/>
      <c r="F222" s="22"/>
      <c r="G222" s="22"/>
      <c r="H222" s="22" t="str">
        <f>Translations!$B$397</f>
        <v xml:space="preserve"> </v>
      </c>
      <c r="I222" s="364"/>
      <c r="J222" s="364"/>
      <c r="K222" s="22"/>
      <c r="L222" s="22"/>
      <c r="M222" s="487"/>
      <c r="N222" s="22"/>
      <c r="O222" s="323"/>
      <c r="P222" s="301"/>
      <c r="Q222" s="23"/>
      <c r="R222" s="23"/>
      <c r="S222" s="325"/>
      <c r="T222" s="277"/>
      <c r="U222" s="23"/>
      <c r="V222" s="325"/>
      <c r="W222" s="325"/>
      <c r="X222" s="23"/>
      <c r="Y222" s="330"/>
      <c r="Z222" s="325"/>
      <c r="AA222" s="325"/>
      <c r="AB222" s="325"/>
      <c r="AC222" s="325"/>
      <c r="AD222" s="325"/>
      <c r="AE222" s="325"/>
      <c r="AF222" s="325"/>
      <c r="AG222" s="325"/>
      <c r="AH222" s="325"/>
      <c r="AI222" s="325"/>
      <c r="AJ222" s="325"/>
      <c r="AK222" s="325"/>
      <c r="AL222" s="337"/>
      <c r="AM222" s="337"/>
      <c r="AN222" s="337"/>
      <c r="AO222" s="337"/>
      <c r="AP222" s="337"/>
      <c r="AQ222" s="325"/>
      <c r="AR222" s="325"/>
      <c r="AS222" s="325"/>
      <c r="AT222" s="325"/>
      <c r="AU222" s="325"/>
      <c r="AV222" s="325"/>
      <c r="AW222" s="325"/>
      <c r="AX222" s="325"/>
      <c r="AY222" s="325"/>
      <c r="AZ222" s="325"/>
      <c r="BA222" s="325"/>
      <c r="BB222" s="325"/>
      <c r="BC222" s="325"/>
      <c r="BD222" s="325"/>
      <c r="BE222" s="325"/>
      <c r="BF222" s="325"/>
      <c r="BG222" s="496"/>
      <c r="BH222" s="325"/>
      <c r="BI222" s="325"/>
      <c r="BJ222" s="325"/>
      <c r="BK222" s="325"/>
      <c r="BL222" s="325"/>
      <c r="BM222" s="325"/>
      <c r="BN222" s="325"/>
      <c r="BO222" s="325"/>
      <c r="BP222" s="325"/>
      <c r="BQ222" s="325"/>
      <c r="BR222" s="325"/>
      <c r="BS222" s="325"/>
      <c r="BT222" s="325"/>
      <c r="BU222" s="325"/>
      <c r="BV222" s="325"/>
      <c r="BW222" s="325"/>
      <c r="BX222" s="325"/>
      <c r="BY222" s="325"/>
      <c r="BZ222" s="325"/>
      <c r="CA222" s="325"/>
      <c r="CB222" s="325"/>
      <c r="CC222" s="325"/>
      <c r="CD222" s="325"/>
      <c r="CE222" s="325"/>
      <c r="CF222" s="325"/>
      <c r="CG222" s="330"/>
    </row>
    <row r="223" spans="1:85" ht="12.75" customHeight="1" thickBot="1" x14ac:dyDescent="0.3">
      <c r="A223" s="318"/>
      <c r="B223" s="21"/>
      <c r="C223" s="344"/>
      <c r="D223" s="345" t="str">
        <f>Translations!$B$360</f>
        <v>Yksikön muuntokerroin:</v>
      </c>
      <c r="E223" s="350"/>
      <c r="F223" s="443"/>
      <c r="G223" s="1120" t="str">
        <f>IF(OR(ISBLANK(F223),F223=EUconst_NoTier),"",IF(Z223=0,EUconst_NotApplicable,IF(ISERROR(Z223),"",Z223)))</f>
        <v/>
      </c>
      <c r="H223" s="1122"/>
      <c r="I223" s="444" t="str">
        <f>IF(J223&lt;&gt;"","",AI223)</f>
        <v/>
      </c>
      <c r="J223" s="445"/>
      <c r="K223" s="632" t="str">
        <f>IF(L223="",AU223,"")</f>
        <v/>
      </c>
      <c r="L223" s="633"/>
      <c r="M223" s="486" t="str">
        <f>IF(AND(E216&lt;&gt;"",OR(F223="",COUNT(K223:L223)=0),Y223&lt;&gt;EUconst_NA),EUconst_ERR_Incomplete,IF(COUNTIF(BB223:BD223,TRUE)&gt;0,EUconst_ERR_Inconsistent,""))</f>
        <v/>
      </c>
      <c r="N223" s="752"/>
      <c r="O223" s="323"/>
      <c r="P223" s="301"/>
      <c r="Q223" s="23"/>
      <c r="R223" s="23"/>
      <c r="S223" s="325"/>
      <c r="T223" s="365" t="str">
        <f>EUconst_CNTR_UCF&amp;E216</f>
        <v>UCF_</v>
      </c>
      <c r="U223" s="23"/>
      <c r="V223" s="366" t="str">
        <f>V224</f>
        <v/>
      </c>
      <c r="W223" s="325"/>
      <c r="X223" s="23"/>
      <c r="Y223" s="448" t="str">
        <f>IF(E216="","",IF(OR(F223=EUconst_NA,W223=TRUE),EUconst_NA,INDEX(EUwideConstants!$P$153:$P$180,MATCH(T223,EUwideConstants!$S$153:$S$180,0))))</f>
        <v/>
      </c>
      <c r="Z223" s="471" t="str">
        <f>IF(ISBLANK(F223),"",IF(F223=EUconst_NA,"",INDEX(EUwideConstants!$H:$O,MATCH(T223,EUwideConstants!$S:$S,0),MATCH(F223,CNTR_TierList,0))))</f>
        <v/>
      </c>
      <c r="AA223" s="449" t="str">
        <f>IF(COUNTIF(EUconst_DefaultValues,Z223)&gt;0,MATCH(Z223,EUconst_DefaultValues,0),"")</f>
        <v/>
      </c>
      <c r="AB223" s="325"/>
      <c r="AC223" s="367" t="b">
        <f>AND(AC221,Y223&lt;&gt;EUconst_NA)</f>
        <v>0</v>
      </c>
      <c r="AD223" s="325"/>
      <c r="AE223" s="359" t="str">
        <f>EUconst_CNTR_UCF&amp;EUconst_Unit</f>
        <v>UCF_Yksikkö</v>
      </c>
      <c r="AF223" s="368" t="str">
        <f>IF(AC223=TRUE, IF(COUNTIF(MSPara_SourceStreamCategory,V223)=0,"",INDEX(MSPara_CalcFactorsMatrix,MATCH(V223,MSPara_SourceStreamCategory,0),MATCH(AE223&amp;"_"&amp;2,MSPara_CalcFactors,0))),"")</f>
        <v/>
      </c>
      <c r="AG223" s="372" t="str">
        <f>IF(AC223=TRUE, IF(COUNTIF(MSPara_SourceStreamCategory,V223)=0,"",INDEX(MSPara_CalcFactorsMatrix,MATCH(V223,MSPara_SourceStreamCategory,0),MATCH(AE223&amp;"_"&amp;1,MSPara_CalcFactors,0))),"")</f>
        <v/>
      </c>
      <c r="AH223" s="367" t="str">
        <f>IF(AA223="","",INDEX(AF223:AG223,3-AA223))</f>
        <v/>
      </c>
      <c r="AI223" s="367" t="str">
        <f>IF(AC223=TRUE,IF(OR(AH223="",AH223=EUconst_NA),EUconst_GJ&amp;"/"&amp;AJ221,AH223),"")</f>
        <v/>
      </c>
      <c r="AJ223" s="367" t="str">
        <f>IF(J223="",AI223,J223)</f>
        <v/>
      </c>
      <c r="AK223" s="366" t="b">
        <f>AND(E215&lt;&gt;"",J223&lt;&gt;"")</f>
        <v>0</v>
      </c>
      <c r="AL223" s="337"/>
      <c r="AM223" s="404" t="s">
        <v>127</v>
      </c>
      <c r="AN223" s="403" t="str">
        <f>IF(AJ223="",EUconst_NA,IF(AN221=EUconst_TJ,EUconst_TJ,INDEX(EUwideConstants!$C$124:$G$128,MATCH(AN221,RFAUnits,0),MATCH(AJ223,UCFUnits,0))))</f>
        <v>ei sovellettavissa</v>
      </c>
      <c r="AO223" s="337"/>
      <c r="AP223" s="337"/>
      <c r="AQ223" s="454" t="str">
        <f>EUconst_CNTR_UCF&amp;EUconst_Value</f>
        <v>UCF_Arvo</v>
      </c>
      <c r="AR223" s="475" t="str">
        <f>IF(AC223=TRUE,IF(COUNTIF(MSPara_SourceStreamCategory,V223)=0,"",INDEX(MSPara_CalcFactorsMatrix,MATCH(V223,MSPara_SourceStreamCategory,0),MATCH(AQ223&amp;"_"&amp;2,MSPara_CalcFactors,0))),"")</f>
        <v/>
      </c>
      <c r="AS223" s="371" t="str">
        <f>IF(AC223=TRUE,IF(COUNTIF(MSPara_SourceStreamCategory,V223)=0,"",INDEX(MSPara_CalcFactorsMatrix,MATCH(V223,MSPara_SourceStreamCategory,0),MATCH(AQ223&amp;"_"&amp;1,MSPara_CalcFactors,0))),"")</f>
        <v/>
      </c>
      <c r="AT223" s="369" t="b">
        <f>AND(AND(AH223&lt;&gt;"",AJ223&lt;&gt;""),AJ223=AH223)</f>
        <v>0</v>
      </c>
      <c r="AU223" s="381" t="str">
        <f>IF(AND(AA223&lt;&gt;"",AT223=TRUE),IF(OR(INDEX(AR223:AS223,3-AA223)=EUconst_NA,INDEX(AR223:AS223,3-AA223)=0),"",INDEX(AR223:AS223,3-AA223)),"")</f>
        <v/>
      </c>
      <c r="AV223" s="367">
        <f>IF(AC223=TRUE,IF(COUNT(K223:L223)=0,0,IF(L223="",K223,L223)),0)</f>
        <v>0</v>
      </c>
      <c r="AW223" s="366" t="b">
        <f>AND(AC223=TRUE,OR(AND(F223&lt;&gt;"",NOT(ISNUMBER(AA223))),L223&lt;&gt;"",F223="",AU223=""))</f>
        <v>0</v>
      </c>
      <c r="AX223" s="370" t="b">
        <f>AND(AC223=TRUE,NOT(AW223))</f>
        <v>0</v>
      </c>
      <c r="AY223" s="325"/>
      <c r="AZ223" s="373" t="b">
        <f>AND(ISNUMBER(AA223),AU223="")</f>
        <v>0</v>
      </c>
      <c r="BA223" s="399" t="b">
        <f>AND(ISNUMBER(AA223),AU223&lt;&gt;AV223)</f>
        <v>0</v>
      </c>
      <c r="BB223" s="366" t="b">
        <f>AND(E216&lt;&gt;"",F223&lt;&gt;EUconst_NA,AN223=EUconst_NA)</f>
        <v>0</v>
      </c>
      <c r="BC223" s="366" t="b">
        <f>AND(L223&lt;&gt;"",Y223=EUconst_NA)</f>
        <v>0</v>
      </c>
      <c r="BD223" s="325"/>
      <c r="BE223" s="325"/>
      <c r="BF223" s="373" t="s">
        <v>128</v>
      </c>
      <c r="BG223" s="497" t="str">
        <f>IF(COUNTIF(AO224:AO225,TRUE)=0,"",AV221*IF(AO224,1,AV223*AN225)*AV224*AV225*AV228)</f>
        <v/>
      </c>
      <c r="BH223" s="325"/>
      <c r="BI223" s="325"/>
      <c r="BJ223" s="325"/>
      <c r="BK223" s="325"/>
      <c r="BL223" s="325"/>
      <c r="BM223" s="325"/>
      <c r="BN223" s="325"/>
      <c r="BO223" s="325"/>
      <c r="BP223" s="325"/>
      <c r="BQ223" s="325"/>
      <c r="BR223" s="325"/>
      <c r="BS223" s="325"/>
      <c r="BT223" s="325"/>
      <c r="BU223" s="325"/>
      <c r="BV223" s="325"/>
      <c r="BW223" s="325"/>
      <c r="BX223" s="325"/>
      <c r="BY223" s="325"/>
      <c r="BZ223" s="325"/>
      <c r="CA223" s="325"/>
      <c r="CB223" s="325"/>
      <c r="CC223" s="325"/>
      <c r="CD223" s="325"/>
      <c r="CE223" s="325"/>
      <c r="CF223" s="325"/>
      <c r="CG223" s="375" t="b">
        <f>OR(CG221,Y223=EUconst_NA)</f>
        <v>0</v>
      </c>
    </row>
    <row r="224" spans="1:85" ht="12.75" customHeight="1" thickBot="1" x14ac:dyDescent="0.3">
      <c r="A224" s="318"/>
      <c r="B224" s="21"/>
      <c r="C224" s="344"/>
      <c r="D224" s="345" t="str">
        <f>Translations!$B$358</f>
        <v>Päästökerroin (alustava):</v>
      </c>
      <c r="E224" s="350"/>
      <c r="F224" s="624"/>
      <c r="G224" s="1120" t="str">
        <f>IF(OR(ISBLANK(F224),F224=EUconst_NoTier),"",IF(Z224=0,EUconst_NotApplicable,IF(ISERROR(Z224),"",Z224)))</f>
        <v/>
      </c>
      <c r="H224" s="1121"/>
      <c r="I224" s="625" t="str">
        <f>IF(J224&lt;&gt;"","",AI224)</f>
        <v/>
      </c>
      <c r="J224" s="631"/>
      <c r="K224" s="634" t="str">
        <f>IF(L224="",AU224,"")</f>
        <v/>
      </c>
      <c r="L224" s="754"/>
      <c r="M224" s="486" t="str">
        <f>IF(AND(E216&lt;&gt;"",OR(F224="",COUNT(K224:L224)=0),Y224&lt;&gt;EUconst_NA),EUconst_ERR_Incomplete,IF(COUNTIF(BB224:BD224,TRUE)&gt;0,EUconst_ERR_Inconsistent,""))</f>
        <v/>
      </c>
      <c r="N224" s="753"/>
      <c r="O224" s="323"/>
      <c r="P224" s="301"/>
      <c r="Q224" s="23"/>
      <c r="R224" s="23"/>
      <c r="S224" s="325"/>
      <c r="T224" s="374" t="str">
        <f>EUconst_CNTR_EF&amp;E216</f>
        <v>EF_</v>
      </c>
      <c r="U224" s="23"/>
      <c r="V224" s="375" t="str">
        <f>V221</f>
        <v/>
      </c>
      <c r="W224" s="325"/>
      <c r="X224" s="23"/>
      <c r="Y224" s="450" t="str">
        <f>IF(E216="","",IF(OR(F224=EUconst_NA,W224=TRUE),EUconst_NA,INDEX(EUwideConstants!$P$153:$P$180,MATCH(T224,EUwideConstants!$S$153:$S$180,0))))</f>
        <v/>
      </c>
      <c r="Z224" s="472" t="str">
        <f>IF(ISBLANK(F224),"",IF(F224=EUconst_NA,"",INDEX(EUwideConstants!$H:$O,MATCH(T224,EUwideConstants!$S:$S,0),MATCH(F224,CNTR_TierList,0))))</f>
        <v/>
      </c>
      <c r="AA224" s="451" t="str">
        <f>IF(COUNTIF(EUconst_DefaultValues,Z224)&gt;0,MATCH(Z224,EUconst_DefaultValues,0),"")</f>
        <v/>
      </c>
      <c r="AB224" s="325"/>
      <c r="AC224" s="376" t="b">
        <f>AND(AC221,Y224&lt;&gt;EUconst_NA)</f>
        <v>0</v>
      </c>
      <c r="AD224" s="325"/>
      <c r="AE224" s="377" t="str">
        <f>EUconst_CNTR_EF&amp;EUconst_Unit</f>
        <v>EF_Yksikkö</v>
      </c>
      <c r="AF224" s="378" t="str">
        <f>IF(AC224=TRUE, IF(COUNTIF(MSPara_SourceStreamCategory,V224)=0,"",INDEX(MSPara_CalcFactorsMatrix,MATCH(V224,MSPara_SourceStreamCategory,0),MATCH(AE224&amp;"_"&amp;2,MSPara_CalcFactors,0))),"")</f>
        <v/>
      </c>
      <c r="AG224" s="464" t="str">
        <f>IF(AC224=TRUE, IF(COUNTIF(MSPara_SourceStreamCategory,V224)=0,"",INDEX(MSPara_CalcFactorsMatrix,MATCH(V224,MSPara_SourceStreamCategory,0),MATCH(AE224&amp;"_"&amp;1,MSPara_CalcFactors,0))),"")</f>
        <v/>
      </c>
      <c r="AH224" s="376" t="str">
        <f>IF(AA224="","",INDEX(AF224:AG224,3-AA224))</f>
        <v/>
      </c>
      <c r="AI224" s="376" t="str">
        <f>IF(AC224=TRUE,IF(OR(AH224="",AH224=EUconst_NA),EUconst_tCO2&amp;"/"&amp;IF(AN223=EUconst_NA,AN221,IF(AN223=EUconst_GJ,EUconst_TJ,AN223)),AH224),"")</f>
        <v/>
      </c>
      <c r="AJ224" s="376" t="str">
        <f>IF(J224="",AI224,J224)</f>
        <v/>
      </c>
      <c r="AK224" s="375" t="b">
        <f>AND(E216&lt;&gt;"",J224&lt;&gt;"")</f>
        <v>0</v>
      </c>
      <c r="AL224" s="337"/>
      <c r="AM224" s="404" t="s">
        <v>130</v>
      </c>
      <c r="AN224" s="403" t="str">
        <f>IF(COUNTIF(RFAUnits,AN221)=0,EUconst_NA,INDEX(EUwideConstants!$C$139:$H$143,MATCH(AJ224,EFUnits,0),MATCH(AN221,EUwideConstants!$C$138:$H$138,0)))</f>
        <v>ei sovellettavissa</v>
      </c>
      <c r="AO224" s="403" t="b">
        <f>AN224&lt;&gt;EUconst_NA</f>
        <v>0</v>
      </c>
      <c r="AP224" s="337"/>
      <c r="AQ224" s="455" t="str">
        <f>EUconst_CNTR_EF&amp;EUconst_Value</f>
        <v>EF_Arvo</v>
      </c>
      <c r="AR224" s="476" t="str">
        <f>IF(AC224=TRUE,IF(COUNTIF(MSPara_SourceStreamCategory,V224)=0,"",INDEX(MSPara_CalcFactorsMatrix,MATCH(V224,MSPara_SourceStreamCategory,0),MATCH(AQ224&amp;"_"&amp;2,MSPara_CalcFactors,0))),"")</f>
        <v/>
      </c>
      <c r="AS224" s="383" t="str">
        <f>IF(AC224=TRUE,IF(COUNTIF(MSPara_SourceStreamCategory,V224)=0,"",INDEX(MSPara_CalcFactorsMatrix,MATCH(V224,MSPara_SourceStreamCategory,0),MATCH(AQ224&amp;"_"&amp;1,MSPara_CalcFactors,0))),"")</f>
        <v/>
      </c>
      <c r="AT224" s="456" t="b">
        <f>AND(AND(AH224&lt;&gt;"",AJ224&lt;&gt;""),AJ224=AH224)</f>
        <v>0</v>
      </c>
      <c r="AU224" s="334" t="str">
        <f>IF(AND(AA224&lt;&gt;"",AT224=TRUE),IF(OR(INDEX(AR224:AS224,3-AA224)=EUconst_NA,INDEX(AR224:AS224,3-AA224)=0),"",INDEX(AR224:AS224,3-AA224)),"")</f>
        <v/>
      </c>
      <c r="AV224" s="376">
        <f>IF(AC224=TRUE,IF(COUNT(K224:L224)=0,0,IF(L224="",K224,L224)),0)</f>
        <v>0</v>
      </c>
      <c r="AW224" s="375" t="b">
        <f>AND(AC224=TRUE,OR(AND(F224&lt;&gt;"",NOT(ISNUMBER(AA224))),L224&lt;&gt;"",F224="",AU224=""))</f>
        <v>0</v>
      </c>
      <c r="AX224" s="457" t="b">
        <f>AND(AC224=TRUE,NOT(AW224))</f>
        <v>0</v>
      </c>
      <c r="AY224" s="325"/>
      <c r="AZ224" s="379" t="b">
        <f>AND(ISNUMBER(AA224),AU224="")</f>
        <v>0</v>
      </c>
      <c r="BA224" s="380" t="b">
        <f>AND(ISNUMBER(AA224),AU224&lt;&gt;AV224)</f>
        <v>0</v>
      </c>
      <c r="BB224" s="382" t="b">
        <f>AND(E216&lt;&gt;"",COUNTIF(AO224:AO225,TRUE)=0)</f>
        <v>0</v>
      </c>
      <c r="BC224" s="375" t="b">
        <f>AND(L224&lt;&gt;"",Y224=EUconst_NA)</f>
        <v>0</v>
      </c>
      <c r="BD224" s="325"/>
      <c r="BE224" s="325"/>
      <c r="BF224" s="379" t="s">
        <v>131</v>
      </c>
      <c r="BG224" s="498" t="str">
        <f>IF(COUNTIF(AO224:AO225,TRUE)=0,"",AV221*IF(AO224,1,AV223*AN225)*AV224*AV226*AV228)</f>
        <v/>
      </c>
      <c r="BH224" s="325"/>
      <c r="BI224" s="325"/>
      <c r="BJ224" s="325"/>
      <c r="BK224" s="325"/>
      <c r="BL224" s="325"/>
      <c r="BM224" s="325"/>
      <c r="BN224" s="325"/>
      <c r="BO224" s="325"/>
      <c r="BP224" s="325"/>
      <c r="BQ224" s="325"/>
      <c r="BR224" s="325"/>
      <c r="BS224" s="325"/>
      <c r="BT224" s="325"/>
      <c r="BU224" s="325"/>
      <c r="BV224" s="325"/>
      <c r="BW224" s="325"/>
      <c r="BX224" s="325"/>
      <c r="BY224" s="325"/>
      <c r="BZ224" s="325"/>
      <c r="CA224" s="325"/>
      <c r="CB224" s="325"/>
      <c r="CC224" s="325"/>
      <c r="CD224" s="325"/>
      <c r="CE224" s="325"/>
      <c r="CF224" s="325"/>
      <c r="CG224" s="366" t="b">
        <f>OR(CG221,Y224=EUconst_NA)</f>
        <v>0</v>
      </c>
    </row>
    <row r="225" spans="1:85" ht="12.75" customHeight="1" x14ac:dyDescent="0.25">
      <c r="A225" s="318"/>
      <c r="B225" s="21"/>
      <c r="C225" s="344"/>
      <c r="D225" s="345" t="str">
        <f>Translations!$B$362</f>
        <v>Biomassaosuus:</v>
      </c>
      <c r="E225" s="350"/>
      <c r="F225" s="624"/>
      <c r="G225" s="1120" t="str">
        <f>IF(OR(ISBLANK(F225),F225=EUconst_NoTier),"",IF(Z225=0,EUconst_NotApplicable,IF(ISERROR(Z225),"",Z225)))</f>
        <v/>
      </c>
      <c r="H225" s="1122"/>
      <c r="I225" s="626" t="str">
        <f>IF(OR(AC225=FALSE,Y225=EUconst_NA),"","-")</f>
        <v/>
      </c>
      <c r="J225" s="446"/>
      <c r="K225" s="635" t="str">
        <f>IF(L225="",AU225,"")</f>
        <v/>
      </c>
      <c r="L225" s="627"/>
      <c r="M225" s="486" t="str">
        <f>IF(AND(E216&lt;&gt;"",OR(F225="",COUNT(K225:L225)=0),Y225&lt;&gt;EUconst_NA),EUconst_ERR_Incomplete,IF(COUNTIF(BB225:BD225,TRUE)&gt;0,EUconst_ERR_Inconsistent,""))</f>
        <v/>
      </c>
      <c r="O225" s="323"/>
      <c r="P225" s="612"/>
      <c r="Q225" s="354"/>
      <c r="R225" s="354"/>
      <c r="S225" s="325"/>
      <c r="T225" s="374" t="str">
        <f>EUconst_CNTR_BiomassContent&amp;E216</f>
        <v>BioC_</v>
      </c>
      <c r="U225" s="23"/>
      <c r="V225" s="375" t="str">
        <f>V223</f>
        <v/>
      </c>
      <c r="W225" s="366" t="e">
        <f>IF(COUNTIF(MSPara_SourceStreamCategory,V225)=0,"",INDEX(MSPara_IsFossil,MATCH(V225,MSPara_SourceStreamCategory,0)))</f>
        <v>#N/A</v>
      </c>
      <c r="X225" s="23"/>
      <c r="Y225" s="450" t="str">
        <f>IF(E216="","",IF(OR(F225=EUconst_NA,W225=TRUE),EUconst_NA,INDEX(EUwideConstants!$P$153:$P$180,MATCH(T225,EUwideConstants!$S$153:$S$180,0))))</f>
        <v/>
      </c>
      <c r="Z225" s="472" t="str">
        <f>IF(ISBLANK(F225),"",IF(F225=EUconst_NA,"",INDEX(EUwideConstants!$H:$O,MATCH(T225,EUwideConstants!$S:$S,0),MATCH(F225,CNTR_TierList,0))))</f>
        <v/>
      </c>
      <c r="AA225" s="681" t="str">
        <f>IF(F225=1,1,"")</f>
        <v/>
      </c>
      <c r="AB225" s="325"/>
      <c r="AC225" s="376" t="b">
        <f>AND(AC221,Y225&lt;&gt;EUconst_NA)</f>
        <v>0</v>
      </c>
      <c r="AD225" s="325"/>
      <c r="AE225" s="462"/>
      <c r="AF225" s="460"/>
      <c r="AG225" s="465"/>
      <c r="AH225" s="467"/>
      <c r="AI225" s="467"/>
      <c r="AJ225" s="467"/>
      <c r="AK225" s="469"/>
      <c r="AL225" s="337"/>
      <c r="AM225" s="404" t="s">
        <v>132</v>
      </c>
      <c r="AN225" s="403" t="str">
        <f>IF(AN223=EUconst_NA,EUconst_NA,INDEX(EUwideConstants!$C$139:$H$143,MATCH(AJ224,EFUnits,0),MATCH(AN223,EUwideConstants!$C$138:$H$138,0)))</f>
        <v>ei sovellettavissa</v>
      </c>
      <c r="AO225" s="403" t="b">
        <f>AN225&lt;&gt;EUconst_NA</f>
        <v>0</v>
      </c>
      <c r="AP225" s="337"/>
      <c r="AQ225" s="455" t="str">
        <f>EUconst_CNTR_BiomassContent&amp;EUconst_Value</f>
        <v>BioC_Arvo</v>
      </c>
      <c r="AR225" s="462"/>
      <c r="AS225" s="383" t="str">
        <f>IF(AC225=TRUE,IF(COUNTIF(MSPara_SourceStreamCategory,V225)=0,"",INDEX(MSPara_CalcFactorsMatrix,MATCH(V225,MSPara_SourceStreamCategory,0),MATCH(AQ225&amp;"_"&amp;2,MSPara_CalcFactors,0))),"")</f>
        <v/>
      </c>
      <c r="AT225" s="458"/>
      <c r="AU225" s="334" t="str">
        <f>IF(OR(AA225="",AS225=EUconst_NA),"",AS225)</f>
        <v/>
      </c>
      <c r="AV225" s="376">
        <f>IF(AC225=TRUE,IF(COUNT(K225:L225)=0,0,IF(L225="",K225,L225)),0)</f>
        <v>0</v>
      </c>
      <c r="AW225" s="375" t="b">
        <f>AND(AC225=TRUE,OR(AND(F225&lt;&gt;"",NOT(ISNUMBER(AA225))),L225&lt;&gt;"",F225="",AU225=""))</f>
        <v>0</v>
      </c>
      <c r="AX225" s="457" t="b">
        <f>AND(AC225=TRUE,NOT(AW225))</f>
        <v>0</v>
      </c>
      <c r="AY225" s="325"/>
      <c r="AZ225" s="379" t="b">
        <f>AND(ISNUMBER(AA225),AU225="")</f>
        <v>0</v>
      </c>
      <c r="BA225" s="380" t="b">
        <f>AND(ISNUMBER(AA225),AU225&lt;&gt;AV225)</f>
        <v>0</v>
      </c>
      <c r="BB225" s="325"/>
      <c r="BC225" s="375" t="b">
        <f>AND(L225&lt;&gt;"",Y225=EUconst_NA)</f>
        <v>0</v>
      </c>
      <c r="BD225" s="366" t="b">
        <f>OR(AV225&gt;100%,(AV225+AV226)&gt;100%)</f>
        <v>0</v>
      </c>
      <c r="BE225" s="325"/>
      <c r="BF225" s="379" t="s">
        <v>133</v>
      </c>
      <c r="BG225" s="498" t="str">
        <f>IF(AN221=EUconst_TJ,AV221*(1-AV225),IF(AN223=EUconst_GJ,AV221*AV223/1000*(1-AV225),""))</f>
        <v/>
      </c>
      <c r="BH225" s="325"/>
      <c r="BI225" s="325"/>
      <c r="BJ225" s="325"/>
      <c r="BK225" s="325"/>
      <c r="BL225" s="325"/>
      <c r="BM225" s="325"/>
      <c r="BN225" s="325"/>
      <c r="BO225" s="325"/>
      <c r="BP225" s="325"/>
      <c r="BQ225" s="325"/>
      <c r="BR225" s="325"/>
      <c r="BS225" s="325"/>
      <c r="BT225" s="325"/>
      <c r="BU225" s="325"/>
      <c r="BV225" s="325"/>
      <c r="BW225" s="325"/>
      <c r="BX225" s="325"/>
      <c r="BY225" s="325"/>
      <c r="BZ225" s="325"/>
      <c r="CA225" s="325"/>
      <c r="CB225" s="325"/>
      <c r="CC225" s="325"/>
      <c r="CD225" s="325"/>
      <c r="CE225" s="325"/>
      <c r="CF225" s="325"/>
      <c r="CG225" s="375" t="b">
        <f>OR(CG221,Y225=EUconst_NA)</f>
        <v>0</v>
      </c>
    </row>
    <row r="226" spans="1:85" ht="12.75" customHeight="1" thickBot="1" x14ac:dyDescent="0.3">
      <c r="A226" s="318"/>
      <c r="B226" s="21"/>
      <c r="C226" s="344"/>
      <c r="D226" s="345" t="str">
        <f>Translations!$B$368</f>
        <v>Ei kestävä biomassaosuus:</v>
      </c>
      <c r="E226" s="350"/>
      <c r="F226" s="628"/>
      <c r="G226" s="1120" t="str">
        <f>IF(OR(ISBLANK(F226),F226=EUconst_NoTier),"",IF(Z226=0,EUconst_NotApplicable,IF(ISERROR(Z226),"",Z226)))</f>
        <v/>
      </c>
      <c r="H226" s="1122"/>
      <c r="I226" s="629" t="str">
        <f>IF(OR(AC226=FALSE,Y226=EUconst_NA),"","-")</f>
        <v/>
      </c>
      <c r="J226" s="447"/>
      <c r="K226" s="636" t="str">
        <f>IF(L226="",AU226,"")</f>
        <v/>
      </c>
      <c r="L226" s="630"/>
      <c r="M226" s="486" t="str">
        <f>IF(AND(E216&lt;&gt;"",OR(F226="",COUNT(K226:L226)=0),Y226&lt;&gt;EUconst_NA),EUconst_ERR_Incomplete,IF(COUNTIF(BB226:BD226,TRUE)&gt;0,EUconst_ERR_Inconsistent,""))</f>
        <v/>
      </c>
      <c r="N226" s="22"/>
      <c r="O226" s="323"/>
      <c r="P226" s="612"/>
      <c r="Q226" s="354"/>
      <c r="R226" s="354"/>
      <c r="S226" s="325"/>
      <c r="T226" s="384" t="str">
        <f>EUconst_CNTR_BiomassContent&amp;E216</f>
        <v>BioC_</v>
      </c>
      <c r="U226" s="23"/>
      <c r="V226" s="382" t="str">
        <f>V225</f>
        <v/>
      </c>
      <c r="W226" s="382" t="e">
        <f>IF(COUNTIF(MSPara_SourceStreamCategory,V226)=0,"",INDEX(MSPara_IsFossil,MATCH(V226,MSPara_SourceStreamCategory,0)))</f>
        <v>#N/A</v>
      </c>
      <c r="X226" s="23"/>
      <c r="Y226" s="452" t="str">
        <f>IF(E216="","",IF(OR(F226=EUconst_NA,W226=TRUE),EUconst_NA,INDEX(EUwideConstants!$P$153:$P$180,MATCH(T226,EUwideConstants!$S$153:$S$180,0))))</f>
        <v/>
      </c>
      <c r="Z226" s="473" t="str">
        <f>IF(ISBLANK(F226),"",IF(F226=EUconst_NA,"",INDEX(EUwideConstants!$H:$O,MATCH(T226,EUwideConstants!$S:$S,0),MATCH(F226,CNTR_TierList,0))))</f>
        <v/>
      </c>
      <c r="AA226" s="682" t="str">
        <f>IF(F226=1,1,"")</f>
        <v/>
      </c>
      <c r="AB226" s="325"/>
      <c r="AC226" s="453" t="b">
        <f>AND(AC221,Y226&lt;&gt;EUconst_NA)</f>
        <v>0</v>
      </c>
      <c r="AD226" s="325"/>
      <c r="AE226" s="463"/>
      <c r="AF226" s="461"/>
      <c r="AG226" s="466"/>
      <c r="AH226" s="468"/>
      <c r="AI226" s="468"/>
      <c r="AJ226" s="468"/>
      <c r="AK226" s="470"/>
      <c r="AL226" s="337"/>
      <c r="AM226" s="337"/>
      <c r="AN226" s="337"/>
      <c r="AO226" s="337"/>
      <c r="AP226" s="337"/>
      <c r="AQ226" s="474" t="str">
        <f>EUconst_CNTR_BiomassContent&amp;EUconst_Value</f>
        <v>BioC_Arvo</v>
      </c>
      <c r="AR226" s="463"/>
      <c r="AS226" s="385" t="str">
        <f>IF(AC226=TRUE,IF(COUNTIF(MSPara_SourceStreamCategory,V226)=0,"",INDEX(MSPara_CalcFactorsMatrix,MATCH(V226,MSPara_SourceStreamCategory,0),MATCH(AQ226&amp;"_"&amp;2,MSPara_CalcFactors,0))),"")</f>
        <v/>
      </c>
      <c r="AT226" s="459"/>
      <c r="AU226" s="477" t="str">
        <f>IF(OR(AA226="",AS226=EUconst_NA),"",AS226)</f>
        <v/>
      </c>
      <c r="AV226" s="453">
        <f>IF(AC226=TRUE,IF(COUNT(K226:L226)=0,0,IF(L226="",K226,L226)),0)</f>
        <v>0</v>
      </c>
      <c r="AW226" s="382" t="b">
        <f>AND(AC226=TRUE,OR(AND(F226&lt;&gt;"",NOT(ISNUMBER(AA226))),L226&lt;&gt;"",F226="",AU226=""))</f>
        <v>0</v>
      </c>
      <c r="AX226" s="478" t="b">
        <f>AND(AC226=TRUE,NOT(AW226))</f>
        <v>0</v>
      </c>
      <c r="AY226" s="325"/>
      <c r="AZ226" s="386" t="b">
        <f>AND(ISNUMBER(AA226),AU226="")</f>
        <v>0</v>
      </c>
      <c r="BA226" s="387" t="b">
        <f>AND(ISNUMBER(AA226),AU226&lt;&gt;AV226)</f>
        <v>0</v>
      </c>
      <c r="BB226" s="325"/>
      <c r="BC226" s="382" t="b">
        <f>AND(L226&lt;&gt;"",Y226=EUconst_NA)</f>
        <v>0</v>
      </c>
      <c r="BD226" s="382" t="b">
        <f>OR(AV225&gt;100%,(AV225+AV226)&gt;100%)</f>
        <v>0</v>
      </c>
      <c r="BE226" s="325"/>
      <c r="BF226" s="386" t="s">
        <v>134</v>
      </c>
      <c r="BG226" s="499" t="str">
        <f>IF(AN221=EUconst_TJ,AV221*AV225,IF(AN223=EUconst_GJ,AV221*AV223/1000*AV225,""))</f>
        <v/>
      </c>
      <c r="BH226" s="325"/>
      <c r="BI226" s="325"/>
      <c r="BJ226" s="325"/>
      <c r="BK226" s="325"/>
      <c r="BL226" s="325"/>
      <c r="BM226" s="325"/>
      <c r="BN226" s="325"/>
      <c r="BO226" s="325"/>
      <c r="BP226" s="325"/>
      <c r="BQ226" s="325"/>
      <c r="BR226" s="325"/>
      <c r="BS226" s="325"/>
      <c r="BT226" s="325"/>
      <c r="BU226" s="325"/>
      <c r="BV226" s="325"/>
      <c r="BW226" s="325"/>
      <c r="BX226" s="325"/>
      <c r="BY226" s="325"/>
      <c r="BZ226" s="325"/>
      <c r="CA226" s="325"/>
      <c r="CB226" s="325"/>
      <c r="CC226" s="325"/>
      <c r="CD226" s="325"/>
      <c r="CE226" s="325"/>
      <c r="CF226" s="325"/>
      <c r="CG226" s="382" t="b">
        <f>OR(CG221,Y226=EUconst_NA)</f>
        <v>0</v>
      </c>
    </row>
    <row r="227" spans="1:85" ht="5.15" customHeight="1" thickBot="1" x14ac:dyDescent="0.3">
      <c r="A227" s="318"/>
      <c r="B227" s="21"/>
      <c r="C227" s="21"/>
      <c r="D227" s="327"/>
      <c r="E227" s="22"/>
      <c r="F227" s="22"/>
      <c r="G227" s="22"/>
      <c r="H227" s="22"/>
      <c r="I227" s="22"/>
      <c r="J227" s="22"/>
      <c r="K227" s="22"/>
      <c r="L227" s="22"/>
      <c r="M227" s="488"/>
      <c r="N227" s="22"/>
      <c r="O227" s="323"/>
      <c r="P227" s="301"/>
      <c r="Q227" s="23"/>
      <c r="R227" s="23"/>
      <c r="S227" s="325"/>
      <c r="T227" s="325"/>
      <c r="U227" s="325"/>
      <c r="V227" s="325"/>
      <c r="W227" s="325"/>
      <c r="X227" s="325"/>
      <c r="Y227" s="325"/>
      <c r="Z227" s="325"/>
      <c r="AA227" s="325"/>
      <c r="AB227" s="325"/>
      <c r="AC227" s="325"/>
      <c r="AD227" s="325"/>
      <c r="AE227" s="325"/>
      <c r="AF227" s="325"/>
      <c r="AG227" s="325"/>
      <c r="AH227" s="325"/>
      <c r="AI227" s="325"/>
      <c r="AJ227" s="325"/>
      <c r="AK227" s="325"/>
      <c r="AL227" s="325"/>
      <c r="AM227" s="325"/>
      <c r="AN227" s="325"/>
      <c r="AO227" s="325"/>
      <c r="AP227" s="325"/>
      <c r="AQ227" s="325"/>
      <c r="AR227" s="325"/>
      <c r="AS227" s="325"/>
      <c r="AT227" s="325"/>
      <c r="AU227" s="325"/>
      <c r="AV227" s="325"/>
      <c r="AW227" s="325"/>
      <c r="AX227" s="325"/>
      <c r="AY227" s="325"/>
      <c r="AZ227" s="325"/>
      <c r="BA227" s="325"/>
      <c r="BB227" s="325"/>
      <c r="BC227" s="325"/>
      <c r="BD227" s="325"/>
      <c r="BE227" s="325"/>
      <c r="BF227" s="325"/>
      <c r="BG227" s="325"/>
      <c r="BH227" s="325"/>
      <c r="BI227" s="325"/>
      <c r="BJ227" s="325"/>
      <c r="BK227" s="325"/>
      <c r="BL227" s="325"/>
      <c r="BM227" s="325"/>
      <c r="BN227" s="325"/>
      <c r="BO227" s="325"/>
      <c r="BP227" s="325"/>
      <c r="BQ227" s="325"/>
      <c r="BR227" s="325"/>
      <c r="BS227" s="325"/>
      <c r="BT227" s="325"/>
      <c r="BU227" s="325"/>
      <c r="BV227" s="325"/>
      <c r="BW227" s="325"/>
      <c r="BX227" s="325"/>
      <c r="BY227" s="325"/>
      <c r="BZ227" s="325"/>
      <c r="CA227" s="325"/>
      <c r="CB227" s="325"/>
      <c r="CC227" s="325"/>
      <c r="CD227" s="325"/>
      <c r="CE227" s="325"/>
      <c r="CF227" s="325"/>
      <c r="CG227" s="325"/>
    </row>
    <row r="228" spans="1:85" ht="12.75" customHeight="1" thickBot="1" x14ac:dyDescent="0.3">
      <c r="A228" s="318"/>
      <c r="B228" s="21"/>
      <c r="C228" s="344"/>
      <c r="D228" s="345" t="str">
        <f>Translations!$B$398</f>
        <v>Soveltamisalakerroin:</v>
      </c>
      <c r="E228" s="479"/>
      <c r="F228" s="803"/>
      <c r="G228" s="1125"/>
      <c r="H228" s="1126"/>
      <c r="I228" s="492" t="s">
        <v>52</v>
      </c>
      <c r="J228" s="480"/>
      <c r="K228" s="481" t="str">
        <f>IF(L228="",AU228,"")</f>
        <v/>
      </c>
      <c r="L228" s="607"/>
      <c r="M228" s="489" t="str">
        <f>IF(AND(E216&lt;&gt;"",OR(F228="",G228="",COUNT(K228:L228)=0)),EUconst_ERR_Incomplete,IF(COUNTIF(BB228:BD228,TRUE)&gt;0,EUconst_ERR_Inconsistent,""))</f>
        <v/>
      </c>
      <c r="N228" s="22"/>
      <c r="O228" s="323"/>
      <c r="P228" s="301"/>
      <c r="Q228" s="23"/>
      <c r="R228" s="325"/>
      <c r="S228" s="10"/>
      <c r="T228" s="48" t="str">
        <f>EUconst_CNTR_ScopeFactor&amp;E216</f>
        <v>ScopeFactor_</v>
      </c>
      <c r="U228" s="248" t="str">
        <f>IF(F228="","",INDEX(ScopeAddress,MATCH(F228,ScopeTiers,0)))</f>
        <v/>
      </c>
      <c r="V228" s="382" t="str">
        <f>V221</f>
        <v/>
      </c>
      <c r="W228" s="325"/>
      <c r="X228" s="325"/>
      <c r="Y228" s="452" t="str">
        <f>IF(E216="","",IF(F228=EUconst_NA,EUconst_NA,INDEX(EUwideConstants!$P$153:$P$180,MATCH(T228,EUwideConstants!$S$153:$S$180,0))))</f>
        <v/>
      </c>
      <c r="Z228" s="473" t="str">
        <f>IF(ISBLANK(F228),"",IF(F228=EUconst_NA,"",INDEX(EUwideConstants!$H:$O,MATCH(T228,EUwideConstants!$S:$S,0),MATCH(F228,CNTR_TierList,0))))</f>
        <v/>
      </c>
      <c r="AA228" s="339" t="str">
        <f>IF(G228=EUwideConstants!$A$88,1,"")</f>
        <v/>
      </c>
      <c r="AB228" s="325"/>
      <c r="AC228" s="376" t="b">
        <f>AND(AC221,Y228&lt;&gt;EUconst_NA)</f>
        <v>0</v>
      </c>
      <c r="AD228" s="325"/>
      <c r="AE228" s="325"/>
      <c r="AF228" s="325"/>
      <c r="AG228" s="330"/>
      <c r="AH228" s="325"/>
      <c r="AI228" s="325"/>
      <c r="AJ228" s="325"/>
      <c r="AK228" s="325"/>
      <c r="AL228" s="325"/>
      <c r="AM228" s="325"/>
      <c r="AN228" s="325"/>
      <c r="AO228" s="325"/>
      <c r="AP228" s="325"/>
      <c r="AQ228" s="325"/>
      <c r="AR228" s="325"/>
      <c r="AS228" s="338">
        <v>1</v>
      </c>
      <c r="AT228" s="325"/>
      <c r="AU228" s="330" t="str">
        <f>IF(G228=EUwideConstants!$A$88,AS228,"")</f>
        <v/>
      </c>
      <c r="AV228" s="376">
        <f>IF(AC228=TRUE,IF(COUNT(K228:L228)=0,0,IF(L228="",K228,L228)),0)</f>
        <v>0</v>
      </c>
      <c r="AW228" s="375" t="b">
        <f>AND(AC228=TRUE,OR(AND(F228&lt;&gt;"",NOT(ISNUMBER(AA228))),L228&lt;&gt;"",F228="",AU228=""))</f>
        <v>0</v>
      </c>
      <c r="AX228" s="457" t="b">
        <f>AND(AC228=TRUE,NOT(AW228))</f>
        <v>0</v>
      </c>
      <c r="AY228" s="325"/>
      <c r="AZ228" s="379" t="b">
        <f>AND(ISNUMBER(AA228),AU228="")</f>
        <v>0</v>
      </c>
      <c r="BA228" s="380" t="b">
        <f>AND(ISNUMBER(AA228),AU228&lt;&gt;AV228)</f>
        <v>0</v>
      </c>
      <c r="BB228" s="325"/>
      <c r="BC228" s="33" t="b">
        <f>AND(F228&lt;&gt;"",OR(COUNTIF(INDEX(ScopeMethods,F228,),G228)=0,AND(AA228&lt;&gt;"",AU228&lt;&gt;AV228)))</f>
        <v>0</v>
      </c>
      <c r="BD228" s="325"/>
      <c r="BE228" s="325"/>
      <c r="BF228" s="325"/>
      <c r="BG228" s="325"/>
      <c r="BH228" s="325"/>
      <c r="BI228" s="325"/>
      <c r="BJ228" s="325"/>
      <c r="BK228" s="325"/>
      <c r="BL228" s="325"/>
      <c r="BM228" s="325"/>
      <c r="BN228" s="325"/>
      <c r="BO228" s="325"/>
      <c r="BP228" s="325"/>
      <c r="BQ228" s="325"/>
      <c r="BR228" s="325"/>
      <c r="BS228" s="325"/>
      <c r="BT228" s="325"/>
      <c r="BU228" s="325"/>
      <c r="BV228" s="325"/>
      <c r="BW228" s="325"/>
      <c r="BX228" s="325"/>
      <c r="BY228" s="325"/>
      <c r="BZ228" s="325"/>
      <c r="CA228" s="325"/>
      <c r="CB228" s="325"/>
      <c r="CC228" s="325"/>
      <c r="CD228" s="325"/>
      <c r="CE228" s="325"/>
      <c r="CF228" s="325"/>
      <c r="CG228" s="325"/>
    </row>
    <row r="229" spans="1:85" ht="12.75" customHeight="1" x14ac:dyDescent="0.25">
      <c r="A229" s="318"/>
      <c r="B229" s="21"/>
      <c r="C229" s="21"/>
      <c r="D229" s="21"/>
      <c r="E229" s="21"/>
      <c r="F229" s="21"/>
      <c r="G229" s="1130" t="str">
        <f>IF(G228="","",INDEX(ScopeMethodsDetails,MATCH(G228,INDEX(ScopeMethodsDetails,,1),0),2))</f>
        <v/>
      </c>
      <c r="H229" s="1131"/>
      <c r="I229" s="1131"/>
      <c r="J229" s="1131"/>
      <c r="K229" s="1131"/>
      <c r="L229" s="1131"/>
      <c r="M229" s="1132"/>
      <c r="N229" s="22"/>
      <c r="O229" s="323"/>
      <c r="P229" s="301"/>
      <c r="Q229" s="23"/>
      <c r="R229" s="23"/>
      <c r="S229" s="325"/>
      <c r="T229" s="325"/>
      <c r="U229" s="325"/>
      <c r="V229" s="325"/>
      <c r="W229" s="325"/>
      <c r="X229" s="325"/>
      <c r="Y229" s="325"/>
      <c r="Z229" s="325"/>
      <c r="AA229" s="325"/>
      <c r="AB229" s="325"/>
      <c r="AC229" s="325"/>
      <c r="AD229" s="325"/>
      <c r="AE229" s="325"/>
      <c r="AF229" s="325"/>
      <c r="AG229" s="325"/>
      <c r="AH229" s="325"/>
      <c r="AI229" s="325"/>
      <c r="AJ229" s="325"/>
      <c r="AK229" s="325"/>
      <c r="AL229" s="325"/>
      <c r="AM229" s="325"/>
      <c r="AN229" s="325"/>
      <c r="AO229" s="325"/>
      <c r="AP229" s="325"/>
      <c r="AQ229" s="325"/>
      <c r="AR229" s="325"/>
      <c r="AS229" s="325"/>
      <c r="AT229" s="325"/>
      <c r="AU229" s="325"/>
      <c r="AV229" s="325"/>
      <c r="AW229" s="325"/>
      <c r="AX229" s="325"/>
      <c r="AY229" s="325"/>
      <c r="AZ229" s="325"/>
      <c r="BA229" s="325"/>
      <c r="BB229" s="325"/>
      <c r="BC229" s="325"/>
      <c r="BD229" s="325"/>
      <c r="BE229" s="325"/>
      <c r="BF229" s="325"/>
      <c r="BG229" s="325"/>
      <c r="BH229" s="325"/>
      <c r="BI229" s="325"/>
      <c r="BJ229" s="325"/>
      <c r="BK229" s="325"/>
      <c r="BL229" s="325"/>
      <c r="BM229" s="325"/>
      <c r="BN229" s="325"/>
      <c r="BO229" s="325"/>
      <c r="BP229" s="325"/>
      <c r="BQ229" s="325"/>
      <c r="BR229" s="325"/>
      <c r="BS229" s="325"/>
      <c r="BT229" s="325"/>
      <c r="BU229" s="325"/>
      <c r="BV229" s="325"/>
      <c r="BW229" s="325"/>
      <c r="BX229" s="325"/>
      <c r="BY229" s="325"/>
      <c r="BZ229" s="325"/>
      <c r="CA229" s="325"/>
      <c r="CB229" s="325"/>
      <c r="CC229" s="325"/>
      <c r="CD229" s="325"/>
      <c r="CE229" s="325"/>
      <c r="CF229" s="325"/>
      <c r="CG229" s="325"/>
    </row>
    <row r="230" spans="1:85" ht="5.15" customHeight="1" x14ac:dyDescent="0.25">
      <c r="A230" s="318"/>
      <c r="C230" s="22"/>
      <c r="D230" s="22"/>
      <c r="E230" s="22"/>
      <c r="F230" s="22"/>
      <c r="G230" s="22"/>
      <c r="H230" s="22"/>
      <c r="I230" s="22"/>
      <c r="J230" s="22"/>
      <c r="K230" s="22"/>
      <c r="L230" s="22"/>
      <c r="O230" s="323"/>
      <c r="P230" s="301"/>
      <c r="Q230" s="23"/>
      <c r="R230" s="23"/>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c r="AN230" s="325"/>
      <c r="AO230" s="325"/>
      <c r="AP230" s="325"/>
      <c r="AQ230" s="325"/>
      <c r="AR230" s="325"/>
      <c r="AS230" s="325"/>
      <c r="AT230" s="325"/>
      <c r="AU230" s="325"/>
      <c r="AV230" s="325"/>
      <c r="AW230" s="325"/>
      <c r="AX230" s="325"/>
      <c r="AY230" s="325"/>
      <c r="AZ230" s="325"/>
      <c r="BA230" s="325"/>
      <c r="BB230" s="325"/>
      <c r="BC230" s="325"/>
      <c r="BD230" s="325"/>
      <c r="BE230" s="325"/>
      <c r="BF230" s="325"/>
      <c r="BG230" s="325"/>
      <c r="BH230" s="325"/>
      <c r="BI230" s="325"/>
      <c r="BJ230" s="325"/>
      <c r="BK230" s="325"/>
      <c r="BL230" s="325"/>
      <c r="BM230" s="325"/>
      <c r="BN230" s="325"/>
      <c r="BO230" s="325"/>
      <c r="BP230" s="325"/>
      <c r="BQ230" s="325"/>
      <c r="BR230" s="325"/>
      <c r="BS230" s="325"/>
      <c r="BT230" s="325"/>
      <c r="BU230" s="325"/>
      <c r="BV230" s="325"/>
      <c r="BW230" s="325"/>
      <c r="BX230" s="325"/>
      <c r="BY230" s="325"/>
      <c r="BZ230" s="325"/>
      <c r="CA230" s="325"/>
      <c r="CB230" s="325"/>
      <c r="CC230" s="325"/>
      <c r="CD230" s="325"/>
      <c r="CE230" s="325"/>
      <c r="CF230" s="325"/>
      <c r="CG230" s="325"/>
    </row>
    <row r="231" spans="1:85" ht="12.75" customHeight="1" x14ac:dyDescent="0.25">
      <c r="A231" s="318"/>
      <c r="C231" s="22"/>
      <c r="D231" s="22"/>
      <c r="E231" s="22"/>
      <c r="F231" s="22"/>
      <c r="G231" s="1133">
        <v>1</v>
      </c>
      <c r="H231" s="1133"/>
      <c r="I231" s="1133">
        <v>2</v>
      </c>
      <c r="J231" s="1133"/>
      <c r="K231" s="1133">
        <v>3</v>
      </c>
      <c r="L231" s="1133"/>
      <c r="O231" s="323"/>
      <c r="P231" s="301"/>
      <c r="Q231" s="23"/>
      <c r="R231" s="23"/>
      <c r="S231" s="325"/>
      <c r="T231" s="325"/>
      <c r="U231" s="325"/>
      <c r="V231" s="325"/>
      <c r="W231" s="325"/>
      <c r="X231" s="325"/>
      <c r="Y231" s="325"/>
      <c r="Z231" s="325"/>
      <c r="AA231" s="325"/>
      <c r="AB231" s="325"/>
      <c r="AC231" s="325"/>
      <c r="AD231" s="325"/>
      <c r="AE231" s="325"/>
      <c r="AF231" s="325"/>
      <c r="AG231" s="325"/>
      <c r="AH231" s="325"/>
      <c r="AI231" s="325"/>
      <c r="AJ231" s="325"/>
      <c r="AK231" s="325"/>
      <c r="AL231" s="325"/>
      <c r="AM231" s="325"/>
      <c r="AN231" s="325"/>
      <c r="AO231" s="325"/>
      <c r="AP231" s="325"/>
      <c r="AQ231" s="325"/>
      <c r="AR231" s="325"/>
      <c r="AS231" s="325"/>
      <c r="AT231" s="325"/>
      <c r="AU231" s="325"/>
      <c r="AV231" s="325"/>
      <c r="AW231" s="325"/>
      <c r="AX231" s="325"/>
      <c r="AY231" s="325"/>
      <c r="AZ231" s="325"/>
      <c r="BA231" s="325"/>
      <c r="BB231" s="325"/>
      <c r="BC231" s="325"/>
      <c r="BD231" s="325"/>
      <c r="BE231" s="325"/>
      <c r="BF231" s="325"/>
      <c r="BG231" s="325"/>
      <c r="BH231" s="325"/>
      <c r="BI231" s="325"/>
      <c r="BJ231" s="325"/>
      <c r="BK231" s="325"/>
      <c r="BL231" s="325"/>
      <c r="BM231" s="325"/>
      <c r="BN231" s="325"/>
      <c r="BO231" s="325"/>
      <c r="BP231" s="325"/>
      <c r="BQ231" s="325"/>
      <c r="BR231" s="325"/>
      <c r="BS231" s="325"/>
      <c r="BT231" s="325"/>
      <c r="BU231" s="325"/>
      <c r="BV231" s="325"/>
      <c r="BW231" s="325"/>
      <c r="BX231" s="325"/>
      <c r="BY231" s="325"/>
      <c r="BZ231" s="325"/>
      <c r="CA231" s="325"/>
      <c r="CB231" s="325"/>
      <c r="CC231" s="325"/>
      <c r="CD231" s="325"/>
      <c r="CE231" s="325"/>
      <c r="CF231" s="325"/>
      <c r="CG231" s="325"/>
    </row>
    <row r="232" spans="1:85" ht="12.75" customHeight="1" x14ac:dyDescent="0.25">
      <c r="A232" s="389"/>
      <c r="B232" s="22"/>
      <c r="C232" s="22"/>
      <c r="D232" s="1134" t="str">
        <f>Translations!$B$372</f>
        <v>CRF-luokka</v>
      </c>
      <c r="E232" s="1134"/>
      <c r="F232" s="1135"/>
      <c r="G232" s="1123"/>
      <c r="H232" s="1124"/>
      <c r="I232" s="1123"/>
      <c r="J232" s="1124"/>
      <c r="K232" s="1123"/>
      <c r="L232" s="1124"/>
      <c r="M232" s="623" t="str">
        <f>IF(AND(E215&lt;&gt;"",COUNTA(G232:L232)=0,AX232=FALSE),EUconst_ERR_Incomplete,"")</f>
        <v/>
      </c>
      <c r="N232" s="22"/>
      <c r="O232" s="323"/>
      <c r="P232" s="301"/>
      <c r="Q232" s="23"/>
      <c r="R232" s="23"/>
      <c r="S232" s="325"/>
      <c r="T232" s="325"/>
      <c r="U232" s="325"/>
      <c r="V232" s="325"/>
      <c r="W232" s="325"/>
      <c r="X232" s="325"/>
      <c r="Y232" s="325"/>
      <c r="Z232" s="325"/>
      <c r="AA232" s="325"/>
      <c r="AB232" s="325"/>
      <c r="AC232" s="325"/>
      <c r="AD232" s="325"/>
      <c r="AE232" s="325"/>
      <c r="AF232" s="325"/>
      <c r="AG232" s="325"/>
      <c r="AH232" s="325"/>
      <c r="AI232" s="325"/>
      <c r="AJ232" s="325"/>
      <c r="AK232" s="325"/>
      <c r="AL232" s="325"/>
      <c r="AM232" s="325"/>
      <c r="AN232" s="325"/>
      <c r="AO232" s="325"/>
      <c r="AP232" s="325"/>
      <c r="AQ232" s="325"/>
      <c r="AR232" s="325"/>
      <c r="AS232" s="325"/>
      <c r="AT232" s="325"/>
      <c r="AU232" s="325"/>
      <c r="AV232" s="325"/>
      <c r="AW232" s="325"/>
      <c r="AX232" s="33" t="b">
        <f>AND(AV228&lt;&gt;"",SUM(AV228=1))</f>
        <v>0</v>
      </c>
      <c r="AY232" s="325"/>
      <c r="AZ232" s="325"/>
      <c r="BA232" s="325"/>
      <c r="BB232" s="325"/>
      <c r="BC232" s="325"/>
      <c r="BD232" s="325"/>
      <c r="BE232" s="325"/>
      <c r="BF232" s="325"/>
      <c r="BG232" s="325"/>
      <c r="BH232" s="325"/>
      <c r="BI232" s="325"/>
      <c r="BJ232" s="325"/>
      <c r="BK232" s="325"/>
      <c r="BL232" s="325"/>
      <c r="BM232" s="325"/>
      <c r="BN232" s="325"/>
      <c r="BO232" s="325"/>
      <c r="BP232" s="325"/>
      <c r="BQ232" s="325"/>
      <c r="BR232" s="325"/>
      <c r="BS232" s="325"/>
      <c r="BT232" s="325"/>
      <c r="BU232" s="325"/>
      <c r="BV232" s="325"/>
      <c r="BW232" s="325"/>
      <c r="BX232" s="325"/>
      <c r="BY232" s="325"/>
      <c r="BZ232" s="325"/>
      <c r="CA232" s="325"/>
      <c r="CB232" s="325"/>
      <c r="CC232" s="325"/>
      <c r="CD232" s="325"/>
      <c r="CE232" s="325"/>
      <c r="CF232" s="325"/>
      <c r="CG232" s="325"/>
    </row>
    <row r="233" spans="1:85" ht="5.15" customHeight="1" x14ac:dyDescent="0.25">
      <c r="A233" s="318"/>
      <c r="B233" s="21"/>
      <c r="C233" s="21"/>
      <c r="D233" s="21"/>
      <c r="E233" s="21"/>
      <c r="F233" s="21"/>
      <c r="G233" s="22"/>
      <c r="H233" s="22"/>
      <c r="I233" s="22"/>
      <c r="J233" s="22"/>
      <c r="K233" s="22"/>
      <c r="L233" s="22"/>
      <c r="M233" s="22"/>
      <c r="N233" s="22"/>
      <c r="O233" s="323"/>
      <c r="P233" s="301"/>
      <c r="Q233" s="23"/>
      <c r="R233" s="23"/>
      <c r="S233" s="325"/>
      <c r="T233" s="325"/>
      <c r="U233" s="325"/>
      <c r="V233" s="325"/>
      <c r="W233" s="325"/>
      <c r="X233" s="325"/>
      <c r="Y233" s="325"/>
      <c r="Z233" s="325"/>
      <c r="AA233" s="325"/>
      <c r="AB233" s="325"/>
      <c r="AC233" s="325"/>
      <c r="AD233" s="325"/>
      <c r="AE233" s="325"/>
      <c r="AF233" s="325"/>
      <c r="AG233" s="325"/>
      <c r="AH233" s="325"/>
      <c r="AI233" s="325"/>
      <c r="AJ233" s="325"/>
      <c r="AK233" s="325"/>
      <c r="AL233" s="325"/>
      <c r="AM233" s="325"/>
      <c r="AN233" s="325"/>
      <c r="AO233" s="325"/>
      <c r="AP233" s="325"/>
      <c r="AQ233" s="325"/>
      <c r="AR233" s="325"/>
      <c r="AS233" s="325"/>
      <c r="AT233" s="325"/>
      <c r="AU233" s="325"/>
      <c r="AV233" s="325"/>
      <c r="AW233" s="325"/>
      <c r="AX233" s="325"/>
      <c r="AY233" s="325"/>
      <c r="AZ233" s="325"/>
      <c r="BA233" s="325"/>
      <c r="BB233" s="325"/>
      <c r="BC233" s="325"/>
      <c r="BD233" s="325"/>
      <c r="BE233" s="325"/>
      <c r="BF233" s="325"/>
      <c r="BG233" s="325"/>
      <c r="BH233" s="325"/>
      <c r="BI233" s="325"/>
      <c r="BJ233" s="325"/>
      <c r="BK233" s="325"/>
      <c r="BL233" s="325"/>
      <c r="BM233" s="325"/>
      <c r="BN233" s="325"/>
      <c r="BO233" s="325"/>
      <c r="BP233" s="325"/>
      <c r="BQ233" s="325"/>
      <c r="BR233" s="325"/>
      <c r="BS233" s="325"/>
      <c r="BT233" s="325"/>
      <c r="BU233" s="325"/>
      <c r="BV233" s="325"/>
      <c r="BW233" s="325"/>
      <c r="BX233" s="325"/>
      <c r="BY233" s="325"/>
      <c r="BZ233" s="325"/>
      <c r="CA233" s="325"/>
      <c r="CB233" s="325"/>
      <c r="CC233" s="325"/>
      <c r="CD233" s="325"/>
      <c r="CE233" s="325"/>
      <c r="CF233" s="325"/>
      <c r="CG233" s="325"/>
    </row>
    <row r="234" spans="1:85" ht="7" customHeight="1" x14ac:dyDescent="0.25">
      <c r="A234" s="318"/>
      <c r="B234" s="21"/>
      <c r="C234" s="21"/>
      <c r="D234" s="1145"/>
      <c r="E234" s="1145"/>
      <c r="F234" s="1145"/>
      <c r="G234" s="806"/>
      <c r="H234" s="807"/>
      <c r="I234" s="806"/>
      <c r="J234" s="236"/>
      <c r="K234" s="236"/>
      <c r="L234" s="236"/>
      <c r="M234" s="807"/>
      <c r="N234" s="808"/>
      <c r="O234" s="323"/>
      <c r="P234" s="301"/>
      <c r="Q234" s="23"/>
      <c r="R234" s="23"/>
      <c r="S234" s="388"/>
      <c r="T234" s="325"/>
      <c r="U234" s="325"/>
      <c r="V234" s="325"/>
      <c r="W234" s="325"/>
      <c r="X234" s="325"/>
      <c r="Y234" s="325"/>
      <c r="Z234" s="325"/>
      <c r="AA234" s="325"/>
      <c r="AB234" s="325"/>
      <c r="AC234" s="325"/>
      <c r="AD234" s="325"/>
      <c r="AE234" s="325"/>
      <c r="AF234" s="325"/>
      <c r="AG234" s="325"/>
      <c r="AH234" s="325"/>
      <c r="AI234" s="325"/>
      <c r="AJ234" s="325"/>
      <c r="AK234" s="325"/>
      <c r="AL234" s="325"/>
      <c r="AM234" s="325"/>
      <c r="AN234" s="325"/>
      <c r="AO234" s="325"/>
      <c r="AP234" s="325"/>
      <c r="AQ234" s="325"/>
      <c r="AR234" s="325"/>
      <c r="AS234" s="325"/>
      <c r="AT234" s="325"/>
      <c r="AU234" s="325"/>
      <c r="AV234" s="325"/>
      <c r="AW234" s="325"/>
      <c r="AX234" s="325"/>
      <c r="AY234" s="325"/>
      <c r="AZ234" s="325"/>
      <c r="BA234" s="325"/>
      <c r="BB234" s="325"/>
      <c r="BC234" s="325"/>
      <c r="BD234" s="325"/>
      <c r="BE234" s="325"/>
      <c r="BF234" s="325"/>
      <c r="BG234" s="325"/>
      <c r="BH234" s="325"/>
      <c r="BI234" s="325"/>
      <c r="BJ234" s="325"/>
      <c r="BK234" s="325"/>
      <c r="BL234" s="325"/>
      <c r="BM234" s="325"/>
      <c r="BN234" s="325"/>
      <c r="BO234" s="325"/>
      <c r="BP234" s="325"/>
      <c r="BQ234" s="325"/>
      <c r="BR234" s="325"/>
      <c r="BS234" s="325"/>
      <c r="BT234" s="325"/>
      <c r="BU234" s="325"/>
      <c r="BV234" s="325"/>
      <c r="BW234" s="325"/>
      <c r="BX234" s="325"/>
      <c r="BY234" s="325"/>
      <c r="BZ234" s="325"/>
      <c r="CA234" s="325"/>
      <c r="CB234" s="325"/>
      <c r="CC234" s="325"/>
      <c r="CD234" s="325"/>
      <c r="CE234" s="325"/>
      <c r="CF234" s="325"/>
      <c r="CG234" s="33" t="b">
        <f>CG221</f>
        <v>0</v>
      </c>
    </row>
    <row r="235" spans="1:85" ht="5.15" customHeight="1" x14ac:dyDescent="0.25">
      <c r="A235" s="389"/>
      <c r="B235" s="22"/>
      <c r="C235" s="22"/>
      <c r="D235" s="22"/>
      <c r="E235" s="1116" t="str">
        <f>Translations!$B$304</f>
        <v xml:space="preserve">Lisätiedot: 
tapa, jolla biomassan kestävyys on osoitettu; 
muut polttoainevirtaa koskevat lisätiedot. </v>
      </c>
      <c r="F235" s="1116"/>
      <c r="G235" s="22"/>
      <c r="H235" s="22"/>
      <c r="I235" s="22"/>
      <c r="J235" s="22"/>
      <c r="K235" s="22"/>
      <c r="L235" s="22"/>
      <c r="M235" s="22"/>
      <c r="N235" s="22"/>
      <c r="O235" s="323"/>
      <c r="P235" s="301"/>
      <c r="Q235" s="23"/>
      <c r="R235" s="23"/>
      <c r="S235" s="325"/>
      <c r="T235" s="325"/>
      <c r="U235" s="325"/>
      <c r="V235" s="325"/>
      <c r="W235" s="325"/>
      <c r="X235" s="325"/>
      <c r="Y235" s="325"/>
      <c r="Z235" s="325"/>
      <c r="AA235" s="325"/>
      <c r="AB235" s="325"/>
      <c r="AC235" s="325"/>
      <c r="AD235" s="325"/>
      <c r="AE235" s="325"/>
      <c r="AF235" s="325"/>
      <c r="AG235" s="325"/>
      <c r="AH235" s="325"/>
      <c r="AI235" s="325"/>
      <c r="AJ235" s="325"/>
      <c r="AK235" s="325"/>
      <c r="AL235" s="325"/>
      <c r="AM235" s="325"/>
      <c r="AN235" s="325"/>
      <c r="AO235" s="325"/>
      <c r="AP235" s="325"/>
      <c r="AQ235" s="325"/>
      <c r="AR235" s="325"/>
      <c r="AS235" s="325"/>
      <c r="AT235" s="325"/>
      <c r="AU235" s="325"/>
      <c r="AV235" s="325"/>
      <c r="AW235" s="325"/>
      <c r="AX235" s="325"/>
      <c r="AY235" s="325"/>
      <c r="AZ235" s="325"/>
      <c r="BA235" s="325"/>
      <c r="BB235" s="325"/>
      <c r="BC235" s="325"/>
      <c r="BD235" s="325"/>
      <c r="BE235" s="325"/>
      <c r="BF235" s="325"/>
      <c r="BG235" s="325"/>
      <c r="BH235" s="325"/>
      <c r="BI235" s="325"/>
      <c r="BJ235" s="325"/>
      <c r="BK235" s="325"/>
      <c r="BL235" s="325"/>
      <c r="BM235" s="325"/>
      <c r="BN235" s="325"/>
      <c r="BO235" s="325"/>
      <c r="BP235" s="325"/>
      <c r="BQ235" s="325"/>
      <c r="BR235" s="325"/>
      <c r="BS235" s="325"/>
      <c r="BT235" s="325"/>
      <c r="BU235" s="325"/>
      <c r="BV235" s="325"/>
      <c r="BW235" s="325"/>
      <c r="BX235" s="325"/>
      <c r="BY235" s="325"/>
      <c r="BZ235" s="325"/>
      <c r="CA235" s="325"/>
      <c r="CB235" s="325"/>
      <c r="CC235" s="325"/>
      <c r="CD235" s="325"/>
      <c r="CE235" s="325"/>
      <c r="CF235" s="325"/>
      <c r="CG235" s="325"/>
    </row>
    <row r="236" spans="1:85" ht="40.5" customHeight="1" x14ac:dyDescent="0.25">
      <c r="A236" s="389"/>
      <c r="B236" s="22"/>
      <c r="C236" s="22"/>
      <c r="D236" s="4"/>
      <c r="E236" s="1116"/>
      <c r="F236" s="1116"/>
      <c r="G236" s="1146"/>
      <c r="H236" s="1147"/>
      <c r="I236" s="1147"/>
      <c r="J236" s="1147"/>
      <c r="K236" s="1147"/>
      <c r="L236" s="1147"/>
      <c r="M236" s="1147"/>
      <c r="N236" s="1148"/>
      <c r="O236" s="323"/>
      <c r="P236" s="301"/>
      <c r="Q236" s="23"/>
      <c r="R236" s="23"/>
      <c r="S236" s="325"/>
      <c r="T236" s="325"/>
      <c r="U236" s="325"/>
      <c r="V236" s="325"/>
      <c r="W236" s="325"/>
      <c r="X236" s="325"/>
      <c r="Y236" s="325"/>
      <c r="Z236" s="325"/>
      <c r="AA236" s="325"/>
      <c r="AB236" s="325"/>
      <c r="AC236" s="325"/>
      <c r="AD236" s="325"/>
      <c r="AE236" s="325"/>
      <c r="AF236" s="325"/>
      <c r="AG236" s="325"/>
      <c r="AH236" s="325"/>
      <c r="AI236" s="325"/>
      <c r="AJ236" s="325"/>
      <c r="AK236" s="325"/>
      <c r="AL236" s="325"/>
      <c r="AM236" s="325"/>
      <c r="AN236" s="325"/>
      <c r="AO236" s="325"/>
      <c r="AP236" s="325"/>
      <c r="AQ236" s="325"/>
      <c r="AR236" s="325"/>
      <c r="AS236" s="325"/>
      <c r="AT236" s="325"/>
      <c r="AU236" s="325"/>
      <c r="AV236" s="325"/>
      <c r="AW236" s="325"/>
      <c r="AX236" s="325"/>
      <c r="AY236" s="325"/>
      <c r="AZ236" s="325"/>
      <c r="BA236" s="325"/>
      <c r="BB236" s="325"/>
      <c r="BC236" s="325"/>
      <c r="BD236" s="325"/>
      <c r="BE236" s="325"/>
      <c r="BF236" s="325"/>
      <c r="BG236" s="325"/>
      <c r="BH236" s="325"/>
      <c r="BI236" s="325"/>
      <c r="BJ236" s="325"/>
      <c r="BK236" s="325"/>
      <c r="BL236" s="325"/>
      <c r="BM236" s="325"/>
      <c r="BN236" s="325"/>
      <c r="BO236" s="325"/>
      <c r="BP236" s="325"/>
      <c r="BQ236" s="325"/>
      <c r="BR236" s="325"/>
      <c r="BS236" s="325"/>
      <c r="BT236" s="325"/>
      <c r="BU236" s="325"/>
      <c r="BV236" s="325"/>
      <c r="BW236" s="325"/>
      <c r="BX236" s="325"/>
      <c r="BY236" s="325"/>
      <c r="BZ236" s="325"/>
      <c r="CA236" s="325"/>
      <c r="CB236" s="325"/>
      <c r="CC236" s="325"/>
      <c r="CD236" s="325"/>
      <c r="CE236" s="325"/>
      <c r="CF236" s="325"/>
      <c r="CG236" s="33" t="b">
        <f>CG234</f>
        <v>0</v>
      </c>
    </row>
    <row r="237" spans="1:85" ht="12.75" customHeight="1" thickBot="1" x14ac:dyDescent="0.3">
      <c r="A237" s="318"/>
      <c r="B237" s="22"/>
      <c r="C237" s="319"/>
      <c r="D237" s="320"/>
      <c r="E237" s="321"/>
      <c r="F237" s="319"/>
      <c r="G237" s="322"/>
      <c r="H237" s="322"/>
      <c r="I237" s="322"/>
      <c r="J237" s="322"/>
      <c r="K237" s="322"/>
      <c r="L237" s="322"/>
      <c r="M237" s="322"/>
      <c r="N237" s="322"/>
      <c r="O237" s="323"/>
      <c r="P237" s="301"/>
      <c r="Q237" s="23"/>
      <c r="R237" s="23"/>
      <c r="S237" s="41"/>
      <c r="T237" s="41"/>
      <c r="U237" s="324"/>
      <c r="V237" s="41"/>
      <c r="W237" s="41"/>
      <c r="X237" s="324"/>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325"/>
      <c r="BN237" s="325"/>
      <c r="BO237" s="325"/>
      <c r="BP237" s="325"/>
      <c r="BQ237" s="325"/>
      <c r="BR237" s="325"/>
      <c r="BS237" s="325"/>
      <c r="BT237" s="325"/>
      <c r="BU237" s="41"/>
      <c r="BV237" s="41"/>
      <c r="BW237" s="41"/>
      <c r="BX237" s="41"/>
      <c r="BY237" s="41"/>
      <c r="BZ237" s="41"/>
      <c r="CA237" s="41"/>
      <c r="CB237" s="41"/>
      <c r="CC237" s="41"/>
      <c r="CD237" s="41"/>
      <c r="CE237" s="41"/>
      <c r="CF237" s="41"/>
      <c r="CG237" s="41"/>
    </row>
    <row r="238" spans="1:85" ht="12.75" customHeight="1" thickBot="1" x14ac:dyDescent="0.3">
      <c r="A238" s="326"/>
      <c r="B238" s="22"/>
      <c r="C238" s="22"/>
      <c r="D238" s="327"/>
      <c r="E238" s="328"/>
      <c r="F238" s="22"/>
      <c r="G238" s="1"/>
      <c r="H238" s="1"/>
      <c r="I238" s="1"/>
      <c r="J238" s="1"/>
      <c r="K238" s="22"/>
      <c r="L238" s="1"/>
      <c r="M238" s="1"/>
      <c r="N238" s="1"/>
      <c r="O238" s="323"/>
      <c r="P238" s="301"/>
      <c r="Q238" s="23"/>
      <c r="R238" s="23"/>
      <c r="S238" s="2"/>
      <c r="T238" s="20" t="str">
        <f>IF(ISBLANK(E239),"",MATCH(E239,CNTR_SourceStreamNames,0))</f>
        <v/>
      </c>
      <c r="U238" s="329" t="str">
        <f>IF(ISBLANK(E239),"",INDEX('B_Polttoainevirtojen tiedot'!$D$67:$D$91,MATCH(E239,CNTR_SourceStreamNames,0)))</f>
        <v/>
      </c>
      <c r="V238" s="60"/>
      <c r="W238" s="37"/>
      <c r="X238" s="37"/>
      <c r="Y238" s="37"/>
      <c r="Z238" s="41"/>
      <c r="AA238" s="41"/>
      <c r="AB238" s="41"/>
      <c r="AC238" s="41"/>
      <c r="AD238" s="41"/>
      <c r="AE238" s="41"/>
      <c r="AF238" s="41"/>
      <c r="AG238" s="41"/>
      <c r="AH238" s="41"/>
      <c r="AI238" s="41"/>
      <c r="AJ238" s="41"/>
      <c r="AK238" s="23"/>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37"/>
      <c r="BK238" s="37"/>
      <c r="BL238" s="37"/>
      <c r="BM238" s="37"/>
      <c r="BN238" s="37"/>
      <c r="BO238" s="37"/>
      <c r="BP238" s="37"/>
      <c r="BQ238" s="37"/>
      <c r="BR238" s="37"/>
      <c r="BS238" s="37"/>
      <c r="BT238" s="37"/>
      <c r="BU238" s="37"/>
      <c r="BV238" s="37"/>
      <c r="BW238" s="37"/>
      <c r="BX238" s="37"/>
      <c r="BY238" s="37"/>
      <c r="BZ238" s="37"/>
      <c r="CA238" s="37"/>
      <c r="CB238" s="37"/>
      <c r="CC238" s="37"/>
      <c r="CD238" s="37"/>
      <c r="CE238" s="37"/>
      <c r="CF238" s="37"/>
      <c r="CG238" s="330" t="s">
        <v>94</v>
      </c>
    </row>
    <row r="239" spans="1:85" ht="15" customHeight="1" thickBot="1" x14ac:dyDescent="0.3">
      <c r="A239" s="331">
        <f>C239</f>
        <v>9</v>
      </c>
      <c r="B239" s="21"/>
      <c r="C239" s="332">
        <f>C215+1</f>
        <v>9</v>
      </c>
      <c r="D239" s="21"/>
      <c r="E239" s="1117"/>
      <c r="F239" s="1118"/>
      <c r="G239" s="1118"/>
      <c r="H239" s="1118"/>
      <c r="I239" s="1118"/>
      <c r="J239" s="1119"/>
      <c r="K239" s="1138" t="str">
        <f>IF(INDEX('B_Polttoainevirtojen tiedot'!$K$100:$K$124,MATCH(U238,'B_Polttoainevirtojen tiedot'!$D$100:$D$124,0))&gt;0,INDEX('B_Polttoainevirtojen tiedot'!$K$100:$K$124,MATCH(U238,'B_Polttoainevirtojen tiedot'!$D$100:$D$124,0)),"")</f>
        <v/>
      </c>
      <c r="L239" s="1139"/>
      <c r="M239" s="328" t="str">
        <f>Translations!$B$374</f>
        <v>CO2 fossiilinen:</v>
      </c>
      <c r="N239" s="401" t="str">
        <f>IF(E240="","",BG245)</f>
        <v/>
      </c>
      <c r="O239" s="333" t="str">
        <f>EUconst_tCO2</f>
        <v>tCO2</v>
      </c>
      <c r="P239" s="610" t="str">
        <f>IF(AND(E239&lt;&gt;"",COUNTIF(P240:$P$811,"PRINT")=0),"PRINT","")</f>
        <v/>
      </c>
      <c r="Q239" s="335" t="str">
        <f>EUconst_SumCO2</f>
        <v>SUM_CO2</v>
      </c>
      <c r="R239" s="23"/>
      <c r="S239" s="2"/>
      <c r="T239" s="2"/>
      <c r="U239" s="2"/>
      <c r="V239" s="60"/>
      <c r="W239" s="37"/>
      <c r="X239" s="41"/>
      <c r="Y239" s="41"/>
      <c r="Z239" s="41"/>
      <c r="AA239" s="41"/>
      <c r="AB239" s="41"/>
      <c r="AC239" s="41"/>
      <c r="AD239" s="41"/>
      <c r="AE239" s="41"/>
      <c r="AF239" s="41"/>
      <c r="AG239" s="41"/>
      <c r="AH239" s="41"/>
      <c r="AI239" s="337"/>
      <c r="AJ239" s="337"/>
      <c r="AK239" s="337"/>
      <c r="AL239" s="337"/>
      <c r="AM239" s="337"/>
      <c r="AN239" s="337"/>
      <c r="AO239" s="337"/>
      <c r="AP239" s="337"/>
      <c r="AQ239" s="337"/>
      <c r="AR239" s="337"/>
      <c r="AS239" s="337"/>
      <c r="AT239" s="337"/>
      <c r="AU239" s="337"/>
      <c r="AV239" s="337"/>
      <c r="AW239" s="337"/>
      <c r="AX239" s="337"/>
      <c r="AY239" s="337"/>
      <c r="AZ239" s="337"/>
      <c r="BA239" s="337"/>
      <c r="BB239" s="337"/>
      <c r="BC239" s="337"/>
      <c r="BD239" s="337"/>
      <c r="BE239" s="337"/>
      <c r="BF239" s="337"/>
      <c r="BG239" s="337"/>
      <c r="BH239" s="337"/>
      <c r="BI239" s="483" t="str">
        <f>IF(E239="","",E239)</f>
        <v/>
      </c>
      <c r="BJ239" s="338" t="str">
        <f>IF(F245="","",F245)</f>
        <v/>
      </c>
      <c r="BK239" s="485">
        <f>AV245</f>
        <v>0</v>
      </c>
      <c r="BL239" s="485">
        <f>IF(BK239="","",BK239*(1-BP239))</f>
        <v>0</v>
      </c>
      <c r="BM239" s="338" t="str">
        <f>AJ245</f>
        <v/>
      </c>
      <c r="BN239" s="338" t="str">
        <f>IF(F252="","",F252)</f>
        <v/>
      </c>
      <c r="BO239" s="483" t="str">
        <f>IF(G252="","",G252)</f>
        <v/>
      </c>
      <c r="BP239" s="484">
        <f>AV252</f>
        <v>0</v>
      </c>
      <c r="BQ239" s="338" t="str">
        <f>IF(F248="","",F248)</f>
        <v/>
      </c>
      <c r="BR239" s="484">
        <f>AV248</f>
        <v>0</v>
      </c>
      <c r="BS239" s="484" t="str">
        <f>AJ248</f>
        <v/>
      </c>
      <c r="BT239" s="338" t="str">
        <f>IF(F247="","",F247)</f>
        <v/>
      </c>
      <c r="BU239" s="484">
        <f>IF(F247=EUconst_NA,"",AV247)</f>
        <v>0</v>
      </c>
      <c r="BV239" s="484" t="str">
        <f>AJ247</f>
        <v/>
      </c>
      <c r="BW239" s="338" t="str">
        <f>IF(F249="","",F249)</f>
        <v/>
      </c>
      <c r="BX239" s="484">
        <f>AV249</f>
        <v>0</v>
      </c>
      <c r="BY239" s="338" t="str">
        <f>IF(F250="","",F250)</f>
        <v/>
      </c>
      <c r="BZ239" s="484">
        <f>AV250</f>
        <v>0</v>
      </c>
      <c r="CA239" s="485" t="str">
        <f>N239</f>
        <v/>
      </c>
      <c r="CB239" s="485" t="str">
        <f>N240</f>
        <v/>
      </c>
      <c r="CC239" s="485" t="str">
        <f>R242</f>
        <v/>
      </c>
      <c r="CD239" s="485" t="str">
        <f>R244</f>
        <v/>
      </c>
      <c r="CE239" s="485" t="str">
        <f>R245</f>
        <v/>
      </c>
      <c r="CF239" s="37"/>
      <c r="CG239" s="339" t="b">
        <v>0</v>
      </c>
    </row>
    <row r="240" spans="1:85" ht="15" customHeight="1" thickBot="1" x14ac:dyDescent="0.3">
      <c r="A240" s="318"/>
      <c r="B240" s="21"/>
      <c r="C240" s="21"/>
      <c r="D240" s="21"/>
      <c r="E240" s="1127" t="str">
        <f>IF(ISBLANK(E239),"",IF(INDEX('B_Polttoainevirtojen tiedot'!$E$67:$E$91,MATCH(U238,'B_Polttoainevirtojen tiedot'!$D$67:$D$91,0))&gt;0,INDEX('B_Polttoainevirtojen tiedot'!$E$67:$E$91,MATCH(U238,'B_Polttoainevirtojen tiedot'!$D$67:$D$91,0)),""))</f>
        <v/>
      </c>
      <c r="F240" s="1128"/>
      <c r="G240" s="1128"/>
      <c r="H240" s="1128"/>
      <c r="I240" s="1128"/>
      <c r="J240" s="1129"/>
      <c r="K240" s="1138" t="str">
        <f>IF(INDEX('B_Polttoainevirtojen tiedot'!$M$100:$M$124,MATCH(U238,'B_Polttoainevirtojen tiedot'!$D$100:$D$124,0))&gt;0,INDEX('B_Polttoainevirtojen tiedot'!$M$100:$M$124,MATCH(U238,'B_Polttoainevirtojen tiedot'!$D$100:$D$124,0)),"")</f>
        <v/>
      </c>
      <c r="L240" s="1139"/>
      <c r="M240" s="340" t="str">
        <f>Translations!$B$375</f>
        <v>CO2 bio:</v>
      </c>
      <c r="N240" s="482" t="str">
        <f>IF(E240="","",BG247)</f>
        <v/>
      </c>
      <c r="O240" s="341" t="str">
        <f>EUconst_tCO2</f>
        <v>tCO2</v>
      </c>
      <c r="P240" s="301"/>
      <c r="Q240" s="335" t="str">
        <f>EUconst_SumBioCO2</f>
        <v>SUM_bioCO2</v>
      </c>
      <c r="R240" s="23"/>
      <c r="S240" s="2"/>
      <c r="T240" s="2"/>
      <c r="U240" s="2"/>
      <c r="V240" s="60"/>
      <c r="W240" s="37"/>
      <c r="X240" s="41"/>
      <c r="Y240" s="20" t="str">
        <f>Translations!$B$143</f>
        <v>Määrittämistasot</v>
      </c>
      <c r="Z240" s="325"/>
      <c r="AA240" s="325"/>
      <c r="AB240" s="325"/>
      <c r="AC240" s="325"/>
      <c r="AD240" s="325"/>
      <c r="AE240" s="20" t="s">
        <v>95</v>
      </c>
      <c r="AF240" s="41"/>
      <c r="AG240" s="342"/>
      <c r="AH240" s="325"/>
      <c r="AI240" s="325"/>
      <c r="AJ240" s="342"/>
      <c r="AK240" s="342"/>
      <c r="AL240" s="337"/>
      <c r="AM240" s="337"/>
      <c r="AN240" s="337"/>
      <c r="AO240" s="337"/>
      <c r="AP240" s="337"/>
      <c r="AQ240" s="20" t="s">
        <v>96</v>
      </c>
      <c r="AR240" s="343"/>
      <c r="AS240" s="343"/>
      <c r="AT240" s="325"/>
      <c r="AU240" s="325"/>
      <c r="AV240" s="325"/>
      <c r="AW240" s="325"/>
      <c r="AX240" s="325"/>
      <c r="AY240" s="325"/>
      <c r="AZ240" s="20" t="s">
        <v>97</v>
      </c>
      <c r="BA240" s="325"/>
      <c r="BB240" s="325"/>
      <c r="BC240" s="325"/>
      <c r="BD240" s="325"/>
      <c r="BE240" s="325"/>
      <c r="BF240" s="20" t="s">
        <v>98</v>
      </c>
      <c r="BG240" s="325"/>
      <c r="BH240" s="325"/>
      <c r="BI240" s="20" t="s">
        <v>99</v>
      </c>
      <c r="BJ240" s="338" t="str">
        <f>Translations!$B$376</f>
        <v>RFA-määrittämistaso</v>
      </c>
      <c r="BK240" s="338" t="str">
        <f>Translations!$B$377</f>
        <v>RFA</v>
      </c>
      <c r="BL240" s="338" t="str">
        <f>Translations!$B$378</f>
        <v>RFA (SF:n jälkeen)</v>
      </c>
      <c r="BM240" s="338" t="str">
        <f>Translations!$B$379</f>
        <v>RFA-yksikkö</v>
      </c>
      <c r="BN240" s="338" t="str">
        <f>Translations!$B$380</f>
        <v>SF-määrittämistaso</v>
      </c>
      <c r="BO240" s="338" t="str">
        <f>Translations!$B$380</f>
        <v>SF-määrittämistaso</v>
      </c>
      <c r="BP240" s="338" t="str">
        <f>Translations!$B$381</f>
        <v>SF</v>
      </c>
      <c r="BQ240" s="338" t="str">
        <f>Translations!$B$382</f>
        <v>EF-määrittämistaso</v>
      </c>
      <c r="BR240" s="338" t="str">
        <f>Translations!$B$383</f>
        <v>EF</v>
      </c>
      <c r="BS240" s="338" t="str">
        <f>Translations!$B$384</f>
        <v>EF-yksikkö</v>
      </c>
      <c r="BT240" s="338" t="str">
        <f>Translations!$B$385</f>
        <v>UCF-määrittämistaso</v>
      </c>
      <c r="BU240" s="338" t="str">
        <f>Translations!$B$386</f>
        <v>UCF</v>
      </c>
      <c r="BV240" s="338" t="str">
        <f>Translations!$B$387</f>
        <v>UCF-yksikkö</v>
      </c>
      <c r="BW240" s="338" t="str">
        <f>Translations!$B$388</f>
        <v>Bio-määrittämistaso</v>
      </c>
      <c r="BX240" s="338" t="s">
        <v>100</v>
      </c>
      <c r="BY240" s="338" t="str">
        <f>Translations!$B$389</f>
        <v>NonSustBio-määrittämistaso</v>
      </c>
      <c r="BZ240" s="338" t="s">
        <v>101</v>
      </c>
      <c r="CA240" s="338" t="str">
        <f>Translations!$B$390</f>
        <v>CO2 fossil</v>
      </c>
      <c r="CB240" s="338" t="str">
        <f>Translations!$B$391</f>
        <v>CO2 bio</v>
      </c>
      <c r="CC240" s="338" t="str">
        <f>Translations!$B$392</f>
        <v>CO2 non-sust</v>
      </c>
      <c r="CD240" s="338" t="s">
        <v>102</v>
      </c>
      <c r="CE240" s="338" t="s">
        <v>103</v>
      </c>
      <c r="CF240" s="325"/>
      <c r="CG240" s="325"/>
    </row>
    <row r="241" spans="1:85" ht="5.15" customHeight="1" thickBot="1" x14ac:dyDescent="0.3">
      <c r="A241" s="318"/>
      <c r="B241" s="21"/>
      <c r="C241" s="21"/>
      <c r="D241" s="21"/>
      <c r="E241" s="21"/>
      <c r="F241" s="21"/>
      <c r="G241" s="21"/>
      <c r="H241" s="22"/>
      <c r="I241" s="22"/>
      <c r="J241" s="22"/>
      <c r="K241" s="22"/>
      <c r="L241" s="22"/>
      <c r="M241" s="22"/>
      <c r="N241" s="22"/>
      <c r="O241" s="323"/>
      <c r="P241" s="301"/>
      <c r="Q241" s="23"/>
      <c r="R241" s="23"/>
      <c r="S241" s="2"/>
      <c r="T241" s="2"/>
      <c r="U241" s="2"/>
      <c r="V241" s="60"/>
      <c r="W241" s="325"/>
      <c r="X241" s="325"/>
      <c r="Y241" s="23"/>
      <c r="Z241" s="325"/>
      <c r="AA241" s="325"/>
      <c r="AB241" s="325"/>
      <c r="AC241" s="325"/>
      <c r="AD241" s="325"/>
      <c r="AE241" s="325"/>
      <c r="AF241" s="41"/>
      <c r="AG241" s="325"/>
      <c r="AH241" s="325"/>
      <c r="AI241" s="325"/>
      <c r="AJ241" s="342"/>
      <c r="AK241" s="342"/>
      <c r="AL241" s="337"/>
      <c r="AM241" s="337"/>
      <c r="AN241" s="337"/>
      <c r="AO241" s="337"/>
      <c r="AP241" s="337"/>
      <c r="AQ241" s="325"/>
      <c r="AR241" s="325"/>
      <c r="AS241" s="325"/>
      <c r="AT241" s="325"/>
      <c r="AU241" s="325"/>
      <c r="AV241" s="325"/>
      <c r="AW241" s="325"/>
      <c r="AX241" s="325"/>
      <c r="AY241" s="325"/>
      <c r="AZ241" s="325"/>
      <c r="BA241" s="325"/>
      <c r="BB241" s="325"/>
      <c r="BC241" s="325"/>
      <c r="BD241" s="325"/>
      <c r="BE241" s="325"/>
      <c r="BF241" s="325"/>
      <c r="BG241" s="325"/>
      <c r="BH241" s="325"/>
      <c r="BI241" s="325"/>
      <c r="BJ241" s="325"/>
      <c r="BK241" s="325"/>
      <c r="BL241" s="325"/>
      <c r="BM241" s="325"/>
      <c r="BN241" s="325"/>
      <c r="BO241" s="325"/>
      <c r="BP241" s="325"/>
      <c r="BQ241" s="325"/>
      <c r="BR241" s="325"/>
      <c r="BS241" s="325"/>
      <c r="BT241" s="325"/>
      <c r="BU241" s="325"/>
      <c r="BV241" s="325"/>
      <c r="BW241" s="325"/>
      <c r="BX241" s="325"/>
      <c r="BY241" s="325"/>
      <c r="BZ241" s="325"/>
      <c r="CA241" s="325"/>
      <c r="CB241" s="325"/>
      <c r="CC241" s="325"/>
      <c r="CD241" s="325"/>
      <c r="CE241" s="325"/>
      <c r="CF241" s="325"/>
      <c r="CG241" s="325"/>
    </row>
    <row r="242" spans="1:85" ht="12.75" customHeight="1" thickBot="1" x14ac:dyDescent="0.3">
      <c r="A242" s="318"/>
      <c r="B242" s="21"/>
      <c r="C242" s="21"/>
      <c r="D242" s="21"/>
      <c r="E242" s="1140" t="str">
        <f>IF(E239="","",HYPERLINK("#JUMP_E_Top",EUconst_FurtherGuidancePoint1))</f>
        <v/>
      </c>
      <c r="F242" s="1140"/>
      <c r="G242" s="1140"/>
      <c r="H242" s="1140"/>
      <c r="I242" s="1140"/>
      <c r="J242" s="1140"/>
      <c r="K242" s="1140"/>
      <c r="L242" s="1140"/>
      <c r="M242" s="1140"/>
      <c r="N242" s="22"/>
      <c r="O242" s="323"/>
      <c r="P242" s="301"/>
      <c r="Q242" s="335" t="str">
        <f>EUconst_SumNonSustBioCO2</f>
        <v>SUM_bioNonSustCO2</v>
      </c>
      <c r="R242" s="500" t="str">
        <f>IF(E240="","",BG248)</f>
        <v/>
      </c>
      <c r="S242" s="2"/>
      <c r="T242" s="2"/>
      <c r="U242" s="2"/>
      <c r="V242" s="325"/>
      <c r="W242" s="325"/>
      <c r="X242" s="325"/>
      <c r="Y242" s="41"/>
      <c r="Z242" s="325"/>
      <c r="AA242" s="325"/>
      <c r="AB242" s="325"/>
      <c r="AC242" s="325"/>
      <c r="AD242" s="325"/>
      <c r="AE242" s="325"/>
      <c r="AF242" s="41"/>
      <c r="AG242" s="325"/>
      <c r="AH242" s="325"/>
      <c r="AI242" s="325"/>
      <c r="AJ242" s="342"/>
      <c r="AK242" s="342"/>
      <c r="AL242" s="337"/>
      <c r="AM242" s="337"/>
      <c r="AN242" s="337"/>
      <c r="AO242" s="337"/>
      <c r="AP242" s="337"/>
      <c r="AQ242" s="325"/>
      <c r="AR242" s="325"/>
      <c r="AS242" s="325"/>
      <c r="AT242" s="325"/>
      <c r="AU242" s="325"/>
      <c r="AV242" s="325"/>
      <c r="AW242" s="325"/>
      <c r="AX242" s="325"/>
      <c r="AY242" s="325"/>
      <c r="AZ242" s="325"/>
      <c r="BA242" s="325"/>
      <c r="BB242" s="325"/>
      <c r="BC242" s="325"/>
      <c r="BD242" s="325"/>
      <c r="BE242" s="325"/>
      <c r="BF242" s="325"/>
      <c r="BG242" s="325"/>
      <c r="BH242" s="325"/>
      <c r="BI242" s="20" t="s">
        <v>104</v>
      </c>
      <c r="BJ242" s="343"/>
      <c r="BK242" s="483" t="str">
        <f>IF(G256="","",G256)</f>
        <v/>
      </c>
      <c r="BL242" s="483" t="str">
        <f>IF(I256="","",I256)</f>
        <v/>
      </c>
      <c r="BM242" s="483" t="str">
        <f>IF(K256="","",K256)</f>
        <v/>
      </c>
      <c r="BN242" s="325"/>
      <c r="BO242" s="325"/>
      <c r="BP242" s="325"/>
      <c r="BQ242" s="325"/>
      <c r="BR242" s="325"/>
      <c r="BS242" s="325"/>
      <c r="BT242" s="330"/>
      <c r="BU242" s="325"/>
      <c r="BV242" s="325"/>
      <c r="BW242" s="325"/>
      <c r="BX242" s="325"/>
      <c r="BY242" s="325"/>
      <c r="BZ242" s="325"/>
      <c r="CA242" s="325"/>
      <c r="CB242" s="325"/>
      <c r="CC242" s="325"/>
      <c r="CD242" s="325"/>
      <c r="CE242" s="325"/>
      <c r="CF242" s="325"/>
      <c r="CG242" s="325"/>
    </row>
    <row r="243" spans="1:85" ht="5.15" customHeight="1" thickBot="1" x14ac:dyDescent="0.3">
      <c r="A243" s="318"/>
      <c r="B243" s="21"/>
      <c r="C243" s="21"/>
      <c r="D243" s="21"/>
      <c r="E243" s="21"/>
      <c r="F243" s="21"/>
      <c r="G243" s="21"/>
      <c r="H243" s="22"/>
      <c r="I243" s="22"/>
      <c r="J243" s="22"/>
      <c r="K243" s="22"/>
      <c r="L243" s="22"/>
      <c r="M243" s="22"/>
      <c r="N243" s="22"/>
      <c r="O243" s="323"/>
      <c r="P243" s="259"/>
      <c r="Q243" s="2"/>
      <c r="R243" s="259"/>
      <c r="S243" s="2"/>
      <c r="T243" s="2"/>
      <c r="U243" s="2"/>
      <c r="V243" s="325"/>
      <c r="W243" s="325"/>
      <c r="X243" s="325"/>
      <c r="Y243" s="23"/>
      <c r="Z243" s="325"/>
      <c r="AA243" s="325"/>
      <c r="AB243" s="325"/>
      <c r="AC243" s="325"/>
      <c r="AD243" s="325"/>
      <c r="AE243" s="325"/>
      <c r="AF243" s="41"/>
      <c r="AG243" s="325"/>
      <c r="AH243" s="325"/>
      <c r="AI243" s="325"/>
      <c r="AJ243" s="342"/>
      <c r="AK243" s="342"/>
      <c r="AL243" s="337"/>
      <c r="AM243" s="337"/>
      <c r="AN243" s="337"/>
      <c r="AO243" s="337"/>
      <c r="AP243" s="337"/>
      <c r="AQ243" s="325"/>
      <c r="AR243" s="325"/>
      <c r="AS243" s="325"/>
      <c r="AT243" s="325"/>
      <c r="AU243" s="325"/>
      <c r="AV243" s="325"/>
      <c r="AW243" s="325"/>
      <c r="AX243" s="325"/>
      <c r="AY243" s="325"/>
      <c r="AZ243" s="325"/>
      <c r="BA243" s="325"/>
      <c r="BB243" s="325"/>
      <c r="BC243" s="325"/>
      <c r="BD243" s="325"/>
      <c r="BE243" s="325"/>
      <c r="BF243" s="325"/>
      <c r="BG243" s="325"/>
      <c r="BH243" s="325"/>
      <c r="BI243" s="325"/>
      <c r="BJ243" s="325"/>
      <c r="BK243" s="325"/>
      <c r="BL243" s="325"/>
      <c r="BM243" s="325"/>
      <c r="BN243" s="325"/>
      <c r="BO243" s="325"/>
      <c r="BP243" s="325"/>
      <c r="BQ243" s="325"/>
      <c r="BR243" s="325"/>
      <c r="BS243" s="325"/>
      <c r="BT243" s="325"/>
      <c r="BU243" s="325"/>
      <c r="BV243" s="325"/>
      <c r="BW243" s="325"/>
      <c r="BX243" s="325"/>
      <c r="BY243" s="325"/>
      <c r="BZ243" s="325"/>
      <c r="CA243" s="325"/>
      <c r="CB243" s="325"/>
      <c r="CC243" s="325"/>
      <c r="CD243" s="325"/>
      <c r="CE243" s="325"/>
      <c r="CF243" s="325"/>
      <c r="CG243" s="325"/>
    </row>
    <row r="244" spans="1:85" ht="12.75" customHeight="1" thickBot="1" x14ac:dyDescent="0.3">
      <c r="A244" s="318"/>
      <c r="B244" s="21"/>
      <c r="C244" s="21"/>
      <c r="D244" s="21"/>
      <c r="E244" s="21"/>
      <c r="F244" s="347" t="str">
        <f>Translations!$B$127</f>
        <v>Määrittämistaso</v>
      </c>
      <c r="G244" s="1141" t="str">
        <f>Translations!$B$393</f>
        <v>määrittämistason kuvaus</v>
      </c>
      <c r="H244" s="1141"/>
      <c r="I244" s="1142" t="str">
        <f>Translations!$B$394</f>
        <v>Yksikkö</v>
      </c>
      <c r="J244" s="1142"/>
      <c r="K244" s="1142" t="str">
        <f>Translations!$B$395</f>
        <v>Arvo</v>
      </c>
      <c r="L244" s="1142"/>
      <c r="M244" s="327" t="str">
        <f>Translations!$B$396</f>
        <v>virhe</v>
      </c>
      <c r="N244" s="22"/>
      <c r="O244" s="323"/>
      <c r="P244" s="611"/>
      <c r="Q244" s="335" t="str">
        <f>EUconst_SumEnergyIN</f>
        <v>SUM_EnergyIN</v>
      </c>
      <c r="R244" s="501" t="str">
        <f>IF(E240="","",BG249)</f>
        <v/>
      </c>
      <c r="S244" s="325"/>
      <c r="T244" s="325"/>
      <c r="U244" s="325"/>
      <c r="V244" s="336" t="s">
        <v>105</v>
      </c>
      <c r="W244" s="325"/>
      <c r="X244" s="325"/>
      <c r="Y244" s="23" t="s">
        <v>106</v>
      </c>
      <c r="Z244" s="23" t="s">
        <v>107</v>
      </c>
      <c r="AA244" s="325"/>
      <c r="AB244" s="325"/>
      <c r="AC244" s="343" t="s">
        <v>108</v>
      </c>
      <c r="AD244" s="325"/>
      <c r="AE244" s="325"/>
      <c r="AF244" s="325" t="s">
        <v>109</v>
      </c>
      <c r="AG244" s="325" t="s">
        <v>110</v>
      </c>
      <c r="AH244" s="23" t="s">
        <v>111</v>
      </c>
      <c r="AI244" s="342" t="s">
        <v>112</v>
      </c>
      <c r="AJ244" s="342" t="s">
        <v>113</v>
      </c>
      <c r="AK244" s="348" t="s">
        <v>114</v>
      </c>
      <c r="AL244" s="337"/>
      <c r="AM244" s="337"/>
      <c r="AN244" s="337"/>
      <c r="AO244" s="337"/>
      <c r="AP244" s="337"/>
      <c r="AQ244" s="325"/>
      <c r="AR244" s="325" t="s">
        <v>109</v>
      </c>
      <c r="AS244" s="325" t="s">
        <v>110</v>
      </c>
      <c r="AT244" s="349" t="s">
        <v>115</v>
      </c>
      <c r="AU244" s="342" t="s">
        <v>116</v>
      </c>
      <c r="AV244" s="342" t="s">
        <v>117</v>
      </c>
      <c r="AW244" s="348" t="s">
        <v>114</v>
      </c>
      <c r="AX244" s="348" t="s">
        <v>114</v>
      </c>
      <c r="AY244" s="325"/>
      <c r="AZ244" s="325"/>
      <c r="BA244" s="325"/>
      <c r="BB244" s="325" t="s">
        <v>118</v>
      </c>
      <c r="BC244" s="325"/>
      <c r="BD244" s="325"/>
      <c r="BE244" s="325"/>
      <c r="BF244" s="325"/>
      <c r="BG244" s="330" t="str">
        <f>EUconst_Fuel</f>
        <v>Poltto</v>
      </c>
      <c r="BH244" s="325"/>
      <c r="BI244" s="325"/>
      <c r="BJ244" s="325"/>
      <c r="BK244" s="325"/>
      <c r="BL244" s="325"/>
      <c r="BM244" s="325"/>
      <c r="BN244" s="325"/>
      <c r="BO244" s="325"/>
      <c r="BP244" s="325"/>
      <c r="BQ244" s="325"/>
      <c r="BR244" s="325"/>
      <c r="BS244" s="325"/>
      <c r="BT244" s="325"/>
      <c r="BU244" s="325"/>
      <c r="BV244" s="325"/>
      <c r="BW244" s="325"/>
      <c r="BX244" s="325"/>
      <c r="BY244" s="325"/>
      <c r="BZ244" s="325"/>
      <c r="CA244" s="325"/>
      <c r="CB244" s="325"/>
      <c r="CC244" s="325"/>
      <c r="CD244" s="325"/>
      <c r="CE244" s="325"/>
      <c r="CF244" s="325"/>
      <c r="CG244" s="330" t="s">
        <v>94</v>
      </c>
    </row>
    <row r="245" spans="1:85" ht="12.75" customHeight="1" thickBot="1" x14ac:dyDescent="0.3">
      <c r="A245" s="318"/>
      <c r="B245" s="21"/>
      <c r="C245" s="344"/>
      <c r="D245" s="345" t="str">
        <f>Translations!$B$356</f>
        <v>Polttoaineen määrä:</v>
      </c>
      <c r="E245" s="350"/>
      <c r="F245" s="351"/>
      <c r="G245" s="1120" t="str">
        <f>IF(OR(ISBLANK(F245),F245=EUconst_NoTier),"",IF(Z245=0,EUconst_NA,IF(ISERROR(Z245),"",Z245)))</f>
        <v/>
      </c>
      <c r="H245" s="1122"/>
      <c r="I245" s="352" t="str">
        <f>IF(J245&lt;&gt;"","",AI245)</f>
        <v/>
      </c>
      <c r="J245" s="353"/>
      <c r="K245" s="1143"/>
      <c r="L245" s="1144"/>
      <c r="M245" s="486" t="str">
        <f>IF(AND(E240&lt;&gt;"",OR(F245="",COUNT(K245)=0),Y245&lt;&gt;EUconst_NA),EUconst_ERR_Incomplete,"")</f>
        <v/>
      </c>
      <c r="N245" s="22"/>
      <c r="O245" s="323"/>
      <c r="P245" s="612"/>
      <c r="Q245" s="335" t="str">
        <f>EUconst_SumBioEnergyIN</f>
        <v>SUM_BioEnergyIN</v>
      </c>
      <c r="R245" s="501" t="str">
        <f>IF(E240="","",BG250)</f>
        <v/>
      </c>
      <c r="S245" s="325"/>
      <c r="T245" s="355" t="str">
        <f>EUconst_CNTR_ActivityData&amp;E240</f>
        <v>ActivityData_</v>
      </c>
      <c r="U245" s="23"/>
      <c r="V245" s="355" t="str">
        <f>IF(E239="","",INDEX('B_Polttoainevirtojen tiedot'!$I$67:$I$91,MATCH(U238,'B_Polttoainevirtojen tiedot'!$D$67:$D$91,0)))</f>
        <v/>
      </c>
      <c r="W245" s="342" t="s">
        <v>121</v>
      </c>
      <c r="X245" s="23"/>
      <c r="Y245" s="356" t="str">
        <f>IF(E240="","",INDEX(EUwideConstants!$P$153:$P$180,MATCH(T245,EUwideConstants!$S$153:$S$180,0)))</f>
        <v/>
      </c>
      <c r="Z245" s="357" t="str">
        <f>IF(ISBLANK(F245),"",IF(F245=EUconst_NA,"",INDEX(EUwideConstants!$H:$O,MATCH(T245,EUwideConstants!$S:$S,0),MATCH(F245,CNTR_TierList,0))))</f>
        <v/>
      </c>
      <c r="AA245" s="358" t="s">
        <v>111</v>
      </c>
      <c r="AB245" s="342"/>
      <c r="AC245" s="339" t="b">
        <f>E239&lt;&gt;""</f>
        <v>0</v>
      </c>
      <c r="AD245" s="325"/>
      <c r="AE245" s="359" t="str">
        <f>EUconst_CNTR_ActivityData&amp;EUconst_Unit</f>
        <v>ActivityData_Yksikkö</v>
      </c>
      <c r="AF245" s="360" t="str">
        <f>IF(AC245=TRUE, IF(COUNTIF(MSPara_SourceStreamCategory,V245)=0,"",INDEX(MSPara_CalcFactorsMatrix,MATCH(V245,MSPara_SourceStreamCategory,0),MATCH(AE245&amp;"_"&amp;2,MSPara_CalcFactors,0))),"")</f>
        <v/>
      </c>
      <c r="AG245" s="361" t="str">
        <f>IF(AC245=TRUE, IF(COUNTIF(MSPara_SourceStreamCategory,V245)=0,"",INDEX(MSPara_CalcFactorsMatrix,MATCH(V245,MSPara_SourceStreamCategory,0),MATCH(AE245&amp;"_"&amp;1,MSPara_CalcFactors,0))),"")</f>
        <v/>
      </c>
      <c r="AH245" s="339" t="str">
        <f>IF(OR(AF245="",AF245=EUconst_NA),IF(OR(AG245=EUconst_NA,AG245=""),"",AG245),AF245)</f>
        <v/>
      </c>
      <c r="AI245" s="356" t="str">
        <f>IF(AC245=TRUE,IF(AH245="",EUconst_t,AH245),"")</f>
        <v/>
      </c>
      <c r="AJ245" s="362" t="str">
        <f>IF(J245="",AI245,J245)</f>
        <v/>
      </c>
      <c r="AK245" s="363" t="b">
        <f>AND(E239&lt;&gt;"",J245&lt;&gt;"")</f>
        <v>0</v>
      </c>
      <c r="AL245" s="337"/>
      <c r="AM245" s="404" t="s">
        <v>122</v>
      </c>
      <c r="AN245" s="403" t="str">
        <f>AJ245</f>
        <v/>
      </c>
      <c r="AO245" s="337"/>
      <c r="AP245" s="337"/>
      <c r="AQ245" s="355" t="str">
        <f>EUconst_CNTR_ActivityData&amp;EUconst_Value</f>
        <v>ActivityData_Arvo</v>
      </c>
      <c r="AR245" s="343"/>
      <c r="AS245" s="343"/>
      <c r="AT245" s="339" t="b">
        <f>AND(AND(AH245&lt;&gt;"",AJ245&lt;&gt;""),AJ245=AH245)</f>
        <v>0</v>
      </c>
      <c r="AU245" s="325"/>
      <c r="AV245" s="339">
        <f>IF(Y245=EUconst_NA,0,IF(COUNT(K245:K245)=0,0,IF(K245="",#REF!,K245)))</f>
        <v>0</v>
      </c>
      <c r="AW245" s="346" t="b">
        <f>AND(AC245=TRUE,OR(K245&lt;&gt;"",AU245=""))</f>
        <v>0</v>
      </c>
      <c r="AX245" s="346" t="b">
        <f>AND(AC245=TRUE,NOT(AW245))</f>
        <v>0</v>
      </c>
      <c r="AY245" s="325"/>
      <c r="AZ245" s="325" t="s">
        <v>123</v>
      </c>
      <c r="BA245" s="325" t="s">
        <v>124</v>
      </c>
      <c r="BB245" s="346"/>
      <c r="BC245" s="325" t="s">
        <v>125</v>
      </c>
      <c r="BD245" s="325"/>
      <c r="BE245" s="325"/>
      <c r="BF245" s="400" t="str">
        <f>Translations!$B$390</f>
        <v>CO2 fossil</v>
      </c>
      <c r="BG245" s="495" t="str">
        <f>IF(COUNTIF(AO248:AO249,TRUE)=0,"",AV245*IF(AO248,1,AV247*AN249)*AV248*(1-AV249)*AV252)</f>
        <v/>
      </c>
      <c r="BH245" s="325"/>
      <c r="BI245" s="325"/>
      <c r="BJ245" s="325"/>
      <c r="BK245" s="325"/>
      <c r="BL245" s="325"/>
      <c r="BM245" s="325"/>
      <c r="BN245" s="325"/>
      <c r="BO245" s="325"/>
      <c r="BP245" s="325"/>
      <c r="BQ245" s="325"/>
      <c r="BR245" s="325"/>
      <c r="BS245" s="325"/>
      <c r="BT245" s="325"/>
      <c r="BU245" s="325"/>
      <c r="BV245" s="325"/>
      <c r="BW245" s="325"/>
      <c r="BX245" s="325"/>
      <c r="BY245" s="325"/>
      <c r="BZ245" s="325"/>
      <c r="CA245" s="325"/>
      <c r="CB245" s="325"/>
      <c r="CC245" s="325"/>
      <c r="CD245" s="325"/>
      <c r="CE245" s="325"/>
      <c r="CF245" s="325"/>
      <c r="CG245" s="346" t="b">
        <v>0</v>
      </c>
    </row>
    <row r="246" spans="1:85" ht="5.15" customHeight="1" thickBot="1" x14ac:dyDescent="0.3">
      <c r="A246" s="318"/>
      <c r="B246" s="21"/>
      <c r="C246" s="344"/>
      <c r="D246" s="188"/>
      <c r="E246" s="22"/>
      <c r="F246" s="22"/>
      <c r="G246" s="22"/>
      <c r="H246" s="22" t="str">
        <f>Translations!$B$397</f>
        <v xml:space="preserve"> </v>
      </c>
      <c r="I246" s="364"/>
      <c r="J246" s="364"/>
      <c r="K246" s="22"/>
      <c r="L246" s="22"/>
      <c r="M246" s="487"/>
      <c r="N246" s="22"/>
      <c r="O246" s="323"/>
      <c r="P246" s="301"/>
      <c r="Q246" s="23"/>
      <c r="R246" s="23"/>
      <c r="S246" s="325"/>
      <c r="T246" s="277"/>
      <c r="U246" s="23"/>
      <c r="V246" s="325"/>
      <c r="W246" s="325"/>
      <c r="X246" s="23"/>
      <c r="Y246" s="330"/>
      <c r="Z246" s="325"/>
      <c r="AA246" s="325"/>
      <c r="AB246" s="325"/>
      <c r="AC246" s="325"/>
      <c r="AD246" s="325"/>
      <c r="AE246" s="325"/>
      <c r="AF246" s="325"/>
      <c r="AG246" s="325"/>
      <c r="AH246" s="325"/>
      <c r="AI246" s="325"/>
      <c r="AJ246" s="325"/>
      <c r="AK246" s="325"/>
      <c r="AL246" s="337"/>
      <c r="AM246" s="337"/>
      <c r="AN246" s="337"/>
      <c r="AO246" s="337"/>
      <c r="AP246" s="337"/>
      <c r="AQ246" s="325"/>
      <c r="AR246" s="325"/>
      <c r="AS246" s="325"/>
      <c r="AT246" s="325"/>
      <c r="AU246" s="325"/>
      <c r="AV246" s="325"/>
      <c r="AW246" s="325"/>
      <c r="AX246" s="325"/>
      <c r="AY246" s="325"/>
      <c r="AZ246" s="325"/>
      <c r="BA246" s="325"/>
      <c r="BB246" s="325"/>
      <c r="BC246" s="325"/>
      <c r="BD246" s="325"/>
      <c r="BE246" s="325"/>
      <c r="BF246" s="325"/>
      <c r="BG246" s="496"/>
      <c r="BH246" s="325"/>
      <c r="BI246" s="325"/>
      <c r="BJ246" s="325"/>
      <c r="BK246" s="325"/>
      <c r="BL246" s="325"/>
      <c r="BM246" s="325"/>
      <c r="BN246" s="325"/>
      <c r="BO246" s="325"/>
      <c r="BP246" s="325"/>
      <c r="BQ246" s="325"/>
      <c r="BR246" s="325"/>
      <c r="BS246" s="325"/>
      <c r="BT246" s="325"/>
      <c r="BU246" s="325"/>
      <c r="BV246" s="325"/>
      <c r="BW246" s="325"/>
      <c r="BX246" s="325"/>
      <c r="BY246" s="325"/>
      <c r="BZ246" s="325"/>
      <c r="CA246" s="325"/>
      <c r="CB246" s="325"/>
      <c r="CC246" s="325"/>
      <c r="CD246" s="325"/>
      <c r="CE246" s="325"/>
      <c r="CF246" s="325"/>
      <c r="CG246" s="330"/>
    </row>
    <row r="247" spans="1:85" ht="12.75" customHeight="1" thickBot="1" x14ac:dyDescent="0.3">
      <c r="A247" s="318"/>
      <c r="B247" s="21"/>
      <c r="C247" s="344"/>
      <c r="D247" s="345" t="str">
        <f>Translations!$B$360</f>
        <v>Yksikön muuntokerroin:</v>
      </c>
      <c r="E247" s="350"/>
      <c r="F247" s="443"/>
      <c r="G247" s="1120" t="str">
        <f>IF(OR(ISBLANK(F247),F247=EUconst_NoTier),"",IF(Z247=0,EUconst_NotApplicable,IF(ISERROR(Z247),"",Z247)))</f>
        <v/>
      </c>
      <c r="H247" s="1122"/>
      <c r="I247" s="444" t="str">
        <f>IF(J247&lt;&gt;"","",AI247)</f>
        <v/>
      </c>
      <c r="J247" s="445"/>
      <c r="K247" s="632" t="str">
        <f>IF(L247="",AU247,"")</f>
        <v/>
      </c>
      <c r="L247" s="633"/>
      <c r="M247" s="486" t="str">
        <f>IF(AND(E240&lt;&gt;"",OR(F247="",COUNT(K247:L247)=0),Y247&lt;&gt;EUconst_NA),EUconst_ERR_Incomplete,IF(COUNTIF(BB247:BD247,TRUE)&gt;0,EUconst_ERR_Inconsistent,""))</f>
        <v/>
      </c>
      <c r="N247" s="752"/>
      <c r="O247" s="323"/>
      <c r="P247" s="301"/>
      <c r="Q247" s="23"/>
      <c r="R247" s="23"/>
      <c r="S247" s="325"/>
      <c r="T247" s="365" t="str">
        <f>EUconst_CNTR_UCF&amp;E240</f>
        <v>UCF_</v>
      </c>
      <c r="U247" s="23"/>
      <c r="V247" s="366" t="str">
        <f>V248</f>
        <v/>
      </c>
      <c r="W247" s="325"/>
      <c r="X247" s="23"/>
      <c r="Y247" s="448" t="str">
        <f>IF(E240="","",IF(OR(F247=EUconst_NA,W247=TRUE),EUconst_NA,INDEX(EUwideConstants!$P$153:$P$180,MATCH(T247,EUwideConstants!$S$153:$S$180,0))))</f>
        <v/>
      </c>
      <c r="Z247" s="471" t="str">
        <f>IF(ISBLANK(F247),"",IF(F247=EUconst_NA,"",INDEX(EUwideConstants!$H:$O,MATCH(T247,EUwideConstants!$S:$S,0),MATCH(F247,CNTR_TierList,0))))</f>
        <v/>
      </c>
      <c r="AA247" s="449" t="str">
        <f>IF(COUNTIF(EUconst_DefaultValues,Z247)&gt;0,MATCH(Z247,EUconst_DefaultValues,0),"")</f>
        <v/>
      </c>
      <c r="AB247" s="325"/>
      <c r="AC247" s="367" t="b">
        <f>AND(AC245,Y247&lt;&gt;EUconst_NA)</f>
        <v>0</v>
      </c>
      <c r="AD247" s="325"/>
      <c r="AE247" s="359" t="str">
        <f>EUconst_CNTR_UCF&amp;EUconst_Unit</f>
        <v>UCF_Yksikkö</v>
      </c>
      <c r="AF247" s="368" t="str">
        <f>IF(AC247=TRUE, IF(COUNTIF(MSPara_SourceStreamCategory,V247)=0,"",INDEX(MSPara_CalcFactorsMatrix,MATCH(V247,MSPara_SourceStreamCategory,0),MATCH(AE247&amp;"_"&amp;2,MSPara_CalcFactors,0))),"")</f>
        <v/>
      </c>
      <c r="AG247" s="372" t="str">
        <f>IF(AC247=TRUE, IF(COUNTIF(MSPara_SourceStreamCategory,V247)=0,"",INDEX(MSPara_CalcFactorsMatrix,MATCH(V247,MSPara_SourceStreamCategory,0),MATCH(AE247&amp;"_"&amp;1,MSPara_CalcFactors,0))),"")</f>
        <v/>
      </c>
      <c r="AH247" s="367" t="str">
        <f>IF(AA247="","",INDEX(AF247:AG247,3-AA247))</f>
        <v/>
      </c>
      <c r="AI247" s="367" t="str">
        <f>IF(AC247=TRUE,IF(OR(AH247="",AH247=EUconst_NA),EUconst_GJ&amp;"/"&amp;AJ245,AH247),"")</f>
        <v/>
      </c>
      <c r="AJ247" s="367" t="str">
        <f>IF(J247="",AI247,J247)</f>
        <v/>
      </c>
      <c r="AK247" s="366" t="b">
        <f>AND(E239&lt;&gt;"",J247&lt;&gt;"")</f>
        <v>0</v>
      </c>
      <c r="AL247" s="337"/>
      <c r="AM247" s="404" t="s">
        <v>127</v>
      </c>
      <c r="AN247" s="403" t="str">
        <f>IF(AJ247="",EUconst_NA,IF(AN245=EUconst_TJ,EUconst_TJ,INDEX(EUwideConstants!$C$124:$G$128,MATCH(AN245,RFAUnits,0),MATCH(AJ247,UCFUnits,0))))</f>
        <v>ei sovellettavissa</v>
      </c>
      <c r="AO247" s="337"/>
      <c r="AP247" s="337"/>
      <c r="AQ247" s="454" t="str">
        <f>EUconst_CNTR_UCF&amp;EUconst_Value</f>
        <v>UCF_Arvo</v>
      </c>
      <c r="AR247" s="475" t="str">
        <f>IF(AC247=TRUE,IF(COUNTIF(MSPara_SourceStreamCategory,V247)=0,"",INDEX(MSPara_CalcFactorsMatrix,MATCH(V247,MSPara_SourceStreamCategory,0),MATCH(AQ247&amp;"_"&amp;2,MSPara_CalcFactors,0))),"")</f>
        <v/>
      </c>
      <c r="AS247" s="371" t="str">
        <f>IF(AC247=TRUE,IF(COUNTIF(MSPara_SourceStreamCategory,V247)=0,"",INDEX(MSPara_CalcFactorsMatrix,MATCH(V247,MSPara_SourceStreamCategory,0),MATCH(AQ247&amp;"_"&amp;1,MSPara_CalcFactors,0))),"")</f>
        <v/>
      </c>
      <c r="AT247" s="369" t="b">
        <f>AND(AND(AH247&lt;&gt;"",AJ247&lt;&gt;""),AJ247=AH247)</f>
        <v>0</v>
      </c>
      <c r="AU247" s="381" t="str">
        <f>IF(AND(AA247&lt;&gt;"",AT247=TRUE),IF(OR(INDEX(AR247:AS247,3-AA247)=EUconst_NA,INDEX(AR247:AS247,3-AA247)=0),"",INDEX(AR247:AS247,3-AA247)),"")</f>
        <v/>
      </c>
      <c r="AV247" s="367">
        <f>IF(AC247=TRUE,IF(COUNT(K247:L247)=0,0,IF(L247="",K247,L247)),0)</f>
        <v>0</v>
      </c>
      <c r="AW247" s="366" t="b">
        <f>AND(AC247=TRUE,OR(AND(F247&lt;&gt;"",NOT(ISNUMBER(AA247))),L247&lt;&gt;"",F247="",AU247=""))</f>
        <v>0</v>
      </c>
      <c r="AX247" s="370" t="b">
        <f>AND(AC247=TRUE,NOT(AW247))</f>
        <v>0</v>
      </c>
      <c r="AY247" s="325"/>
      <c r="AZ247" s="373" t="b">
        <f>AND(ISNUMBER(AA247),AU247="")</f>
        <v>0</v>
      </c>
      <c r="BA247" s="399" t="b">
        <f>AND(ISNUMBER(AA247),AU247&lt;&gt;AV247)</f>
        <v>0</v>
      </c>
      <c r="BB247" s="366" t="b">
        <f>AND(E240&lt;&gt;"",F247&lt;&gt;EUconst_NA,AN247=EUconst_NA)</f>
        <v>0</v>
      </c>
      <c r="BC247" s="366" t="b">
        <f>AND(L247&lt;&gt;"",Y247=EUconst_NA)</f>
        <v>0</v>
      </c>
      <c r="BD247" s="325"/>
      <c r="BE247" s="325"/>
      <c r="BF247" s="373" t="s">
        <v>128</v>
      </c>
      <c r="BG247" s="497" t="str">
        <f>IF(COUNTIF(AO248:AO249,TRUE)=0,"",AV245*IF(AO248,1,AV247*AN249)*AV248*AV249*AV252)</f>
        <v/>
      </c>
      <c r="BH247" s="325"/>
      <c r="BI247" s="325"/>
      <c r="BJ247" s="325"/>
      <c r="BK247" s="325"/>
      <c r="BL247" s="325"/>
      <c r="BM247" s="325"/>
      <c r="BN247" s="325"/>
      <c r="BO247" s="325"/>
      <c r="BP247" s="325"/>
      <c r="BQ247" s="325"/>
      <c r="BR247" s="325"/>
      <c r="BS247" s="325"/>
      <c r="BT247" s="325"/>
      <c r="BU247" s="325"/>
      <c r="BV247" s="325"/>
      <c r="BW247" s="325"/>
      <c r="BX247" s="325"/>
      <c r="BY247" s="325"/>
      <c r="BZ247" s="325"/>
      <c r="CA247" s="325"/>
      <c r="CB247" s="325"/>
      <c r="CC247" s="325"/>
      <c r="CD247" s="325"/>
      <c r="CE247" s="325"/>
      <c r="CF247" s="325"/>
      <c r="CG247" s="375" t="b">
        <f>OR(CG245,Y247=EUconst_NA)</f>
        <v>0</v>
      </c>
    </row>
    <row r="248" spans="1:85" ht="12.75" customHeight="1" thickBot="1" x14ac:dyDescent="0.3">
      <c r="A248" s="318"/>
      <c r="B248" s="21"/>
      <c r="C248" s="344"/>
      <c r="D248" s="345" t="str">
        <f>Translations!$B$358</f>
        <v>Päästökerroin (alustava):</v>
      </c>
      <c r="E248" s="350"/>
      <c r="F248" s="624"/>
      <c r="G248" s="1120" t="str">
        <f>IF(OR(ISBLANK(F248),F248=EUconst_NoTier),"",IF(Z248=0,EUconst_NotApplicable,IF(ISERROR(Z248),"",Z248)))</f>
        <v/>
      </c>
      <c r="H248" s="1121"/>
      <c r="I248" s="625" t="str">
        <f>IF(J248&lt;&gt;"","",AI248)</f>
        <v/>
      </c>
      <c r="J248" s="631"/>
      <c r="K248" s="634" t="str">
        <f>IF(L248="",AU248,"")</f>
        <v/>
      </c>
      <c r="L248" s="754"/>
      <c r="M248" s="486" t="str">
        <f>IF(AND(E240&lt;&gt;"",OR(F248="",COUNT(K248:L248)=0),Y248&lt;&gt;EUconst_NA),EUconst_ERR_Incomplete,IF(COUNTIF(BB248:BD248,TRUE)&gt;0,EUconst_ERR_Inconsistent,""))</f>
        <v/>
      </c>
      <c r="N248" s="753"/>
      <c r="O248" s="323"/>
      <c r="P248" s="301"/>
      <c r="Q248" s="23"/>
      <c r="R248" s="23"/>
      <c r="S248" s="325"/>
      <c r="T248" s="374" t="str">
        <f>EUconst_CNTR_EF&amp;E240</f>
        <v>EF_</v>
      </c>
      <c r="U248" s="23"/>
      <c r="V248" s="375" t="str">
        <f>V245</f>
        <v/>
      </c>
      <c r="W248" s="325"/>
      <c r="X248" s="23"/>
      <c r="Y248" s="450" t="str">
        <f>IF(E240="","",IF(OR(F248=EUconst_NA,W248=TRUE),EUconst_NA,INDEX(EUwideConstants!$P$153:$P$180,MATCH(T248,EUwideConstants!$S$153:$S$180,0))))</f>
        <v/>
      </c>
      <c r="Z248" s="472" t="str">
        <f>IF(ISBLANK(F248),"",IF(F248=EUconst_NA,"",INDEX(EUwideConstants!$H:$O,MATCH(T248,EUwideConstants!$S:$S,0),MATCH(F248,CNTR_TierList,0))))</f>
        <v/>
      </c>
      <c r="AA248" s="451" t="str">
        <f>IF(COUNTIF(EUconst_DefaultValues,Z248)&gt;0,MATCH(Z248,EUconst_DefaultValues,0),"")</f>
        <v/>
      </c>
      <c r="AB248" s="325"/>
      <c r="AC248" s="376" t="b">
        <f>AND(AC245,Y248&lt;&gt;EUconst_NA)</f>
        <v>0</v>
      </c>
      <c r="AD248" s="325"/>
      <c r="AE248" s="377" t="str">
        <f>EUconst_CNTR_EF&amp;EUconst_Unit</f>
        <v>EF_Yksikkö</v>
      </c>
      <c r="AF248" s="378" t="str">
        <f>IF(AC248=TRUE, IF(COUNTIF(MSPara_SourceStreamCategory,V248)=0,"",INDEX(MSPara_CalcFactorsMatrix,MATCH(V248,MSPara_SourceStreamCategory,0),MATCH(AE248&amp;"_"&amp;2,MSPara_CalcFactors,0))),"")</f>
        <v/>
      </c>
      <c r="AG248" s="464" t="str">
        <f>IF(AC248=TRUE, IF(COUNTIF(MSPara_SourceStreamCategory,V248)=0,"",INDEX(MSPara_CalcFactorsMatrix,MATCH(V248,MSPara_SourceStreamCategory,0),MATCH(AE248&amp;"_"&amp;1,MSPara_CalcFactors,0))),"")</f>
        <v/>
      </c>
      <c r="AH248" s="376" t="str">
        <f>IF(AA248="","",INDEX(AF248:AG248,3-AA248))</f>
        <v/>
      </c>
      <c r="AI248" s="376" t="str">
        <f>IF(AC248=TRUE,IF(OR(AH248="",AH248=EUconst_NA),EUconst_tCO2&amp;"/"&amp;IF(AN247=EUconst_NA,AN245,IF(AN247=EUconst_GJ,EUconst_TJ,AN247)),AH248),"")</f>
        <v/>
      </c>
      <c r="AJ248" s="376" t="str">
        <f>IF(J248="",AI248,J248)</f>
        <v/>
      </c>
      <c r="AK248" s="375" t="b">
        <f>AND(E240&lt;&gt;"",J248&lt;&gt;"")</f>
        <v>0</v>
      </c>
      <c r="AL248" s="337"/>
      <c r="AM248" s="404" t="s">
        <v>130</v>
      </c>
      <c r="AN248" s="403" t="str">
        <f>IF(COUNTIF(RFAUnits,AN245)=0,EUconst_NA,INDEX(EUwideConstants!$C$139:$H$143,MATCH(AJ248,EFUnits,0),MATCH(AN245,EUwideConstants!$C$138:$H$138,0)))</f>
        <v>ei sovellettavissa</v>
      </c>
      <c r="AO248" s="403" t="b">
        <f>AN248&lt;&gt;EUconst_NA</f>
        <v>0</v>
      </c>
      <c r="AP248" s="337"/>
      <c r="AQ248" s="455" t="str">
        <f>EUconst_CNTR_EF&amp;EUconst_Value</f>
        <v>EF_Arvo</v>
      </c>
      <c r="AR248" s="476" t="str">
        <f>IF(AC248=TRUE,IF(COUNTIF(MSPara_SourceStreamCategory,V248)=0,"",INDEX(MSPara_CalcFactorsMatrix,MATCH(V248,MSPara_SourceStreamCategory,0),MATCH(AQ248&amp;"_"&amp;2,MSPara_CalcFactors,0))),"")</f>
        <v/>
      </c>
      <c r="AS248" s="383" t="str">
        <f>IF(AC248=TRUE,IF(COUNTIF(MSPara_SourceStreamCategory,V248)=0,"",INDEX(MSPara_CalcFactorsMatrix,MATCH(V248,MSPara_SourceStreamCategory,0),MATCH(AQ248&amp;"_"&amp;1,MSPara_CalcFactors,0))),"")</f>
        <v/>
      </c>
      <c r="AT248" s="456" t="b">
        <f>AND(AND(AH248&lt;&gt;"",AJ248&lt;&gt;""),AJ248=AH248)</f>
        <v>0</v>
      </c>
      <c r="AU248" s="334" t="str">
        <f>IF(AND(AA248&lt;&gt;"",AT248=TRUE),IF(OR(INDEX(AR248:AS248,3-AA248)=EUconst_NA,INDEX(AR248:AS248,3-AA248)=0),"",INDEX(AR248:AS248,3-AA248)),"")</f>
        <v/>
      </c>
      <c r="AV248" s="376">
        <f>IF(AC248=TRUE,IF(COUNT(K248:L248)=0,0,IF(L248="",K248,L248)),0)</f>
        <v>0</v>
      </c>
      <c r="AW248" s="375" t="b">
        <f>AND(AC248=TRUE,OR(AND(F248&lt;&gt;"",NOT(ISNUMBER(AA248))),L248&lt;&gt;"",F248="",AU248=""))</f>
        <v>0</v>
      </c>
      <c r="AX248" s="457" t="b">
        <f>AND(AC248=TRUE,NOT(AW248))</f>
        <v>0</v>
      </c>
      <c r="AY248" s="325"/>
      <c r="AZ248" s="379" t="b">
        <f>AND(ISNUMBER(AA248),AU248="")</f>
        <v>0</v>
      </c>
      <c r="BA248" s="380" t="b">
        <f>AND(ISNUMBER(AA248),AU248&lt;&gt;AV248)</f>
        <v>0</v>
      </c>
      <c r="BB248" s="382" t="b">
        <f>AND(E240&lt;&gt;"",COUNTIF(AO248:AO249,TRUE)=0)</f>
        <v>0</v>
      </c>
      <c r="BC248" s="375" t="b">
        <f>AND(L248&lt;&gt;"",Y248=EUconst_NA)</f>
        <v>0</v>
      </c>
      <c r="BD248" s="325"/>
      <c r="BE248" s="325"/>
      <c r="BF248" s="379" t="s">
        <v>131</v>
      </c>
      <c r="BG248" s="498" t="str">
        <f>IF(COUNTIF(AO248:AO249,TRUE)=0,"",AV245*IF(AO248,1,AV247*AN249)*AV248*AV250*AV252)</f>
        <v/>
      </c>
      <c r="BH248" s="325"/>
      <c r="BI248" s="325"/>
      <c r="BJ248" s="325"/>
      <c r="BK248" s="325"/>
      <c r="BL248" s="325"/>
      <c r="BM248" s="325"/>
      <c r="BN248" s="325"/>
      <c r="BO248" s="325"/>
      <c r="BP248" s="325"/>
      <c r="BQ248" s="325"/>
      <c r="BR248" s="325"/>
      <c r="BS248" s="325"/>
      <c r="BT248" s="325"/>
      <c r="BU248" s="325"/>
      <c r="BV248" s="325"/>
      <c r="BW248" s="325"/>
      <c r="BX248" s="325"/>
      <c r="BY248" s="325"/>
      <c r="BZ248" s="325"/>
      <c r="CA248" s="325"/>
      <c r="CB248" s="325"/>
      <c r="CC248" s="325"/>
      <c r="CD248" s="325"/>
      <c r="CE248" s="325"/>
      <c r="CF248" s="325"/>
      <c r="CG248" s="366" t="b">
        <f>OR(CG245,Y248=EUconst_NA)</f>
        <v>0</v>
      </c>
    </row>
    <row r="249" spans="1:85" ht="12.75" customHeight="1" x14ac:dyDescent="0.25">
      <c r="A249" s="318"/>
      <c r="B249" s="21"/>
      <c r="C249" s="344"/>
      <c r="D249" s="345" t="str">
        <f>Translations!$B$362</f>
        <v>Biomassaosuus:</v>
      </c>
      <c r="E249" s="350"/>
      <c r="F249" s="624"/>
      <c r="G249" s="1120" t="str">
        <f>IF(OR(ISBLANK(F249),F249=EUconst_NoTier),"",IF(Z249=0,EUconst_NotApplicable,IF(ISERROR(Z249),"",Z249)))</f>
        <v/>
      </c>
      <c r="H249" s="1122"/>
      <c r="I249" s="626" t="str">
        <f>IF(OR(AC249=FALSE,Y249=EUconst_NA),"","-")</f>
        <v/>
      </c>
      <c r="J249" s="446"/>
      <c r="K249" s="635" t="str">
        <f>IF(L249="",AU249,"")</f>
        <v/>
      </c>
      <c r="L249" s="627"/>
      <c r="M249" s="486" t="str">
        <f>IF(AND(E240&lt;&gt;"",OR(F249="",COUNT(K249:L249)=0),Y249&lt;&gt;EUconst_NA),EUconst_ERR_Incomplete,IF(COUNTIF(BB249:BD249,TRUE)&gt;0,EUconst_ERR_Inconsistent,""))</f>
        <v/>
      </c>
      <c r="O249" s="323"/>
      <c r="P249" s="612"/>
      <c r="Q249" s="354"/>
      <c r="R249" s="354"/>
      <c r="S249" s="325"/>
      <c r="T249" s="374" t="str">
        <f>EUconst_CNTR_BiomassContent&amp;E240</f>
        <v>BioC_</v>
      </c>
      <c r="U249" s="23"/>
      <c r="V249" s="375" t="str">
        <f>V247</f>
        <v/>
      </c>
      <c r="W249" s="366" t="e">
        <f>IF(COUNTIF(MSPara_SourceStreamCategory,V249)=0,"",INDEX(MSPara_IsFossil,MATCH(V249,MSPara_SourceStreamCategory,0)))</f>
        <v>#N/A</v>
      </c>
      <c r="X249" s="23"/>
      <c r="Y249" s="450" t="str">
        <f>IF(E240="","",IF(OR(F249=EUconst_NA,W249=TRUE),EUconst_NA,INDEX(EUwideConstants!$P$153:$P$180,MATCH(T249,EUwideConstants!$S$153:$S$180,0))))</f>
        <v/>
      </c>
      <c r="Z249" s="472" t="str">
        <f>IF(ISBLANK(F249),"",IF(F249=EUconst_NA,"",INDEX(EUwideConstants!$H:$O,MATCH(T249,EUwideConstants!$S:$S,0),MATCH(F249,CNTR_TierList,0))))</f>
        <v/>
      </c>
      <c r="AA249" s="681" t="str">
        <f>IF(F249=1,1,"")</f>
        <v/>
      </c>
      <c r="AB249" s="325"/>
      <c r="AC249" s="376" t="b">
        <f>AND(AC245,Y249&lt;&gt;EUconst_NA)</f>
        <v>0</v>
      </c>
      <c r="AD249" s="325"/>
      <c r="AE249" s="462"/>
      <c r="AF249" s="460"/>
      <c r="AG249" s="465"/>
      <c r="AH249" s="467"/>
      <c r="AI249" s="467"/>
      <c r="AJ249" s="467"/>
      <c r="AK249" s="469"/>
      <c r="AL249" s="337"/>
      <c r="AM249" s="404" t="s">
        <v>132</v>
      </c>
      <c r="AN249" s="403" t="str">
        <f>IF(AN247=EUconst_NA,EUconst_NA,INDEX(EUwideConstants!$C$139:$H$143,MATCH(AJ248,EFUnits,0),MATCH(AN247,EUwideConstants!$C$138:$H$138,0)))</f>
        <v>ei sovellettavissa</v>
      </c>
      <c r="AO249" s="403" t="b">
        <f>AN249&lt;&gt;EUconst_NA</f>
        <v>0</v>
      </c>
      <c r="AP249" s="337"/>
      <c r="AQ249" s="455" t="str">
        <f>EUconst_CNTR_BiomassContent&amp;EUconst_Value</f>
        <v>BioC_Arvo</v>
      </c>
      <c r="AR249" s="462"/>
      <c r="AS249" s="383" t="str">
        <f>IF(AC249=TRUE,IF(COUNTIF(MSPara_SourceStreamCategory,V249)=0,"",INDEX(MSPara_CalcFactorsMatrix,MATCH(V249,MSPara_SourceStreamCategory,0),MATCH(AQ249&amp;"_"&amp;2,MSPara_CalcFactors,0))),"")</f>
        <v/>
      </c>
      <c r="AT249" s="458"/>
      <c r="AU249" s="334" t="str">
        <f>IF(OR(AA249="",AS249=EUconst_NA),"",AS249)</f>
        <v/>
      </c>
      <c r="AV249" s="376">
        <f>IF(AC249=TRUE,IF(COUNT(K249:L249)=0,0,IF(L249="",K249,L249)),0)</f>
        <v>0</v>
      </c>
      <c r="AW249" s="375" t="b">
        <f>AND(AC249=TRUE,OR(AND(F249&lt;&gt;"",NOT(ISNUMBER(AA249))),L249&lt;&gt;"",F249="",AU249=""))</f>
        <v>0</v>
      </c>
      <c r="AX249" s="457" t="b">
        <f>AND(AC249=TRUE,NOT(AW249))</f>
        <v>0</v>
      </c>
      <c r="AY249" s="325"/>
      <c r="AZ249" s="379" t="b">
        <f>AND(ISNUMBER(AA249),AU249="")</f>
        <v>0</v>
      </c>
      <c r="BA249" s="380" t="b">
        <f>AND(ISNUMBER(AA249),AU249&lt;&gt;AV249)</f>
        <v>0</v>
      </c>
      <c r="BB249" s="325"/>
      <c r="BC249" s="375" t="b">
        <f>AND(L249&lt;&gt;"",Y249=EUconst_NA)</f>
        <v>0</v>
      </c>
      <c r="BD249" s="366" t="b">
        <f>OR(AV249&gt;100%,(AV249+AV250)&gt;100%)</f>
        <v>0</v>
      </c>
      <c r="BE249" s="325"/>
      <c r="BF249" s="379" t="s">
        <v>133</v>
      </c>
      <c r="BG249" s="498" t="str">
        <f>IF(AN245=EUconst_TJ,AV245*(1-AV249),IF(AN247=EUconst_GJ,AV245*AV247/1000*(1-AV249),""))</f>
        <v/>
      </c>
      <c r="BH249" s="325"/>
      <c r="BI249" s="325"/>
      <c r="BJ249" s="325"/>
      <c r="BK249" s="325"/>
      <c r="BL249" s="325"/>
      <c r="BM249" s="325"/>
      <c r="BN249" s="325"/>
      <c r="BO249" s="325"/>
      <c r="BP249" s="325"/>
      <c r="BQ249" s="325"/>
      <c r="BR249" s="325"/>
      <c r="BS249" s="325"/>
      <c r="BT249" s="325"/>
      <c r="BU249" s="325"/>
      <c r="BV249" s="325"/>
      <c r="BW249" s="325"/>
      <c r="BX249" s="325"/>
      <c r="BY249" s="325"/>
      <c r="BZ249" s="325"/>
      <c r="CA249" s="325"/>
      <c r="CB249" s="325"/>
      <c r="CC249" s="325"/>
      <c r="CD249" s="325"/>
      <c r="CE249" s="325"/>
      <c r="CF249" s="325"/>
      <c r="CG249" s="375" t="b">
        <f>OR(CG245,Y249=EUconst_NA)</f>
        <v>0</v>
      </c>
    </row>
    <row r="250" spans="1:85" ht="12.75" customHeight="1" thickBot="1" x14ac:dyDescent="0.3">
      <c r="A250" s="318"/>
      <c r="B250" s="21"/>
      <c r="C250" s="344"/>
      <c r="D250" s="345" t="str">
        <f>Translations!$B$368</f>
        <v>Ei kestävä biomassaosuus:</v>
      </c>
      <c r="E250" s="350"/>
      <c r="F250" s="628"/>
      <c r="G250" s="1120" t="str">
        <f>IF(OR(ISBLANK(F250),F250=EUconst_NoTier),"",IF(Z250=0,EUconst_NotApplicable,IF(ISERROR(Z250),"",Z250)))</f>
        <v/>
      </c>
      <c r="H250" s="1122"/>
      <c r="I250" s="629" t="str">
        <f>IF(OR(AC250=FALSE,Y250=EUconst_NA),"","-")</f>
        <v/>
      </c>
      <c r="J250" s="447"/>
      <c r="K250" s="636" t="str">
        <f>IF(L250="",AU250,"")</f>
        <v/>
      </c>
      <c r="L250" s="630"/>
      <c r="M250" s="486" t="str">
        <f>IF(AND(E240&lt;&gt;"",OR(F250="",COUNT(K250:L250)=0),Y250&lt;&gt;EUconst_NA),EUconst_ERR_Incomplete,IF(COUNTIF(BB250:BD250,TRUE)&gt;0,EUconst_ERR_Inconsistent,""))</f>
        <v/>
      </c>
      <c r="N250" s="22"/>
      <c r="O250" s="323"/>
      <c r="P250" s="612"/>
      <c r="Q250" s="354"/>
      <c r="R250" s="354"/>
      <c r="S250" s="325"/>
      <c r="T250" s="384" t="str">
        <f>EUconst_CNTR_BiomassContent&amp;E240</f>
        <v>BioC_</v>
      </c>
      <c r="U250" s="23"/>
      <c r="V250" s="382" t="str">
        <f>V249</f>
        <v/>
      </c>
      <c r="W250" s="382" t="e">
        <f>IF(COUNTIF(MSPara_SourceStreamCategory,V250)=0,"",INDEX(MSPara_IsFossil,MATCH(V250,MSPara_SourceStreamCategory,0)))</f>
        <v>#N/A</v>
      </c>
      <c r="X250" s="23"/>
      <c r="Y250" s="452" t="str">
        <f>IF(E240="","",IF(OR(F250=EUconst_NA,W250=TRUE),EUconst_NA,INDEX(EUwideConstants!$P$153:$P$180,MATCH(T250,EUwideConstants!$S$153:$S$180,0))))</f>
        <v/>
      </c>
      <c r="Z250" s="473" t="str">
        <f>IF(ISBLANK(F250),"",IF(F250=EUconst_NA,"",INDEX(EUwideConstants!$H:$O,MATCH(T250,EUwideConstants!$S:$S,0),MATCH(F250,CNTR_TierList,0))))</f>
        <v/>
      </c>
      <c r="AA250" s="682" t="str">
        <f>IF(F250=1,1,"")</f>
        <v/>
      </c>
      <c r="AB250" s="325"/>
      <c r="AC250" s="453" t="b">
        <f>AND(AC245,Y250&lt;&gt;EUconst_NA)</f>
        <v>0</v>
      </c>
      <c r="AD250" s="325"/>
      <c r="AE250" s="463"/>
      <c r="AF250" s="461"/>
      <c r="AG250" s="466"/>
      <c r="AH250" s="468"/>
      <c r="AI250" s="468"/>
      <c r="AJ250" s="468"/>
      <c r="AK250" s="470"/>
      <c r="AL250" s="337"/>
      <c r="AM250" s="337"/>
      <c r="AN250" s="337"/>
      <c r="AO250" s="337"/>
      <c r="AP250" s="337"/>
      <c r="AQ250" s="474" t="str">
        <f>EUconst_CNTR_BiomassContent&amp;EUconst_Value</f>
        <v>BioC_Arvo</v>
      </c>
      <c r="AR250" s="463"/>
      <c r="AS250" s="385" t="str">
        <f>IF(AC250=TRUE,IF(COUNTIF(MSPara_SourceStreamCategory,V250)=0,"",INDEX(MSPara_CalcFactorsMatrix,MATCH(V250,MSPara_SourceStreamCategory,0),MATCH(AQ250&amp;"_"&amp;2,MSPara_CalcFactors,0))),"")</f>
        <v/>
      </c>
      <c r="AT250" s="459"/>
      <c r="AU250" s="477" t="str">
        <f>IF(OR(AA250="",AS250=EUconst_NA),"",AS250)</f>
        <v/>
      </c>
      <c r="AV250" s="453">
        <f>IF(AC250=TRUE,IF(COUNT(K250:L250)=0,0,IF(L250="",K250,L250)),0)</f>
        <v>0</v>
      </c>
      <c r="AW250" s="382" t="b">
        <f>AND(AC250=TRUE,OR(AND(F250&lt;&gt;"",NOT(ISNUMBER(AA250))),L250&lt;&gt;"",F250="",AU250=""))</f>
        <v>0</v>
      </c>
      <c r="AX250" s="478" t="b">
        <f>AND(AC250=TRUE,NOT(AW250))</f>
        <v>0</v>
      </c>
      <c r="AY250" s="325"/>
      <c r="AZ250" s="386" t="b">
        <f>AND(ISNUMBER(AA250),AU250="")</f>
        <v>0</v>
      </c>
      <c r="BA250" s="387" t="b">
        <f>AND(ISNUMBER(AA250),AU250&lt;&gt;AV250)</f>
        <v>0</v>
      </c>
      <c r="BB250" s="325"/>
      <c r="BC250" s="382" t="b">
        <f>AND(L250&lt;&gt;"",Y250=EUconst_NA)</f>
        <v>0</v>
      </c>
      <c r="BD250" s="382" t="b">
        <f>OR(AV249&gt;100%,(AV249+AV250)&gt;100%)</f>
        <v>0</v>
      </c>
      <c r="BE250" s="325"/>
      <c r="BF250" s="386" t="s">
        <v>134</v>
      </c>
      <c r="BG250" s="499" t="str">
        <f>IF(AN245=EUconst_TJ,AV245*AV249,IF(AN247=EUconst_GJ,AV245*AV247/1000*AV249,""))</f>
        <v/>
      </c>
      <c r="BH250" s="325"/>
      <c r="BI250" s="325"/>
      <c r="BJ250" s="325"/>
      <c r="BK250" s="325"/>
      <c r="BL250" s="325"/>
      <c r="BM250" s="325"/>
      <c r="BN250" s="325"/>
      <c r="BO250" s="325"/>
      <c r="BP250" s="325"/>
      <c r="BQ250" s="325"/>
      <c r="BR250" s="325"/>
      <c r="BS250" s="325"/>
      <c r="BT250" s="325"/>
      <c r="BU250" s="325"/>
      <c r="BV250" s="325"/>
      <c r="BW250" s="325"/>
      <c r="BX250" s="325"/>
      <c r="BY250" s="325"/>
      <c r="BZ250" s="325"/>
      <c r="CA250" s="325"/>
      <c r="CB250" s="325"/>
      <c r="CC250" s="325"/>
      <c r="CD250" s="325"/>
      <c r="CE250" s="325"/>
      <c r="CF250" s="325"/>
      <c r="CG250" s="382" t="b">
        <f>OR(CG245,Y250=EUconst_NA)</f>
        <v>0</v>
      </c>
    </row>
    <row r="251" spans="1:85" ht="5.15" customHeight="1" thickBot="1" x14ac:dyDescent="0.3">
      <c r="A251" s="318"/>
      <c r="B251" s="21"/>
      <c r="C251" s="21"/>
      <c r="D251" s="327"/>
      <c r="E251" s="22"/>
      <c r="F251" s="22"/>
      <c r="G251" s="22"/>
      <c r="H251" s="22"/>
      <c r="I251" s="22"/>
      <c r="J251" s="22"/>
      <c r="K251" s="22"/>
      <c r="L251" s="22"/>
      <c r="M251" s="488"/>
      <c r="N251" s="22"/>
      <c r="O251" s="323"/>
      <c r="P251" s="301"/>
      <c r="Q251" s="23"/>
      <c r="R251" s="23"/>
      <c r="S251" s="325"/>
      <c r="T251" s="325"/>
      <c r="U251" s="325"/>
      <c r="V251" s="325"/>
      <c r="W251" s="325"/>
      <c r="X251" s="325"/>
      <c r="Y251" s="325"/>
      <c r="Z251" s="325"/>
      <c r="AA251" s="325"/>
      <c r="AB251" s="325"/>
      <c r="AC251" s="325"/>
      <c r="AD251" s="325"/>
      <c r="AE251" s="325"/>
      <c r="AF251" s="325"/>
      <c r="AG251" s="325"/>
      <c r="AH251" s="325"/>
      <c r="AI251" s="325"/>
      <c r="AJ251" s="325"/>
      <c r="AK251" s="325"/>
      <c r="AL251" s="325"/>
      <c r="AM251" s="325"/>
      <c r="AN251" s="325"/>
      <c r="AO251" s="325"/>
      <c r="AP251" s="325"/>
      <c r="AQ251" s="325"/>
      <c r="AR251" s="325"/>
      <c r="AS251" s="325"/>
      <c r="AT251" s="325"/>
      <c r="AU251" s="325"/>
      <c r="AV251" s="325"/>
      <c r="AW251" s="325"/>
      <c r="AX251" s="325"/>
      <c r="AY251" s="325"/>
      <c r="AZ251" s="325"/>
      <c r="BA251" s="325"/>
      <c r="BB251" s="325"/>
      <c r="BC251" s="325"/>
      <c r="BD251" s="325"/>
      <c r="BE251" s="325"/>
      <c r="BF251" s="325"/>
      <c r="BG251" s="325"/>
      <c r="BH251" s="325"/>
      <c r="BI251" s="325"/>
      <c r="BJ251" s="325"/>
      <c r="BK251" s="325"/>
      <c r="BL251" s="325"/>
      <c r="BM251" s="325"/>
      <c r="BN251" s="325"/>
      <c r="BO251" s="325"/>
      <c r="BP251" s="325"/>
      <c r="BQ251" s="325"/>
      <c r="BR251" s="325"/>
      <c r="BS251" s="325"/>
      <c r="BT251" s="325"/>
      <c r="BU251" s="325"/>
      <c r="BV251" s="325"/>
      <c r="BW251" s="325"/>
      <c r="BX251" s="325"/>
      <c r="BY251" s="325"/>
      <c r="BZ251" s="325"/>
      <c r="CA251" s="325"/>
      <c r="CB251" s="325"/>
      <c r="CC251" s="325"/>
      <c r="CD251" s="325"/>
      <c r="CE251" s="325"/>
      <c r="CF251" s="325"/>
      <c r="CG251" s="325"/>
    </row>
    <row r="252" spans="1:85" ht="12.75" customHeight="1" thickBot="1" x14ac:dyDescent="0.3">
      <c r="A252" s="318"/>
      <c r="B252" s="21"/>
      <c r="C252" s="344"/>
      <c r="D252" s="345" t="str">
        <f>Translations!$B$398</f>
        <v>Soveltamisalakerroin:</v>
      </c>
      <c r="E252" s="479"/>
      <c r="F252" s="803"/>
      <c r="G252" s="1125"/>
      <c r="H252" s="1126"/>
      <c r="I252" s="492" t="s">
        <v>52</v>
      </c>
      <c r="J252" s="480"/>
      <c r="K252" s="481" t="str">
        <f>IF(L252="",AU252,"")</f>
        <v/>
      </c>
      <c r="L252" s="607"/>
      <c r="M252" s="489" t="str">
        <f>IF(AND(E240&lt;&gt;"",OR(F252="",G252="",COUNT(K252:L252)=0)),EUconst_ERR_Incomplete,IF(COUNTIF(BB252:BD252,TRUE)&gt;0,EUconst_ERR_Inconsistent,""))</f>
        <v/>
      </c>
      <c r="N252" s="22"/>
      <c r="O252" s="323"/>
      <c r="P252" s="301"/>
      <c r="Q252" s="23"/>
      <c r="R252" s="325"/>
      <c r="S252" s="10"/>
      <c r="T252" s="48" t="str">
        <f>EUconst_CNTR_ScopeFactor&amp;E240</f>
        <v>ScopeFactor_</v>
      </c>
      <c r="U252" s="248" t="str">
        <f>IF(F252="","",INDEX(ScopeAddress,MATCH(F252,ScopeTiers,0)))</f>
        <v/>
      </c>
      <c r="V252" s="382" t="str">
        <f>V245</f>
        <v/>
      </c>
      <c r="W252" s="325"/>
      <c r="X252" s="325"/>
      <c r="Y252" s="452" t="str">
        <f>IF(E240="","",IF(F252=EUconst_NA,EUconst_NA,INDEX(EUwideConstants!$P$153:$P$180,MATCH(T252,EUwideConstants!$S$153:$S$180,0))))</f>
        <v/>
      </c>
      <c r="Z252" s="473" t="str">
        <f>IF(ISBLANK(F252),"",IF(F252=EUconst_NA,"",INDEX(EUwideConstants!$H:$O,MATCH(T252,EUwideConstants!$S:$S,0),MATCH(F252,CNTR_TierList,0))))</f>
        <v/>
      </c>
      <c r="AA252" s="339" t="str">
        <f>IF(G252=EUwideConstants!$A$88,1,"")</f>
        <v/>
      </c>
      <c r="AB252" s="325"/>
      <c r="AC252" s="376" t="b">
        <f>AND(AC245,Y252&lt;&gt;EUconst_NA)</f>
        <v>0</v>
      </c>
      <c r="AD252" s="325"/>
      <c r="AE252" s="325"/>
      <c r="AF252" s="325"/>
      <c r="AG252" s="330"/>
      <c r="AH252" s="325"/>
      <c r="AI252" s="325"/>
      <c r="AJ252" s="325"/>
      <c r="AK252" s="325"/>
      <c r="AL252" s="325"/>
      <c r="AM252" s="325"/>
      <c r="AN252" s="325"/>
      <c r="AO252" s="325"/>
      <c r="AP252" s="325"/>
      <c r="AQ252" s="325"/>
      <c r="AR252" s="325"/>
      <c r="AS252" s="338">
        <v>1</v>
      </c>
      <c r="AT252" s="325"/>
      <c r="AU252" s="330" t="str">
        <f>IF(G252=EUwideConstants!$A$88,AS252,"")</f>
        <v/>
      </c>
      <c r="AV252" s="376">
        <f>IF(AC252=TRUE,IF(COUNT(K252:L252)=0,0,IF(L252="",K252,L252)),0)</f>
        <v>0</v>
      </c>
      <c r="AW252" s="375" t="b">
        <f>AND(AC252=TRUE,OR(AND(F252&lt;&gt;"",NOT(ISNUMBER(AA252))),L252&lt;&gt;"",F252="",AU252=""))</f>
        <v>0</v>
      </c>
      <c r="AX252" s="457" t="b">
        <f>AND(AC252=TRUE,NOT(AW252))</f>
        <v>0</v>
      </c>
      <c r="AY252" s="325"/>
      <c r="AZ252" s="379" t="b">
        <f>AND(ISNUMBER(AA252),AU252="")</f>
        <v>0</v>
      </c>
      <c r="BA252" s="380" t="b">
        <f>AND(ISNUMBER(AA252),AU252&lt;&gt;AV252)</f>
        <v>0</v>
      </c>
      <c r="BB252" s="325"/>
      <c r="BC252" s="33" t="b">
        <f>AND(F252&lt;&gt;"",OR(COUNTIF(INDEX(ScopeMethods,F252,),G252)=0,AND(AA252&lt;&gt;"",AU252&lt;&gt;AV252)))</f>
        <v>0</v>
      </c>
      <c r="BD252" s="325"/>
      <c r="BE252" s="325"/>
      <c r="BF252" s="325"/>
      <c r="BG252" s="325"/>
      <c r="BH252" s="325"/>
      <c r="BI252" s="325"/>
      <c r="BJ252" s="325"/>
      <c r="BK252" s="325"/>
      <c r="BL252" s="325"/>
      <c r="BM252" s="325"/>
      <c r="BN252" s="325"/>
      <c r="BO252" s="325"/>
      <c r="BP252" s="325"/>
      <c r="BQ252" s="325"/>
      <c r="BR252" s="325"/>
      <c r="BS252" s="325"/>
      <c r="BT252" s="325"/>
      <c r="BU252" s="325"/>
      <c r="BV252" s="325"/>
      <c r="BW252" s="325"/>
      <c r="BX252" s="325"/>
      <c r="BY252" s="325"/>
      <c r="BZ252" s="325"/>
      <c r="CA252" s="325"/>
      <c r="CB252" s="325"/>
      <c r="CC252" s="325"/>
      <c r="CD252" s="325"/>
      <c r="CE252" s="325"/>
      <c r="CF252" s="325"/>
      <c r="CG252" s="325"/>
    </row>
    <row r="253" spans="1:85" ht="12.75" customHeight="1" x14ac:dyDescent="0.25">
      <c r="A253" s="318"/>
      <c r="B253" s="21"/>
      <c r="C253" s="21"/>
      <c r="D253" s="21"/>
      <c r="E253" s="21"/>
      <c r="F253" s="21"/>
      <c r="G253" s="1130" t="str">
        <f>IF(G252="","",INDEX(ScopeMethodsDetails,MATCH(G252,INDEX(ScopeMethodsDetails,,1),0),2))</f>
        <v/>
      </c>
      <c r="H253" s="1131"/>
      <c r="I253" s="1131"/>
      <c r="J253" s="1131"/>
      <c r="K253" s="1131"/>
      <c r="L253" s="1131"/>
      <c r="M253" s="1132"/>
      <c r="N253" s="22"/>
      <c r="O253" s="323"/>
      <c r="P253" s="301"/>
      <c r="Q253" s="23"/>
      <c r="R253" s="23"/>
      <c r="S253" s="325"/>
      <c r="T253" s="325"/>
      <c r="U253" s="325"/>
      <c r="V253" s="325"/>
      <c r="W253" s="325"/>
      <c r="X253" s="325"/>
      <c r="Y253" s="325"/>
      <c r="Z253" s="325"/>
      <c r="AA253" s="325"/>
      <c r="AB253" s="325"/>
      <c r="AC253" s="325"/>
      <c r="AD253" s="325"/>
      <c r="AE253" s="325"/>
      <c r="AF253" s="325"/>
      <c r="AG253" s="325"/>
      <c r="AH253" s="325"/>
      <c r="AI253" s="325"/>
      <c r="AJ253" s="325"/>
      <c r="AK253" s="325"/>
      <c r="AL253" s="325"/>
      <c r="AM253" s="325"/>
      <c r="AN253" s="325"/>
      <c r="AO253" s="325"/>
      <c r="AP253" s="325"/>
      <c r="AQ253" s="325"/>
      <c r="AR253" s="325"/>
      <c r="AS253" s="325"/>
      <c r="AT253" s="325"/>
      <c r="AU253" s="325"/>
      <c r="AV253" s="325"/>
      <c r="AW253" s="325"/>
      <c r="AX253" s="325"/>
      <c r="AY253" s="325"/>
      <c r="AZ253" s="325"/>
      <c r="BA253" s="325"/>
      <c r="BB253" s="325"/>
      <c r="BC253" s="325"/>
      <c r="BD253" s="325"/>
      <c r="BE253" s="325"/>
      <c r="BF253" s="325"/>
      <c r="BG253" s="325"/>
      <c r="BH253" s="325"/>
      <c r="BI253" s="325"/>
      <c r="BJ253" s="325"/>
      <c r="BK253" s="325"/>
      <c r="BL253" s="325"/>
      <c r="BM253" s="325"/>
      <c r="BN253" s="325"/>
      <c r="BO253" s="325"/>
      <c r="BP253" s="325"/>
      <c r="BQ253" s="325"/>
      <c r="BR253" s="325"/>
      <c r="BS253" s="325"/>
      <c r="BT253" s="325"/>
      <c r="BU253" s="325"/>
      <c r="BV253" s="325"/>
      <c r="BW253" s="325"/>
      <c r="BX253" s="325"/>
      <c r="BY253" s="325"/>
      <c r="BZ253" s="325"/>
      <c r="CA253" s="325"/>
      <c r="CB253" s="325"/>
      <c r="CC253" s="325"/>
      <c r="CD253" s="325"/>
      <c r="CE253" s="325"/>
      <c r="CF253" s="325"/>
      <c r="CG253" s="325"/>
    </row>
    <row r="254" spans="1:85" ht="5.15" customHeight="1" x14ac:dyDescent="0.25">
      <c r="A254" s="318"/>
      <c r="C254" s="22"/>
      <c r="D254" s="22"/>
      <c r="E254" s="22"/>
      <c r="F254" s="22"/>
      <c r="G254" s="22"/>
      <c r="H254" s="22"/>
      <c r="I254" s="22"/>
      <c r="J254" s="22"/>
      <c r="K254" s="22"/>
      <c r="L254" s="22"/>
      <c r="O254" s="323"/>
      <c r="P254" s="301"/>
      <c r="Q254" s="23"/>
      <c r="R254" s="23"/>
      <c r="S254" s="325"/>
      <c r="T254" s="325"/>
      <c r="U254" s="325"/>
      <c r="V254" s="325"/>
      <c r="W254" s="325"/>
      <c r="X254" s="325"/>
      <c r="Y254" s="325"/>
      <c r="Z254" s="325"/>
      <c r="AA254" s="325"/>
      <c r="AB254" s="325"/>
      <c r="AC254" s="325"/>
      <c r="AD254" s="325"/>
      <c r="AE254" s="325"/>
      <c r="AF254" s="325"/>
      <c r="AG254" s="325"/>
      <c r="AH254" s="325"/>
      <c r="AI254" s="325"/>
      <c r="AJ254" s="325"/>
      <c r="AK254" s="325"/>
      <c r="AL254" s="325"/>
      <c r="AM254" s="325"/>
      <c r="AN254" s="325"/>
      <c r="AO254" s="325"/>
      <c r="AP254" s="325"/>
      <c r="AQ254" s="325"/>
      <c r="AR254" s="325"/>
      <c r="AS254" s="325"/>
      <c r="AT254" s="325"/>
      <c r="AU254" s="325"/>
      <c r="AV254" s="325"/>
      <c r="AW254" s="325"/>
      <c r="AX254" s="325"/>
      <c r="AY254" s="325"/>
      <c r="AZ254" s="325"/>
      <c r="BA254" s="325"/>
      <c r="BB254" s="325"/>
      <c r="BC254" s="325"/>
      <c r="BD254" s="325"/>
      <c r="BE254" s="325"/>
      <c r="BF254" s="325"/>
      <c r="BG254" s="325"/>
      <c r="BH254" s="325"/>
      <c r="BI254" s="325"/>
      <c r="BJ254" s="325"/>
      <c r="BK254" s="325"/>
      <c r="BL254" s="325"/>
      <c r="BM254" s="325"/>
      <c r="BN254" s="325"/>
      <c r="BO254" s="325"/>
      <c r="BP254" s="325"/>
      <c r="BQ254" s="325"/>
      <c r="BR254" s="325"/>
      <c r="BS254" s="325"/>
      <c r="BT254" s="325"/>
      <c r="BU254" s="325"/>
      <c r="BV254" s="325"/>
      <c r="BW254" s="325"/>
      <c r="BX254" s="325"/>
      <c r="BY254" s="325"/>
      <c r="BZ254" s="325"/>
      <c r="CA254" s="325"/>
      <c r="CB254" s="325"/>
      <c r="CC254" s="325"/>
      <c r="CD254" s="325"/>
      <c r="CE254" s="325"/>
      <c r="CF254" s="325"/>
      <c r="CG254" s="325"/>
    </row>
    <row r="255" spans="1:85" ht="12.75" customHeight="1" x14ac:dyDescent="0.25">
      <c r="A255" s="318"/>
      <c r="C255" s="22"/>
      <c r="D255" s="22"/>
      <c r="E255" s="22"/>
      <c r="F255" s="22"/>
      <c r="G255" s="1133">
        <v>1</v>
      </c>
      <c r="H255" s="1133"/>
      <c r="I255" s="1133">
        <v>2</v>
      </c>
      <c r="J255" s="1133"/>
      <c r="K255" s="1133">
        <v>3</v>
      </c>
      <c r="L255" s="1133"/>
      <c r="O255" s="323"/>
      <c r="P255" s="301"/>
      <c r="Q255" s="23"/>
      <c r="R255" s="23"/>
      <c r="S255" s="325"/>
      <c r="T255" s="325"/>
      <c r="U255" s="325"/>
      <c r="V255" s="325"/>
      <c r="W255" s="325"/>
      <c r="X255" s="325"/>
      <c r="Y255" s="325"/>
      <c r="Z255" s="325"/>
      <c r="AA255" s="325"/>
      <c r="AB255" s="325"/>
      <c r="AC255" s="325"/>
      <c r="AD255" s="325"/>
      <c r="AE255" s="325"/>
      <c r="AF255" s="325"/>
      <c r="AG255" s="325"/>
      <c r="AH255" s="325"/>
      <c r="AI255" s="325"/>
      <c r="AJ255" s="325"/>
      <c r="AK255" s="325"/>
      <c r="AL255" s="325"/>
      <c r="AM255" s="325"/>
      <c r="AN255" s="325"/>
      <c r="AO255" s="325"/>
      <c r="AP255" s="325"/>
      <c r="AQ255" s="325"/>
      <c r="AR255" s="325"/>
      <c r="AS255" s="325"/>
      <c r="AT255" s="325"/>
      <c r="AU255" s="325"/>
      <c r="AV255" s="325"/>
      <c r="AW255" s="325"/>
      <c r="AX255" s="325"/>
      <c r="AY255" s="325"/>
      <c r="AZ255" s="325"/>
      <c r="BA255" s="325"/>
      <c r="BB255" s="325"/>
      <c r="BC255" s="325"/>
      <c r="BD255" s="325"/>
      <c r="BE255" s="325"/>
      <c r="BF255" s="325"/>
      <c r="BG255" s="325"/>
      <c r="BH255" s="325"/>
      <c r="BI255" s="325"/>
      <c r="BJ255" s="325"/>
      <c r="BK255" s="325"/>
      <c r="BL255" s="325"/>
      <c r="BM255" s="325"/>
      <c r="BN255" s="325"/>
      <c r="BO255" s="325"/>
      <c r="BP255" s="325"/>
      <c r="BQ255" s="325"/>
      <c r="BR255" s="325"/>
      <c r="BS255" s="325"/>
      <c r="BT255" s="325"/>
      <c r="BU255" s="325"/>
      <c r="BV255" s="325"/>
      <c r="BW255" s="325"/>
      <c r="BX255" s="325"/>
      <c r="BY255" s="325"/>
      <c r="BZ255" s="325"/>
      <c r="CA255" s="325"/>
      <c r="CB255" s="325"/>
      <c r="CC255" s="325"/>
      <c r="CD255" s="325"/>
      <c r="CE255" s="325"/>
      <c r="CF255" s="325"/>
      <c r="CG255" s="325"/>
    </row>
    <row r="256" spans="1:85" ht="12.75" customHeight="1" x14ac:dyDescent="0.25">
      <c r="A256" s="389"/>
      <c r="B256" s="22"/>
      <c r="C256" s="22"/>
      <c r="D256" s="1134" t="str">
        <f>Translations!$B$372</f>
        <v>CRF-luokka</v>
      </c>
      <c r="E256" s="1134"/>
      <c r="F256" s="1135"/>
      <c r="G256" s="1123"/>
      <c r="H256" s="1124"/>
      <c r="I256" s="1123"/>
      <c r="J256" s="1124"/>
      <c r="K256" s="1123"/>
      <c r="L256" s="1124"/>
      <c r="M256" s="623" t="str">
        <f>IF(AND(E239&lt;&gt;"",COUNTA(G256:L256)=0,AX256=FALSE),EUconst_ERR_Incomplete,"")</f>
        <v/>
      </c>
      <c r="N256" s="22"/>
      <c r="O256" s="323"/>
      <c r="P256" s="301"/>
      <c r="Q256" s="23"/>
      <c r="R256" s="23"/>
      <c r="S256" s="325"/>
      <c r="T256" s="325"/>
      <c r="U256" s="325"/>
      <c r="V256" s="325"/>
      <c r="W256" s="325"/>
      <c r="X256" s="325"/>
      <c r="Y256" s="325"/>
      <c r="Z256" s="325"/>
      <c r="AA256" s="325"/>
      <c r="AB256" s="325"/>
      <c r="AC256" s="325"/>
      <c r="AD256" s="325"/>
      <c r="AE256" s="325"/>
      <c r="AF256" s="325"/>
      <c r="AG256" s="325"/>
      <c r="AH256" s="325"/>
      <c r="AI256" s="325"/>
      <c r="AJ256" s="325"/>
      <c r="AK256" s="325"/>
      <c r="AL256" s="325"/>
      <c r="AM256" s="325"/>
      <c r="AN256" s="325"/>
      <c r="AO256" s="325"/>
      <c r="AP256" s="325"/>
      <c r="AQ256" s="325"/>
      <c r="AR256" s="325"/>
      <c r="AS256" s="325"/>
      <c r="AT256" s="325"/>
      <c r="AU256" s="325"/>
      <c r="AV256" s="325"/>
      <c r="AW256" s="325"/>
      <c r="AX256" s="33" t="b">
        <f>AND(AV252&lt;&gt;"",SUM(AV252=1))</f>
        <v>0</v>
      </c>
      <c r="AY256" s="325"/>
      <c r="AZ256" s="325"/>
      <c r="BA256" s="325"/>
      <c r="BB256" s="325"/>
      <c r="BC256" s="325"/>
      <c r="BD256" s="325"/>
      <c r="BE256" s="325"/>
      <c r="BF256" s="325"/>
      <c r="BG256" s="325"/>
      <c r="BH256" s="325"/>
      <c r="BI256" s="325"/>
      <c r="BJ256" s="325"/>
      <c r="BK256" s="325"/>
      <c r="BL256" s="325"/>
      <c r="BM256" s="325"/>
      <c r="BN256" s="325"/>
      <c r="BO256" s="325"/>
      <c r="BP256" s="325"/>
      <c r="BQ256" s="325"/>
      <c r="BR256" s="325"/>
      <c r="BS256" s="325"/>
      <c r="BT256" s="325"/>
      <c r="BU256" s="325"/>
      <c r="BV256" s="325"/>
      <c r="BW256" s="325"/>
      <c r="BX256" s="325"/>
      <c r="BY256" s="325"/>
      <c r="BZ256" s="325"/>
      <c r="CA256" s="325"/>
      <c r="CB256" s="325"/>
      <c r="CC256" s="325"/>
      <c r="CD256" s="325"/>
      <c r="CE256" s="325"/>
      <c r="CF256" s="325"/>
      <c r="CG256" s="325"/>
    </row>
    <row r="257" spans="1:85" ht="5.15" customHeight="1" x14ac:dyDescent="0.25">
      <c r="A257" s="318"/>
      <c r="B257" s="21"/>
      <c r="C257" s="21"/>
      <c r="D257" s="21"/>
      <c r="E257" s="21"/>
      <c r="F257" s="21"/>
      <c r="G257" s="22"/>
      <c r="H257" s="22"/>
      <c r="I257" s="22"/>
      <c r="J257" s="22"/>
      <c r="K257" s="22"/>
      <c r="L257" s="22"/>
      <c r="M257" s="22"/>
      <c r="N257" s="22"/>
      <c r="O257" s="323"/>
      <c r="P257" s="301"/>
      <c r="Q257" s="23"/>
      <c r="R257" s="23"/>
      <c r="S257" s="325"/>
      <c r="T257" s="325"/>
      <c r="U257" s="325"/>
      <c r="V257" s="325"/>
      <c r="W257" s="325"/>
      <c r="X257" s="325"/>
      <c r="Y257" s="325"/>
      <c r="Z257" s="325"/>
      <c r="AA257" s="325"/>
      <c r="AB257" s="325"/>
      <c r="AC257" s="325"/>
      <c r="AD257" s="325"/>
      <c r="AE257" s="325"/>
      <c r="AF257" s="325"/>
      <c r="AG257" s="325"/>
      <c r="AH257" s="325"/>
      <c r="AI257" s="325"/>
      <c r="AJ257" s="325"/>
      <c r="AK257" s="325"/>
      <c r="AL257" s="325"/>
      <c r="AM257" s="325"/>
      <c r="AN257" s="325"/>
      <c r="AO257" s="325"/>
      <c r="AP257" s="325"/>
      <c r="AQ257" s="325"/>
      <c r="AR257" s="325"/>
      <c r="AS257" s="325"/>
      <c r="AT257" s="325"/>
      <c r="AU257" s="325"/>
      <c r="AV257" s="325"/>
      <c r="AW257" s="325"/>
      <c r="AX257" s="325"/>
      <c r="AY257" s="325"/>
      <c r="AZ257" s="325"/>
      <c r="BA257" s="325"/>
      <c r="BB257" s="325"/>
      <c r="BC257" s="325"/>
      <c r="BD257" s="325"/>
      <c r="BE257" s="325"/>
      <c r="BF257" s="325"/>
      <c r="BG257" s="325"/>
      <c r="BH257" s="325"/>
      <c r="BI257" s="325"/>
      <c r="BJ257" s="325"/>
      <c r="BK257" s="325"/>
      <c r="BL257" s="325"/>
      <c r="BM257" s="325"/>
      <c r="BN257" s="325"/>
      <c r="BO257" s="325"/>
      <c r="BP257" s="325"/>
      <c r="BQ257" s="325"/>
      <c r="BR257" s="325"/>
      <c r="BS257" s="325"/>
      <c r="BT257" s="325"/>
      <c r="BU257" s="325"/>
      <c r="BV257" s="325"/>
      <c r="BW257" s="325"/>
      <c r="BX257" s="325"/>
      <c r="BY257" s="325"/>
      <c r="BZ257" s="325"/>
      <c r="CA257" s="325"/>
      <c r="CB257" s="325"/>
      <c r="CC257" s="325"/>
      <c r="CD257" s="325"/>
      <c r="CE257" s="325"/>
      <c r="CF257" s="325"/>
      <c r="CG257" s="325"/>
    </row>
    <row r="258" spans="1:85" ht="7" customHeight="1" x14ac:dyDescent="0.25">
      <c r="A258" s="318"/>
      <c r="B258" s="21"/>
      <c r="C258" s="21"/>
      <c r="D258" s="1145"/>
      <c r="E258" s="1145"/>
      <c r="F258" s="1145"/>
      <c r="G258" s="806"/>
      <c r="H258" s="807"/>
      <c r="I258" s="806"/>
      <c r="J258" s="236"/>
      <c r="K258" s="236"/>
      <c r="L258" s="236"/>
      <c r="M258" s="807"/>
      <c r="N258" s="808"/>
      <c r="O258" s="323"/>
      <c r="P258" s="301"/>
      <c r="Q258" s="23"/>
      <c r="R258" s="23"/>
      <c r="S258" s="388"/>
      <c r="T258" s="325"/>
      <c r="U258" s="325"/>
      <c r="V258" s="325"/>
      <c r="W258" s="325"/>
      <c r="X258" s="325"/>
      <c r="Y258" s="325"/>
      <c r="Z258" s="325"/>
      <c r="AA258" s="325"/>
      <c r="AB258" s="325"/>
      <c r="AC258" s="325"/>
      <c r="AD258" s="325"/>
      <c r="AE258" s="325"/>
      <c r="AF258" s="325"/>
      <c r="AG258" s="325"/>
      <c r="AH258" s="325"/>
      <c r="AI258" s="325"/>
      <c r="AJ258" s="325"/>
      <c r="AK258" s="325"/>
      <c r="AL258" s="325"/>
      <c r="AM258" s="325"/>
      <c r="AN258" s="325"/>
      <c r="AO258" s="325"/>
      <c r="AP258" s="325"/>
      <c r="AQ258" s="325"/>
      <c r="AR258" s="325"/>
      <c r="AS258" s="325"/>
      <c r="AT258" s="325"/>
      <c r="AU258" s="325"/>
      <c r="AV258" s="325"/>
      <c r="AW258" s="325"/>
      <c r="AX258" s="325"/>
      <c r="AY258" s="325"/>
      <c r="AZ258" s="325"/>
      <c r="BA258" s="325"/>
      <c r="BB258" s="325"/>
      <c r="BC258" s="325"/>
      <c r="BD258" s="325"/>
      <c r="BE258" s="325"/>
      <c r="BF258" s="325"/>
      <c r="BG258" s="325"/>
      <c r="BH258" s="325"/>
      <c r="BI258" s="325"/>
      <c r="BJ258" s="325"/>
      <c r="BK258" s="325"/>
      <c r="BL258" s="325"/>
      <c r="BM258" s="325"/>
      <c r="BN258" s="325"/>
      <c r="BO258" s="325"/>
      <c r="BP258" s="325"/>
      <c r="BQ258" s="325"/>
      <c r="BR258" s="325"/>
      <c r="BS258" s="325"/>
      <c r="BT258" s="325"/>
      <c r="BU258" s="325"/>
      <c r="BV258" s="325"/>
      <c r="BW258" s="325"/>
      <c r="BX258" s="325"/>
      <c r="BY258" s="325"/>
      <c r="BZ258" s="325"/>
      <c r="CA258" s="325"/>
      <c r="CB258" s="325"/>
      <c r="CC258" s="325"/>
      <c r="CD258" s="325"/>
      <c r="CE258" s="325"/>
      <c r="CF258" s="325"/>
      <c r="CG258" s="33" t="b">
        <f>CG245</f>
        <v>0</v>
      </c>
    </row>
    <row r="259" spans="1:85" ht="5.15" customHeight="1" x14ac:dyDescent="0.25">
      <c r="A259" s="389"/>
      <c r="B259" s="22"/>
      <c r="C259" s="22"/>
      <c r="D259" s="22"/>
      <c r="E259" s="1116" t="str">
        <f>Translations!$B$304</f>
        <v xml:space="preserve">Lisätiedot: 
tapa, jolla biomassan kestävyys on osoitettu; 
muut polttoainevirtaa koskevat lisätiedot. </v>
      </c>
      <c r="F259" s="1116"/>
      <c r="G259" s="22"/>
      <c r="H259" s="22"/>
      <c r="I259" s="22"/>
      <c r="J259" s="22"/>
      <c r="K259" s="22"/>
      <c r="L259" s="22"/>
      <c r="M259" s="22"/>
      <c r="N259" s="22"/>
      <c r="O259" s="323"/>
      <c r="P259" s="301"/>
      <c r="Q259" s="23"/>
      <c r="R259" s="23"/>
      <c r="S259" s="325"/>
      <c r="T259" s="325"/>
      <c r="U259" s="325"/>
      <c r="V259" s="325"/>
      <c r="W259" s="325"/>
      <c r="X259" s="325"/>
      <c r="Y259" s="325"/>
      <c r="Z259" s="325"/>
      <c r="AA259" s="325"/>
      <c r="AB259" s="325"/>
      <c r="AC259" s="325"/>
      <c r="AD259" s="325"/>
      <c r="AE259" s="325"/>
      <c r="AF259" s="325"/>
      <c r="AG259" s="325"/>
      <c r="AH259" s="325"/>
      <c r="AI259" s="325"/>
      <c r="AJ259" s="325"/>
      <c r="AK259" s="325"/>
      <c r="AL259" s="325"/>
      <c r="AM259" s="325"/>
      <c r="AN259" s="325"/>
      <c r="AO259" s="325"/>
      <c r="AP259" s="325"/>
      <c r="AQ259" s="325"/>
      <c r="AR259" s="325"/>
      <c r="AS259" s="325"/>
      <c r="AT259" s="325"/>
      <c r="AU259" s="325"/>
      <c r="AV259" s="325"/>
      <c r="AW259" s="325"/>
      <c r="AX259" s="325"/>
      <c r="AY259" s="325"/>
      <c r="AZ259" s="325"/>
      <c r="BA259" s="325"/>
      <c r="BB259" s="325"/>
      <c r="BC259" s="325"/>
      <c r="BD259" s="325"/>
      <c r="BE259" s="325"/>
      <c r="BF259" s="325"/>
      <c r="BG259" s="325"/>
      <c r="BH259" s="325"/>
      <c r="BI259" s="325"/>
      <c r="BJ259" s="325"/>
      <c r="BK259" s="325"/>
      <c r="BL259" s="325"/>
      <c r="BM259" s="325"/>
      <c r="BN259" s="325"/>
      <c r="BO259" s="325"/>
      <c r="BP259" s="325"/>
      <c r="BQ259" s="325"/>
      <c r="BR259" s="325"/>
      <c r="BS259" s="325"/>
      <c r="BT259" s="325"/>
      <c r="BU259" s="325"/>
      <c r="BV259" s="325"/>
      <c r="BW259" s="325"/>
      <c r="BX259" s="325"/>
      <c r="BY259" s="325"/>
      <c r="BZ259" s="325"/>
      <c r="CA259" s="325"/>
      <c r="CB259" s="325"/>
      <c r="CC259" s="325"/>
      <c r="CD259" s="325"/>
      <c r="CE259" s="325"/>
      <c r="CF259" s="325"/>
      <c r="CG259" s="325"/>
    </row>
    <row r="260" spans="1:85" ht="40" customHeight="1" x14ac:dyDescent="0.25">
      <c r="A260" s="389"/>
      <c r="B260" s="22"/>
      <c r="C260" s="22"/>
      <c r="D260" s="4"/>
      <c r="E260" s="1116"/>
      <c r="F260" s="1116"/>
      <c r="G260" s="1146"/>
      <c r="H260" s="1147"/>
      <c r="I260" s="1147"/>
      <c r="J260" s="1147"/>
      <c r="K260" s="1147"/>
      <c r="L260" s="1147"/>
      <c r="M260" s="1147"/>
      <c r="N260" s="1148"/>
      <c r="O260" s="323"/>
      <c r="P260" s="301"/>
      <c r="Q260" s="23"/>
      <c r="R260" s="23"/>
      <c r="S260" s="325"/>
      <c r="T260" s="325"/>
      <c r="U260" s="325"/>
      <c r="V260" s="325"/>
      <c r="W260" s="325"/>
      <c r="X260" s="325"/>
      <c r="Y260" s="325"/>
      <c r="Z260" s="325"/>
      <c r="AA260" s="325"/>
      <c r="AB260" s="325"/>
      <c r="AC260" s="325"/>
      <c r="AD260" s="325"/>
      <c r="AE260" s="325"/>
      <c r="AF260" s="325"/>
      <c r="AG260" s="325"/>
      <c r="AH260" s="325"/>
      <c r="AI260" s="325"/>
      <c r="AJ260" s="325"/>
      <c r="AK260" s="325"/>
      <c r="AL260" s="325"/>
      <c r="AM260" s="325"/>
      <c r="AN260" s="325"/>
      <c r="AO260" s="325"/>
      <c r="AP260" s="325"/>
      <c r="AQ260" s="325"/>
      <c r="AR260" s="325"/>
      <c r="AS260" s="325"/>
      <c r="AT260" s="325"/>
      <c r="AU260" s="325"/>
      <c r="AV260" s="325"/>
      <c r="AW260" s="325"/>
      <c r="AX260" s="325"/>
      <c r="AY260" s="325"/>
      <c r="AZ260" s="325"/>
      <c r="BA260" s="325"/>
      <c r="BB260" s="325"/>
      <c r="BC260" s="325"/>
      <c r="BD260" s="325"/>
      <c r="BE260" s="325"/>
      <c r="BF260" s="325"/>
      <c r="BG260" s="325"/>
      <c r="BH260" s="325"/>
      <c r="BI260" s="325"/>
      <c r="BJ260" s="325"/>
      <c r="BK260" s="325"/>
      <c r="BL260" s="325"/>
      <c r="BM260" s="325"/>
      <c r="BN260" s="325"/>
      <c r="BO260" s="325"/>
      <c r="BP260" s="325"/>
      <c r="BQ260" s="325"/>
      <c r="BR260" s="325"/>
      <c r="BS260" s="325"/>
      <c r="BT260" s="325"/>
      <c r="BU260" s="325"/>
      <c r="BV260" s="325"/>
      <c r="BW260" s="325"/>
      <c r="BX260" s="325"/>
      <c r="BY260" s="325"/>
      <c r="BZ260" s="325"/>
      <c r="CA260" s="325"/>
      <c r="CB260" s="325"/>
      <c r="CC260" s="325"/>
      <c r="CD260" s="325"/>
      <c r="CE260" s="325"/>
      <c r="CF260" s="325"/>
      <c r="CG260" s="33" t="b">
        <f>CG258</f>
        <v>0</v>
      </c>
    </row>
    <row r="261" spans="1:85" ht="12.75" customHeight="1" thickBot="1" x14ac:dyDescent="0.3">
      <c r="A261" s="318"/>
      <c r="B261" s="22"/>
      <c r="C261" s="319"/>
      <c r="D261" s="320"/>
      <c r="E261" s="321"/>
      <c r="F261" s="319"/>
      <c r="G261" s="322"/>
      <c r="H261" s="322"/>
      <c r="I261" s="322"/>
      <c r="J261" s="322"/>
      <c r="K261" s="322"/>
      <c r="L261" s="322"/>
      <c r="M261" s="322"/>
      <c r="N261" s="322"/>
      <c r="O261" s="323"/>
      <c r="P261" s="301"/>
      <c r="Q261" s="23"/>
      <c r="R261" s="23"/>
      <c r="S261" s="41"/>
      <c r="T261" s="41"/>
      <c r="U261" s="324"/>
      <c r="V261" s="41"/>
      <c r="W261" s="41"/>
      <c r="X261" s="324"/>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325"/>
      <c r="BN261" s="325"/>
      <c r="BO261" s="325"/>
      <c r="BP261" s="325"/>
      <c r="BQ261" s="325"/>
      <c r="BR261" s="325"/>
      <c r="BS261" s="325"/>
      <c r="BT261" s="325"/>
      <c r="BU261" s="41"/>
      <c r="BV261" s="41"/>
      <c r="BW261" s="41"/>
      <c r="BX261" s="41"/>
      <c r="BY261" s="41"/>
      <c r="BZ261" s="41"/>
      <c r="CA261" s="41"/>
      <c r="CB261" s="41"/>
      <c r="CC261" s="41"/>
      <c r="CD261" s="41"/>
      <c r="CE261" s="41"/>
      <c r="CF261" s="41"/>
      <c r="CG261" s="41"/>
    </row>
    <row r="262" spans="1:85" ht="12.75" customHeight="1" thickBot="1" x14ac:dyDescent="0.3">
      <c r="A262" s="326"/>
      <c r="B262" s="22"/>
      <c r="C262" s="22"/>
      <c r="D262" s="327"/>
      <c r="E262" s="328"/>
      <c r="F262" s="22"/>
      <c r="G262" s="1"/>
      <c r="H262" s="1"/>
      <c r="I262" s="1"/>
      <c r="J262" s="1"/>
      <c r="K262" s="22"/>
      <c r="L262" s="1"/>
      <c r="M262" s="1"/>
      <c r="N262" s="1"/>
      <c r="O262" s="323"/>
      <c r="P262" s="301"/>
      <c r="Q262" s="23"/>
      <c r="R262" s="23"/>
      <c r="S262" s="2"/>
      <c r="T262" s="20" t="str">
        <f>IF(ISBLANK(E263),"",MATCH(E263,CNTR_SourceStreamNames,0))</f>
        <v/>
      </c>
      <c r="U262" s="329" t="str">
        <f>IF(ISBLANK(E263),"",INDEX('B_Polttoainevirtojen tiedot'!$D$67:$D$91,MATCH(E263,CNTR_SourceStreamNames,0)))</f>
        <v/>
      </c>
      <c r="V262" s="60"/>
      <c r="W262" s="37"/>
      <c r="X262" s="37"/>
      <c r="Y262" s="37"/>
      <c r="Z262" s="41"/>
      <c r="AA262" s="41"/>
      <c r="AB262" s="41"/>
      <c r="AC262" s="41"/>
      <c r="AD262" s="41"/>
      <c r="AE262" s="41"/>
      <c r="AF262" s="41"/>
      <c r="AG262" s="41"/>
      <c r="AH262" s="41"/>
      <c r="AI262" s="41"/>
      <c r="AJ262" s="41"/>
      <c r="AK262" s="23"/>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37"/>
      <c r="BK262" s="37"/>
      <c r="BL262" s="37"/>
      <c r="BM262" s="37"/>
      <c r="BN262" s="37"/>
      <c r="BO262" s="37"/>
      <c r="BP262" s="37"/>
      <c r="BQ262" s="37"/>
      <c r="BR262" s="37"/>
      <c r="BS262" s="37"/>
      <c r="BT262" s="37"/>
      <c r="BU262" s="37"/>
      <c r="BV262" s="37"/>
      <c r="BW262" s="37"/>
      <c r="BX262" s="37"/>
      <c r="BY262" s="37"/>
      <c r="BZ262" s="37"/>
      <c r="CA262" s="37"/>
      <c r="CB262" s="37"/>
      <c r="CC262" s="37"/>
      <c r="CD262" s="37"/>
      <c r="CE262" s="37"/>
      <c r="CF262" s="37"/>
      <c r="CG262" s="330" t="s">
        <v>94</v>
      </c>
    </row>
    <row r="263" spans="1:85" ht="15" customHeight="1" thickBot="1" x14ac:dyDescent="0.3">
      <c r="A263" s="331">
        <f>C263</f>
        <v>10</v>
      </c>
      <c r="B263" s="21"/>
      <c r="C263" s="332">
        <f>C239+1</f>
        <v>10</v>
      </c>
      <c r="D263" s="21"/>
      <c r="E263" s="1117"/>
      <c r="F263" s="1118"/>
      <c r="G263" s="1118"/>
      <c r="H263" s="1118"/>
      <c r="I263" s="1118"/>
      <c r="J263" s="1119"/>
      <c r="K263" s="1138" t="str">
        <f>IF(INDEX('B_Polttoainevirtojen tiedot'!$K$100:$K$124,MATCH(U262,'B_Polttoainevirtojen tiedot'!$D$100:$D$124,0))&gt;0,INDEX('B_Polttoainevirtojen tiedot'!$K$100:$K$124,MATCH(U262,'B_Polttoainevirtojen tiedot'!$D$100:$D$124,0)),"")</f>
        <v/>
      </c>
      <c r="L263" s="1139"/>
      <c r="M263" s="328" t="str">
        <f>Translations!$B$374</f>
        <v>CO2 fossiilinen:</v>
      </c>
      <c r="N263" s="401" t="str">
        <f>IF(E264="","",BG269)</f>
        <v/>
      </c>
      <c r="O263" s="333" t="str">
        <f>EUconst_tCO2</f>
        <v>tCO2</v>
      </c>
      <c r="P263" s="610" t="str">
        <f>IF(AND(E263&lt;&gt;"",COUNTIF(P264:$P$811,"PRINT")=0),"PRINT","")</f>
        <v/>
      </c>
      <c r="Q263" s="335" t="str">
        <f>EUconst_SumCO2</f>
        <v>SUM_CO2</v>
      </c>
      <c r="R263" s="23"/>
      <c r="S263" s="2"/>
      <c r="T263" s="2"/>
      <c r="U263" s="2"/>
      <c r="V263" s="60"/>
      <c r="W263" s="37"/>
      <c r="X263" s="41"/>
      <c r="Y263" s="41"/>
      <c r="Z263" s="41"/>
      <c r="AA263" s="41"/>
      <c r="AB263" s="41"/>
      <c r="AC263" s="41"/>
      <c r="AD263" s="41"/>
      <c r="AE263" s="41"/>
      <c r="AF263" s="41"/>
      <c r="AG263" s="41"/>
      <c r="AH263" s="41"/>
      <c r="AI263" s="337"/>
      <c r="AJ263" s="337"/>
      <c r="AK263" s="337"/>
      <c r="AL263" s="337"/>
      <c r="AM263" s="337"/>
      <c r="AN263" s="337"/>
      <c r="AO263" s="337"/>
      <c r="AP263" s="337"/>
      <c r="AQ263" s="337"/>
      <c r="AR263" s="337"/>
      <c r="AS263" s="337"/>
      <c r="AT263" s="337"/>
      <c r="AU263" s="337"/>
      <c r="AV263" s="337"/>
      <c r="AW263" s="337"/>
      <c r="AX263" s="337"/>
      <c r="AY263" s="337"/>
      <c r="AZ263" s="337"/>
      <c r="BA263" s="337"/>
      <c r="BB263" s="337"/>
      <c r="BC263" s="337"/>
      <c r="BD263" s="337"/>
      <c r="BE263" s="337"/>
      <c r="BF263" s="337"/>
      <c r="BG263" s="337"/>
      <c r="BH263" s="337"/>
      <c r="BI263" s="483" t="str">
        <f>IF(E263="","",E263)</f>
        <v/>
      </c>
      <c r="BJ263" s="338" t="str">
        <f>IF(F269="","",F269)</f>
        <v/>
      </c>
      <c r="BK263" s="485">
        <f>AV269</f>
        <v>0</v>
      </c>
      <c r="BL263" s="485">
        <f>IF(BK263="","",BK263*(1-BP263))</f>
        <v>0</v>
      </c>
      <c r="BM263" s="338" t="str">
        <f>AJ269</f>
        <v/>
      </c>
      <c r="BN263" s="338" t="str">
        <f>IF(F276="","",F276)</f>
        <v/>
      </c>
      <c r="BO263" s="483" t="str">
        <f>IF(G276="","",G276)</f>
        <v/>
      </c>
      <c r="BP263" s="484">
        <f>AV276</f>
        <v>0</v>
      </c>
      <c r="BQ263" s="338" t="str">
        <f>IF(F272="","",F272)</f>
        <v/>
      </c>
      <c r="BR263" s="484">
        <f>AV272</f>
        <v>0</v>
      </c>
      <c r="BS263" s="484" t="str">
        <f>AJ272</f>
        <v/>
      </c>
      <c r="BT263" s="338" t="str">
        <f>IF(F271="","",F271)</f>
        <v/>
      </c>
      <c r="BU263" s="484">
        <f>IF(F271=EUconst_NA,"",AV271)</f>
        <v>0</v>
      </c>
      <c r="BV263" s="484" t="str">
        <f>AJ271</f>
        <v/>
      </c>
      <c r="BW263" s="338" t="str">
        <f>IF(F273="","",F273)</f>
        <v/>
      </c>
      <c r="BX263" s="484">
        <f>AV273</f>
        <v>0</v>
      </c>
      <c r="BY263" s="338" t="str">
        <f>IF(F274="","",F274)</f>
        <v/>
      </c>
      <c r="BZ263" s="484">
        <f>AV274</f>
        <v>0</v>
      </c>
      <c r="CA263" s="485" t="str">
        <f>N263</f>
        <v/>
      </c>
      <c r="CB263" s="485" t="str">
        <f>N264</f>
        <v/>
      </c>
      <c r="CC263" s="485" t="str">
        <f>R266</f>
        <v/>
      </c>
      <c r="CD263" s="485" t="str">
        <f>R268</f>
        <v/>
      </c>
      <c r="CE263" s="485" t="str">
        <f>R269</f>
        <v/>
      </c>
      <c r="CF263" s="37"/>
      <c r="CG263" s="339" t="b">
        <v>0</v>
      </c>
    </row>
    <row r="264" spans="1:85" ht="15" customHeight="1" thickBot="1" x14ac:dyDescent="0.3">
      <c r="A264" s="318"/>
      <c r="B264" s="21"/>
      <c r="C264" s="21"/>
      <c r="D264" s="21"/>
      <c r="E264" s="1127" t="str">
        <f>IF(ISBLANK(E263),"",IF(INDEX('B_Polttoainevirtojen tiedot'!$E$67:$E$91,MATCH(U262,'B_Polttoainevirtojen tiedot'!$D$67:$D$91,0))&gt;0,INDEX('B_Polttoainevirtojen tiedot'!$E$67:$E$91,MATCH(U262,'B_Polttoainevirtojen tiedot'!$D$67:$D$91,0)),""))</f>
        <v/>
      </c>
      <c r="F264" s="1128"/>
      <c r="G264" s="1128"/>
      <c r="H264" s="1128"/>
      <c r="I264" s="1128"/>
      <c r="J264" s="1129"/>
      <c r="K264" s="1138" t="str">
        <f>IF(INDEX('B_Polttoainevirtojen tiedot'!$M$100:$M$124,MATCH(U262,'B_Polttoainevirtojen tiedot'!$D$100:$D$124,0))&gt;0,INDEX('B_Polttoainevirtojen tiedot'!$M$100:$M$124,MATCH(U262,'B_Polttoainevirtojen tiedot'!$D$100:$D$124,0)),"")</f>
        <v/>
      </c>
      <c r="L264" s="1139"/>
      <c r="M264" s="340" t="str">
        <f>Translations!$B$375</f>
        <v>CO2 bio:</v>
      </c>
      <c r="N264" s="482" t="str">
        <f>IF(E264="","",BG271)</f>
        <v/>
      </c>
      <c r="O264" s="341" t="str">
        <f>EUconst_tCO2</f>
        <v>tCO2</v>
      </c>
      <c r="P264" s="301"/>
      <c r="Q264" s="335" t="str">
        <f>EUconst_SumBioCO2</f>
        <v>SUM_bioCO2</v>
      </c>
      <c r="R264" s="23"/>
      <c r="S264" s="2"/>
      <c r="T264" s="2"/>
      <c r="U264" s="2"/>
      <c r="V264" s="60"/>
      <c r="W264" s="37"/>
      <c r="X264" s="41"/>
      <c r="Y264" s="20" t="str">
        <f>Translations!$B$143</f>
        <v>Määrittämistasot</v>
      </c>
      <c r="Z264" s="325"/>
      <c r="AA264" s="325"/>
      <c r="AB264" s="325"/>
      <c r="AC264" s="325"/>
      <c r="AD264" s="325"/>
      <c r="AE264" s="20" t="s">
        <v>95</v>
      </c>
      <c r="AF264" s="41"/>
      <c r="AG264" s="342"/>
      <c r="AH264" s="325"/>
      <c r="AI264" s="325"/>
      <c r="AJ264" s="342"/>
      <c r="AK264" s="342"/>
      <c r="AL264" s="337"/>
      <c r="AM264" s="337"/>
      <c r="AN264" s="337"/>
      <c r="AO264" s="337"/>
      <c r="AP264" s="337"/>
      <c r="AQ264" s="20" t="s">
        <v>96</v>
      </c>
      <c r="AR264" s="343"/>
      <c r="AS264" s="343"/>
      <c r="AT264" s="325"/>
      <c r="AU264" s="325"/>
      <c r="AV264" s="325"/>
      <c r="AW264" s="325"/>
      <c r="AX264" s="325"/>
      <c r="AY264" s="325"/>
      <c r="AZ264" s="20" t="s">
        <v>97</v>
      </c>
      <c r="BA264" s="325"/>
      <c r="BB264" s="325"/>
      <c r="BC264" s="325"/>
      <c r="BD264" s="325"/>
      <c r="BE264" s="325"/>
      <c r="BF264" s="20" t="s">
        <v>98</v>
      </c>
      <c r="BG264" s="325"/>
      <c r="BH264" s="325"/>
      <c r="BI264" s="20" t="s">
        <v>99</v>
      </c>
      <c r="BJ264" s="338" t="str">
        <f>Translations!$B$376</f>
        <v>RFA-määrittämistaso</v>
      </c>
      <c r="BK264" s="338" t="str">
        <f>Translations!$B$377</f>
        <v>RFA</v>
      </c>
      <c r="BL264" s="338" t="str">
        <f>Translations!$B$378</f>
        <v>RFA (SF:n jälkeen)</v>
      </c>
      <c r="BM264" s="338" t="str">
        <f>Translations!$B$379</f>
        <v>RFA-yksikkö</v>
      </c>
      <c r="BN264" s="338" t="str">
        <f>Translations!$B$380</f>
        <v>SF-määrittämistaso</v>
      </c>
      <c r="BO264" s="338" t="str">
        <f>Translations!$B$380</f>
        <v>SF-määrittämistaso</v>
      </c>
      <c r="BP264" s="338" t="str">
        <f>Translations!$B$381</f>
        <v>SF</v>
      </c>
      <c r="BQ264" s="338" t="str">
        <f>Translations!$B$382</f>
        <v>EF-määrittämistaso</v>
      </c>
      <c r="BR264" s="338" t="str">
        <f>Translations!$B$383</f>
        <v>EF</v>
      </c>
      <c r="BS264" s="338" t="str">
        <f>Translations!$B$384</f>
        <v>EF-yksikkö</v>
      </c>
      <c r="BT264" s="338" t="str">
        <f>Translations!$B$385</f>
        <v>UCF-määrittämistaso</v>
      </c>
      <c r="BU264" s="338" t="str">
        <f>Translations!$B$386</f>
        <v>UCF</v>
      </c>
      <c r="BV264" s="338" t="str">
        <f>Translations!$B$387</f>
        <v>UCF-yksikkö</v>
      </c>
      <c r="BW264" s="338" t="str">
        <f>Translations!$B$388</f>
        <v>Bio-määrittämistaso</v>
      </c>
      <c r="BX264" s="338" t="s">
        <v>100</v>
      </c>
      <c r="BY264" s="338" t="str">
        <f>Translations!$B$389</f>
        <v>NonSustBio-määrittämistaso</v>
      </c>
      <c r="BZ264" s="338" t="s">
        <v>101</v>
      </c>
      <c r="CA264" s="338" t="str">
        <f>Translations!$B$390</f>
        <v>CO2 fossil</v>
      </c>
      <c r="CB264" s="338" t="str">
        <f>Translations!$B$391</f>
        <v>CO2 bio</v>
      </c>
      <c r="CC264" s="338" t="str">
        <f>Translations!$B$392</f>
        <v>CO2 non-sust</v>
      </c>
      <c r="CD264" s="338" t="s">
        <v>102</v>
      </c>
      <c r="CE264" s="338" t="s">
        <v>103</v>
      </c>
      <c r="CF264" s="325"/>
      <c r="CG264" s="325"/>
    </row>
    <row r="265" spans="1:85" ht="5.15" customHeight="1" thickBot="1" x14ac:dyDescent="0.3">
      <c r="A265" s="318"/>
      <c r="B265" s="21"/>
      <c r="C265" s="21"/>
      <c r="D265" s="21"/>
      <c r="E265" s="21"/>
      <c r="F265" s="21"/>
      <c r="G265" s="21"/>
      <c r="H265" s="22"/>
      <c r="I265" s="22"/>
      <c r="J265" s="22"/>
      <c r="K265" s="22"/>
      <c r="L265" s="22"/>
      <c r="M265" s="22"/>
      <c r="N265" s="22"/>
      <c r="O265" s="323"/>
      <c r="P265" s="301"/>
      <c r="Q265" s="23"/>
      <c r="R265" s="23"/>
      <c r="S265" s="2"/>
      <c r="T265" s="2"/>
      <c r="U265" s="2"/>
      <c r="V265" s="60"/>
      <c r="W265" s="325"/>
      <c r="X265" s="325"/>
      <c r="Y265" s="23"/>
      <c r="Z265" s="325"/>
      <c r="AA265" s="325"/>
      <c r="AB265" s="325"/>
      <c r="AC265" s="325"/>
      <c r="AD265" s="325"/>
      <c r="AE265" s="325"/>
      <c r="AF265" s="41"/>
      <c r="AG265" s="325"/>
      <c r="AH265" s="325"/>
      <c r="AI265" s="325"/>
      <c r="AJ265" s="342"/>
      <c r="AK265" s="342"/>
      <c r="AL265" s="337"/>
      <c r="AM265" s="337"/>
      <c r="AN265" s="337"/>
      <c r="AO265" s="337"/>
      <c r="AP265" s="337"/>
      <c r="AQ265" s="325"/>
      <c r="AR265" s="325"/>
      <c r="AS265" s="325"/>
      <c r="AT265" s="325"/>
      <c r="AU265" s="325"/>
      <c r="AV265" s="325"/>
      <c r="AW265" s="325"/>
      <c r="AX265" s="325"/>
      <c r="AY265" s="325"/>
      <c r="AZ265" s="325"/>
      <c r="BA265" s="325"/>
      <c r="BB265" s="325"/>
      <c r="BC265" s="325"/>
      <c r="BD265" s="325"/>
      <c r="BE265" s="325"/>
      <c r="BF265" s="325"/>
      <c r="BG265" s="325"/>
      <c r="BH265" s="325"/>
      <c r="BI265" s="325"/>
      <c r="BJ265" s="325"/>
      <c r="BK265" s="325"/>
      <c r="BL265" s="325"/>
      <c r="BM265" s="325"/>
      <c r="BN265" s="325"/>
      <c r="BO265" s="325"/>
      <c r="BP265" s="325"/>
      <c r="BQ265" s="325"/>
      <c r="BR265" s="325"/>
      <c r="BS265" s="325"/>
      <c r="BT265" s="325"/>
      <c r="BU265" s="325"/>
      <c r="BV265" s="325"/>
      <c r="BW265" s="325"/>
      <c r="BX265" s="325"/>
      <c r="BY265" s="325"/>
      <c r="BZ265" s="325"/>
      <c r="CA265" s="325"/>
      <c r="CB265" s="325"/>
      <c r="CC265" s="325"/>
      <c r="CD265" s="325"/>
      <c r="CE265" s="325"/>
      <c r="CF265" s="325"/>
      <c r="CG265" s="325"/>
    </row>
    <row r="266" spans="1:85" ht="12.75" customHeight="1" thickBot="1" x14ac:dyDescent="0.3">
      <c r="A266" s="318"/>
      <c r="B266" s="21"/>
      <c r="C266" s="21"/>
      <c r="D266" s="21"/>
      <c r="E266" s="1140" t="str">
        <f>IF(E263="","",HYPERLINK("#JUMP_E_Top",EUconst_FurtherGuidancePoint1))</f>
        <v/>
      </c>
      <c r="F266" s="1140"/>
      <c r="G266" s="1140"/>
      <c r="H266" s="1140"/>
      <c r="I266" s="1140"/>
      <c r="J266" s="1140"/>
      <c r="K266" s="1140"/>
      <c r="L266" s="1140"/>
      <c r="M266" s="1140"/>
      <c r="N266" s="22"/>
      <c r="O266" s="323"/>
      <c r="P266" s="301"/>
      <c r="Q266" s="335" t="str">
        <f>EUconst_SumNonSustBioCO2</f>
        <v>SUM_bioNonSustCO2</v>
      </c>
      <c r="R266" s="500" t="str">
        <f>IF(E264="","",BG272)</f>
        <v/>
      </c>
      <c r="S266" s="2"/>
      <c r="T266" s="2"/>
      <c r="U266" s="2"/>
      <c r="V266" s="325"/>
      <c r="W266" s="325"/>
      <c r="X266" s="325"/>
      <c r="Y266" s="41"/>
      <c r="Z266" s="325"/>
      <c r="AA266" s="325"/>
      <c r="AB266" s="325"/>
      <c r="AC266" s="325"/>
      <c r="AD266" s="325"/>
      <c r="AE266" s="325"/>
      <c r="AF266" s="41"/>
      <c r="AG266" s="325"/>
      <c r="AH266" s="325"/>
      <c r="AI266" s="325"/>
      <c r="AJ266" s="342"/>
      <c r="AK266" s="342"/>
      <c r="AL266" s="337"/>
      <c r="AM266" s="337"/>
      <c r="AN266" s="337"/>
      <c r="AO266" s="337"/>
      <c r="AP266" s="337"/>
      <c r="AQ266" s="325"/>
      <c r="AR266" s="325"/>
      <c r="AS266" s="325"/>
      <c r="AT266" s="325"/>
      <c r="AU266" s="325"/>
      <c r="AV266" s="325"/>
      <c r="AW266" s="325"/>
      <c r="AX266" s="325"/>
      <c r="AY266" s="325"/>
      <c r="AZ266" s="325"/>
      <c r="BA266" s="325"/>
      <c r="BB266" s="325"/>
      <c r="BC266" s="325"/>
      <c r="BD266" s="325"/>
      <c r="BE266" s="325"/>
      <c r="BF266" s="325"/>
      <c r="BG266" s="325"/>
      <c r="BH266" s="325"/>
      <c r="BI266" s="20" t="s">
        <v>104</v>
      </c>
      <c r="BJ266" s="343"/>
      <c r="BK266" s="483" t="str">
        <f>IF(G280="","",G280)</f>
        <v/>
      </c>
      <c r="BL266" s="483" t="str">
        <f>IF(I280="","",I280)</f>
        <v/>
      </c>
      <c r="BM266" s="483" t="str">
        <f>IF(K280="","",K280)</f>
        <v/>
      </c>
      <c r="BN266" s="325"/>
      <c r="BO266" s="325"/>
      <c r="BP266" s="325"/>
      <c r="BQ266" s="325"/>
      <c r="BR266" s="325"/>
      <c r="BS266" s="325"/>
      <c r="BT266" s="330"/>
      <c r="BU266" s="325"/>
      <c r="BV266" s="325"/>
      <c r="BW266" s="325"/>
      <c r="BX266" s="325"/>
      <c r="BY266" s="325"/>
      <c r="BZ266" s="325"/>
      <c r="CA266" s="325"/>
      <c r="CB266" s="325"/>
      <c r="CC266" s="325"/>
      <c r="CD266" s="325"/>
      <c r="CE266" s="325"/>
      <c r="CF266" s="325"/>
      <c r="CG266" s="325"/>
    </row>
    <row r="267" spans="1:85" ht="5.15" customHeight="1" thickBot="1" x14ac:dyDescent="0.3">
      <c r="A267" s="318"/>
      <c r="B267" s="21"/>
      <c r="C267" s="21"/>
      <c r="D267" s="21"/>
      <c r="E267" s="21"/>
      <c r="F267" s="21"/>
      <c r="G267" s="21"/>
      <c r="H267" s="22"/>
      <c r="I267" s="22"/>
      <c r="J267" s="22"/>
      <c r="K267" s="22"/>
      <c r="L267" s="22"/>
      <c r="M267" s="22"/>
      <c r="N267" s="22"/>
      <c r="O267" s="323"/>
      <c r="P267" s="259"/>
      <c r="Q267" s="2"/>
      <c r="R267" s="259"/>
      <c r="S267" s="2"/>
      <c r="T267" s="2"/>
      <c r="U267" s="2"/>
      <c r="V267" s="325"/>
      <c r="W267" s="325"/>
      <c r="X267" s="325"/>
      <c r="Y267" s="23"/>
      <c r="Z267" s="325"/>
      <c r="AA267" s="325"/>
      <c r="AB267" s="325"/>
      <c r="AC267" s="325"/>
      <c r="AD267" s="325"/>
      <c r="AE267" s="325"/>
      <c r="AF267" s="41"/>
      <c r="AG267" s="325"/>
      <c r="AH267" s="325"/>
      <c r="AI267" s="325"/>
      <c r="AJ267" s="342"/>
      <c r="AK267" s="342"/>
      <c r="AL267" s="337"/>
      <c r="AM267" s="337"/>
      <c r="AN267" s="337"/>
      <c r="AO267" s="337"/>
      <c r="AP267" s="337"/>
      <c r="AQ267" s="325"/>
      <c r="AR267" s="325"/>
      <c r="AS267" s="325"/>
      <c r="AT267" s="325"/>
      <c r="AU267" s="325"/>
      <c r="AV267" s="325"/>
      <c r="AW267" s="325"/>
      <c r="AX267" s="325"/>
      <c r="AY267" s="325"/>
      <c r="AZ267" s="325"/>
      <c r="BA267" s="325"/>
      <c r="BB267" s="325"/>
      <c r="BC267" s="325"/>
      <c r="BD267" s="325"/>
      <c r="BE267" s="325"/>
      <c r="BF267" s="325"/>
      <c r="BG267" s="325"/>
      <c r="BH267" s="325"/>
      <c r="BI267" s="325"/>
      <c r="BJ267" s="325"/>
      <c r="BK267" s="325"/>
      <c r="BL267" s="325"/>
      <c r="BM267" s="325"/>
      <c r="BN267" s="325"/>
      <c r="BO267" s="325"/>
      <c r="BP267" s="325"/>
      <c r="BQ267" s="325"/>
      <c r="BR267" s="325"/>
      <c r="BS267" s="325"/>
      <c r="BT267" s="325"/>
      <c r="BU267" s="325"/>
      <c r="BV267" s="325"/>
      <c r="BW267" s="325"/>
      <c r="BX267" s="325"/>
      <c r="BY267" s="325"/>
      <c r="BZ267" s="325"/>
      <c r="CA267" s="325"/>
      <c r="CB267" s="325"/>
      <c r="CC267" s="325"/>
      <c r="CD267" s="325"/>
      <c r="CE267" s="325"/>
      <c r="CF267" s="325"/>
      <c r="CG267" s="325"/>
    </row>
    <row r="268" spans="1:85" ht="12.75" customHeight="1" thickBot="1" x14ac:dyDescent="0.3">
      <c r="A268" s="318"/>
      <c r="B268" s="21"/>
      <c r="C268" s="21"/>
      <c r="D268" s="21"/>
      <c r="E268" s="21"/>
      <c r="F268" s="347" t="str">
        <f>Translations!$B$127</f>
        <v>Määrittämistaso</v>
      </c>
      <c r="G268" s="1141" t="str">
        <f>Translations!$B$393</f>
        <v>määrittämistason kuvaus</v>
      </c>
      <c r="H268" s="1141"/>
      <c r="I268" s="1142" t="str">
        <f>Translations!$B$394</f>
        <v>Yksikkö</v>
      </c>
      <c r="J268" s="1142"/>
      <c r="K268" s="1142" t="str">
        <f>Translations!$B$395</f>
        <v>Arvo</v>
      </c>
      <c r="L268" s="1142"/>
      <c r="M268" s="327" t="str">
        <f>Translations!$B$396</f>
        <v>virhe</v>
      </c>
      <c r="N268" s="22"/>
      <c r="O268" s="323"/>
      <c r="P268" s="611"/>
      <c r="Q268" s="335" t="str">
        <f>EUconst_SumEnergyIN</f>
        <v>SUM_EnergyIN</v>
      </c>
      <c r="R268" s="501" t="str">
        <f>IF(E264="","",BG273)</f>
        <v/>
      </c>
      <c r="S268" s="325"/>
      <c r="T268" s="325"/>
      <c r="U268" s="325"/>
      <c r="V268" s="336" t="s">
        <v>105</v>
      </c>
      <c r="W268" s="325"/>
      <c r="X268" s="325"/>
      <c r="Y268" s="23" t="s">
        <v>106</v>
      </c>
      <c r="Z268" s="23" t="s">
        <v>107</v>
      </c>
      <c r="AA268" s="325"/>
      <c r="AB268" s="325"/>
      <c r="AC268" s="343" t="s">
        <v>108</v>
      </c>
      <c r="AD268" s="325"/>
      <c r="AE268" s="325"/>
      <c r="AF268" s="325" t="s">
        <v>109</v>
      </c>
      <c r="AG268" s="325" t="s">
        <v>110</v>
      </c>
      <c r="AH268" s="23" t="s">
        <v>111</v>
      </c>
      <c r="AI268" s="342" t="s">
        <v>112</v>
      </c>
      <c r="AJ268" s="342" t="s">
        <v>113</v>
      </c>
      <c r="AK268" s="348" t="s">
        <v>114</v>
      </c>
      <c r="AL268" s="337"/>
      <c r="AM268" s="337"/>
      <c r="AN268" s="337"/>
      <c r="AO268" s="337"/>
      <c r="AP268" s="337"/>
      <c r="AQ268" s="325"/>
      <c r="AR268" s="325" t="s">
        <v>109</v>
      </c>
      <c r="AS268" s="325" t="s">
        <v>110</v>
      </c>
      <c r="AT268" s="349" t="s">
        <v>115</v>
      </c>
      <c r="AU268" s="342" t="s">
        <v>116</v>
      </c>
      <c r="AV268" s="342" t="s">
        <v>117</v>
      </c>
      <c r="AW268" s="348" t="s">
        <v>114</v>
      </c>
      <c r="AX268" s="348" t="s">
        <v>114</v>
      </c>
      <c r="AY268" s="325"/>
      <c r="AZ268" s="325"/>
      <c r="BA268" s="325"/>
      <c r="BB268" s="325" t="s">
        <v>118</v>
      </c>
      <c r="BC268" s="325"/>
      <c r="BD268" s="325"/>
      <c r="BE268" s="325"/>
      <c r="BF268" s="325"/>
      <c r="BG268" s="330" t="str">
        <f>EUconst_Fuel</f>
        <v>Poltto</v>
      </c>
      <c r="BH268" s="325"/>
      <c r="BI268" s="325"/>
      <c r="BJ268" s="325"/>
      <c r="BK268" s="325"/>
      <c r="BL268" s="325"/>
      <c r="BM268" s="325"/>
      <c r="BN268" s="325"/>
      <c r="BO268" s="325"/>
      <c r="BP268" s="325"/>
      <c r="BQ268" s="325"/>
      <c r="BR268" s="325"/>
      <c r="BS268" s="325"/>
      <c r="BT268" s="325"/>
      <c r="BU268" s="325"/>
      <c r="BV268" s="325"/>
      <c r="BW268" s="325"/>
      <c r="BX268" s="325"/>
      <c r="BY268" s="325"/>
      <c r="BZ268" s="325"/>
      <c r="CA268" s="325"/>
      <c r="CB268" s="325"/>
      <c r="CC268" s="325"/>
      <c r="CD268" s="325"/>
      <c r="CE268" s="325"/>
      <c r="CF268" s="325"/>
      <c r="CG268" s="330" t="s">
        <v>94</v>
      </c>
    </row>
    <row r="269" spans="1:85" ht="12.75" customHeight="1" thickBot="1" x14ac:dyDescent="0.3">
      <c r="A269" s="318"/>
      <c r="B269" s="21"/>
      <c r="C269" s="344"/>
      <c r="D269" s="345" t="str">
        <f>Translations!$B$356</f>
        <v>Polttoaineen määrä:</v>
      </c>
      <c r="E269" s="350"/>
      <c r="F269" s="351"/>
      <c r="G269" s="1120" t="str">
        <f>IF(OR(ISBLANK(F269),F269=EUconst_NoTier),"",IF(Z269=0,EUconst_NA,IF(ISERROR(Z269),"",Z269)))</f>
        <v/>
      </c>
      <c r="H269" s="1122"/>
      <c r="I269" s="352" t="str">
        <f>IF(J269&lt;&gt;"","",AI269)</f>
        <v/>
      </c>
      <c r="J269" s="353"/>
      <c r="K269" s="1143"/>
      <c r="L269" s="1144"/>
      <c r="M269" s="486" t="str">
        <f>IF(AND(E264&lt;&gt;"",OR(F269="",COUNT(K269)=0),Y269&lt;&gt;EUconst_NA),EUconst_ERR_Incomplete,"")</f>
        <v/>
      </c>
      <c r="N269" s="22"/>
      <c r="O269" s="323"/>
      <c r="P269" s="612"/>
      <c r="Q269" s="335" t="str">
        <f>EUconst_SumBioEnergyIN</f>
        <v>SUM_BioEnergyIN</v>
      </c>
      <c r="R269" s="501" t="str">
        <f>IF(E264="","",BG274)</f>
        <v/>
      </c>
      <c r="S269" s="325"/>
      <c r="T269" s="355" t="str">
        <f>EUconst_CNTR_ActivityData&amp;E264</f>
        <v>ActivityData_</v>
      </c>
      <c r="U269" s="23"/>
      <c r="V269" s="355" t="str">
        <f>IF(E263="","",INDEX('B_Polttoainevirtojen tiedot'!$I$67:$I$91,MATCH(U262,'B_Polttoainevirtojen tiedot'!$D$67:$D$91,0)))</f>
        <v/>
      </c>
      <c r="W269" s="342" t="s">
        <v>121</v>
      </c>
      <c r="X269" s="23"/>
      <c r="Y269" s="356" t="str">
        <f>IF(E264="","",INDEX(EUwideConstants!$P$153:$P$180,MATCH(T269,EUwideConstants!$S$153:$S$180,0)))</f>
        <v/>
      </c>
      <c r="Z269" s="357" t="str">
        <f>IF(ISBLANK(F269),"",IF(F269=EUconst_NA,"",INDEX(EUwideConstants!$H:$O,MATCH(T269,EUwideConstants!$S:$S,0),MATCH(F269,CNTR_TierList,0))))</f>
        <v/>
      </c>
      <c r="AA269" s="358" t="s">
        <v>111</v>
      </c>
      <c r="AB269" s="342"/>
      <c r="AC269" s="339" t="b">
        <f>E263&lt;&gt;""</f>
        <v>0</v>
      </c>
      <c r="AD269" s="325"/>
      <c r="AE269" s="359" t="str">
        <f>EUconst_CNTR_ActivityData&amp;EUconst_Unit</f>
        <v>ActivityData_Yksikkö</v>
      </c>
      <c r="AF269" s="360" t="str">
        <f>IF(AC269=TRUE, IF(COUNTIF(MSPara_SourceStreamCategory,V269)=0,"",INDEX(MSPara_CalcFactorsMatrix,MATCH(V269,MSPara_SourceStreamCategory,0),MATCH(AE269&amp;"_"&amp;2,MSPara_CalcFactors,0))),"")</f>
        <v/>
      </c>
      <c r="AG269" s="361" t="str">
        <f>IF(AC269=TRUE, IF(COUNTIF(MSPara_SourceStreamCategory,V269)=0,"",INDEX(MSPara_CalcFactorsMatrix,MATCH(V269,MSPara_SourceStreamCategory,0),MATCH(AE269&amp;"_"&amp;1,MSPara_CalcFactors,0))),"")</f>
        <v/>
      </c>
      <c r="AH269" s="339" t="str">
        <f>IF(OR(AF269="",AF269=EUconst_NA),IF(OR(AG269=EUconst_NA,AG269=""),"",AG269),AF269)</f>
        <v/>
      </c>
      <c r="AI269" s="356" t="str">
        <f>IF(AC269=TRUE,IF(AH269="",EUconst_t,AH269),"")</f>
        <v/>
      </c>
      <c r="AJ269" s="362" t="str">
        <f>IF(J269="",AI269,J269)</f>
        <v/>
      </c>
      <c r="AK269" s="363" t="b">
        <f>AND(E263&lt;&gt;"",J269&lt;&gt;"")</f>
        <v>0</v>
      </c>
      <c r="AL269" s="337"/>
      <c r="AM269" s="404" t="s">
        <v>122</v>
      </c>
      <c r="AN269" s="403" t="str">
        <f>AJ269</f>
        <v/>
      </c>
      <c r="AO269" s="337"/>
      <c r="AP269" s="337"/>
      <c r="AQ269" s="355" t="str">
        <f>EUconst_CNTR_ActivityData&amp;EUconst_Value</f>
        <v>ActivityData_Arvo</v>
      </c>
      <c r="AR269" s="343"/>
      <c r="AS269" s="343"/>
      <c r="AT269" s="339" t="b">
        <f>AND(AND(AH269&lt;&gt;"",AJ269&lt;&gt;""),AJ269=AH269)</f>
        <v>0</v>
      </c>
      <c r="AU269" s="325"/>
      <c r="AV269" s="339">
        <f>IF(Y269=EUconst_NA,0,IF(COUNT(K269:K269)=0,0,IF(K269="",#REF!,K269)))</f>
        <v>0</v>
      </c>
      <c r="AW269" s="346" t="b">
        <f>AND(AC269=TRUE,OR(K269&lt;&gt;"",AU269=""))</f>
        <v>0</v>
      </c>
      <c r="AX269" s="346" t="b">
        <f>AND(AC269=TRUE,NOT(AW269))</f>
        <v>0</v>
      </c>
      <c r="AY269" s="325"/>
      <c r="AZ269" s="325" t="s">
        <v>123</v>
      </c>
      <c r="BA269" s="325" t="s">
        <v>124</v>
      </c>
      <c r="BB269" s="346"/>
      <c r="BC269" s="325" t="s">
        <v>125</v>
      </c>
      <c r="BD269" s="325"/>
      <c r="BE269" s="325"/>
      <c r="BF269" s="400" t="str">
        <f>Translations!$B$390</f>
        <v>CO2 fossil</v>
      </c>
      <c r="BG269" s="495" t="str">
        <f>IF(COUNTIF(AO272:AO273,TRUE)=0,"",AV269*IF(AO272,1,AV271*AN273)*AV272*(1-AV273)*AV276)</f>
        <v/>
      </c>
      <c r="BH269" s="325"/>
      <c r="BI269" s="325"/>
      <c r="BJ269" s="325"/>
      <c r="BK269" s="325"/>
      <c r="BL269" s="325"/>
      <c r="BM269" s="325"/>
      <c r="BN269" s="325"/>
      <c r="BO269" s="325"/>
      <c r="BP269" s="325"/>
      <c r="BQ269" s="325"/>
      <c r="BR269" s="325"/>
      <c r="BS269" s="325"/>
      <c r="BT269" s="325"/>
      <c r="BU269" s="325"/>
      <c r="BV269" s="325"/>
      <c r="BW269" s="325"/>
      <c r="BX269" s="325"/>
      <c r="BY269" s="325"/>
      <c r="BZ269" s="325"/>
      <c r="CA269" s="325"/>
      <c r="CB269" s="325"/>
      <c r="CC269" s="325"/>
      <c r="CD269" s="325"/>
      <c r="CE269" s="325"/>
      <c r="CF269" s="325"/>
      <c r="CG269" s="346" t="b">
        <v>0</v>
      </c>
    </row>
    <row r="270" spans="1:85" ht="5.15" customHeight="1" thickBot="1" x14ac:dyDescent="0.3">
      <c r="A270" s="318"/>
      <c r="B270" s="21"/>
      <c r="C270" s="344"/>
      <c r="D270" s="188"/>
      <c r="E270" s="22"/>
      <c r="F270" s="22"/>
      <c r="G270" s="22"/>
      <c r="H270" s="22" t="str">
        <f>Translations!$B$397</f>
        <v xml:space="preserve"> </v>
      </c>
      <c r="I270" s="364"/>
      <c r="J270" s="364"/>
      <c r="K270" s="22"/>
      <c r="L270" s="22"/>
      <c r="M270" s="487"/>
      <c r="N270" s="22"/>
      <c r="O270" s="323"/>
      <c r="P270" s="301"/>
      <c r="Q270" s="23"/>
      <c r="R270" s="23"/>
      <c r="S270" s="325"/>
      <c r="T270" s="277"/>
      <c r="U270" s="23"/>
      <c r="V270" s="325"/>
      <c r="W270" s="325"/>
      <c r="X270" s="23"/>
      <c r="Y270" s="330"/>
      <c r="Z270" s="325"/>
      <c r="AA270" s="325"/>
      <c r="AB270" s="325"/>
      <c r="AC270" s="325"/>
      <c r="AD270" s="325"/>
      <c r="AE270" s="325"/>
      <c r="AF270" s="325"/>
      <c r="AG270" s="325"/>
      <c r="AH270" s="325"/>
      <c r="AI270" s="325"/>
      <c r="AJ270" s="325"/>
      <c r="AK270" s="325"/>
      <c r="AL270" s="337"/>
      <c r="AM270" s="337"/>
      <c r="AN270" s="337"/>
      <c r="AO270" s="337"/>
      <c r="AP270" s="337"/>
      <c r="AQ270" s="325"/>
      <c r="AR270" s="325"/>
      <c r="AS270" s="325"/>
      <c r="AT270" s="325"/>
      <c r="AU270" s="325"/>
      <c r="AV270" s="325"/>
      <c r="AW270" s="325"/>
      <c r="AX270" s="325"/>
      <c r="AY270" s="325"/>
      <c r="AZ270" s="325"/>
      <c r="BA270" s="325"/>
      <c r="BB270" s="325"/>
      <c r="BC270" s="325"/>
      <c r="BD270" s="325"/>
      <c r="BE270" s="325"/>
      <c r="BF270" s="325"/>
      <c r="BG270" s="496"/>
      <c r="BH270" s="325"/>
      <c r="BI270" s="325"/>
      <c r="BJ270" s="325"/>
      <c r="BK270" s="325"/>
      <c r="BL270" s="325"/>
      <c r="BM270" s="325"/>
      <c r="BN270" s="325"/>
      <c r="BO270" s="325"/>
      <c r="BP270" s="325"/>
      <c r="BQ270" s="325"/>
      <c r="BR270" s="325"/>
      <c r="BS270" s="325"/>
      <c r="BT270" s="325"/>
      <c r="BU270" s="325"/>
      <c r="BV270" s="325"/>
      <c r="BW270" s="325"/>
      <c r="BX270" s="325"/>
      <c r="BY270" s="325"/>
      <c r="BZ270" s="325"/>
      <c r="CA270" s="325"/>
      <c r="CB270" s="325"/>
      <c r="CC270" s="325"/>
      <c r="CD270" s="325"/>
      <c r="CE270" s="325"/>
      <c r="CF270" s="325"/>
      <c r="CG270" s="330"/>
    </row>
    <row r="271" spans="1:85" ht="12.75" customHeight="1" thickBot="1" x14ac:dyDescent="0.3">
      <c r="A271" s="318"/>
      <c r="B271" s="21"/>
      <c r="C271" s="344"/>
      <c r="D271" s="345" t="str">
        <f>Translations!$B$360</f>
        <v>Yksikön muuntokerroin:</v>
      </c>
      <c r="E271" s="350"/>
      <c r="F271" s="443"/>
      <c r="G271" s="1120" t="str">
        <f>IF(OR(ISBLANK(F271),F271=EUconst_NoTier),"",IF(Z271=0,EUconst_NotApplicable,IF(ISERROR(Z271),"",Z271)))</f>
        <v/>
      </c>
      <c r="H271" s="1122"/>
      <c r="I271" s="444" t="str">
        <f>IF(J271&lt;&gt;"","",AI271)</f>
        <v/>
      </c>
      <c r="J271" s="445"/>
      <c r="K271" s="632" t="str">
        <f>IF(L271="",AU271,"")</f>
        <v/>
      </c>
      <c r="L271" s="633"/>
      <c r="M271" s="486" t="str">
        <f>IF(AND(E264&lt;&gt;"",OR(F271="",COUNT(K271:L271)=0),Y271&lt;&gt;EUconst_NA),EUconst_ERR_Incomplete,IF(COUNTIF(BB271:BD271,TRUE)&gt;0,EUconst_ERR_Inconsistent,""))</f>
        <v/>
      </c>
      <c r="N271" s="752"/>
      <c r="O271" s="323"/>
      <c r="P271" s="301"/>
      <c r="Q271" s="23"/>
      <c r="R271" s="23"/>
      <c r="S271" s="325"/>
      <c r="T271" s="365" t="str">
        <f>EUconst_CNTR_UCF&amp;E264</f>
        <v>UCF_</v>
      </c>
      <c r="U271" s="23"/>
      <c r="V271" s="366" t="str">
        <f>V272</f>
        <v/>
      </c>
      <c r="W271" s="325"/>
      <c r="X271" s="23"/>
      <c r="Y271" s="448" t="str">
        <f>IF(E264="","",IF(OR(F271=EUconst_NA,W271=TRUE),EUconst_NA,INDEX(EUwideConstants!$P$153:$P$180,MATCH(T271,EUwideConstants!$S$153:$S$180,0))))</f>
        <v/>
      </c>
      <c r="Z271" s="471" t="str">
        <f>IF(ISBLANK(F271),"",IF(F271=EUconst_NA,"",INDEX(EUwideConstants!$H:$O,MATCH(T271,EUwideConstants!$S:$S,0),MATCH(F271,CNTR_TierList,0))))</f>
        <v/>
      </c>
      <c r="AA271" s="449" t="str">
        <f>IF(COUNTIF(EUconst_DefaultValues,Z271)&gt;0,MATCH(Z271,EUconst_DefaultValues,0),"")</f>
        <v/>
      </c>
      <c r="AB271" s="325"/>
      <c r="AC271" s="367" t="b">
        <f>AND(AC269,Y271&lt;&gt;EUconst_NA)</f>
        <v>0</v>
      </c>
      <c r="AD271" s="325"/>
      <c r="AE271" s="359" t="str">
        <f>EUconst_CNTR_UCF&amp;EUconst_Unit</f>
        <v>UCF_Yksikkö</v>
      </c>
      <c r="AF271" s="368" t="str">
        <f>IF(AC271=TRUE, IF(COUNTIF(MSPara_SourceStreamCategory,V271)=0,"",INDEX(MSPara_CalcFactorsMatrix,MATCH(V271,MSPara_SourceStreamCategory,0),MATCH(AE271&amp;"_"&amp;2,MSPara_CalcFactors,0))),"")</f>
        <v/>
      </c>
      <c r="AG271" s="372" t="str">
        <f>IF(AC271=TRUE, IF(COUNTIF(MSPara_SourceStreamCategory,V271)=0,"",INDEX(MSPara_CalcFactorsMatrix,MATCH(V271,MSPara_SourceStreamCategory,0),MATCH(AE271&amp;"_"&amp;1,MSPara_CalcFactors,0))),"")</f>
        <v/>
      </c>
      <c r="AH271" s="367" t="str">
        <f>IF(AA271="","",INDEX(AF271:AG271,3-AA271))</f>
        <v/>
      </c>
      <c r="AI271" s="367" t="str">
        <f>IF(AC271=TRUE,IF(OR(AH271="",AH271=EUconst_NA),EUconst_GJ&amp;"/"&amp;AJ269,AH271),"")</f>
        <v/>
      </c>
      <c r="AJ271" s="367" t="str">
        <f>IF(J271="",AI271,J271)</f>
        <v/>
      </c>
      <c r="AK271" s="366" t="b">
        <f>AND(E263&lt;&gt;"",J271&lt;&gt;"")</f>
        <v>0</v>
      </c>
      <c r="AL271" s="337"/>
      <c r="AM271" s="404" t="s">
        <v>127</v>
      </c>
      <c r="AN271" s="403" t="str">
        <f>IF(AJ271="",EUconst_NA,IF(AN269=EUconst_TJ,EUconst_TJ,INDEX(EUwideConstants!$C$124:$G$128,MATCH(AN269,RFAUnits,0),MATCH(AJ271,UCFUnits,0))))</f>
        <v>ei sovellettavissa</v>
      </c>
      <c r="AO271" s="337"/>
      <c r="AP271" s="337"/>
      <c r="AQ271" s="454" t="str">
        <f>EUconst_CNTR_UCF&amp;EUconst_Value</f>
        <v>UCF_Arvo</v>
      </c>
      <c r="AR271" s="475" t="str">
        <f>IF(AC271=TRUE,IF(COUNTIF(MSPara_SourceStreamCategory,V271)=0,"",INDEX(MSPara_CalcFactorsMatrix,MATCH(V271,MSPara_SourceStreamCategory,0),MATCH(AQ271&amp;"_"&amp;2,MSPara_CalcFactors,0))),"")</f>
        <v/>
      </c>
      <c r="AS271" s="371" t="str">
        <f>IF(AC271=TRUE,IF(COUNTIF(MSPara_SourceStreamCategory,V271)=0,"",INDEX(MSPara_CalcFactorsMatrix,MATCH(V271,MSPara_SourceStreamCategory,0),MATCH(AQ271&amp;"_"&amp;1,MSPara_CalcFactors,0))),"")</f>
        <v/>
      </c>
      <c r="AT271" s="369" t="b">
        <f>AND(AND(AH271&lt;&gt;"",AJ271&lt;&gt;""),AJ271=AH271)</f>
        <v>0</v>
      </c>
      <c r="AU271" s="381" t="str">
        <f>IF(AND(AA271&lt;&gt;"",AT271=TRUE),IF(OR(INDEX(AR271:AS271,3-AA271)=EUconst_NA,INDEX(AR271:AS271,3-AA271)=0),"",INDEX(AR271:AS271,3-AA271)),"")</f>
        <v/>
      </c>
      <c r="AV271" s="367">
        <f>IF(AC271=TRUE,IF(COUNT(K271:L271)=0,0,IF(L271="",K271,L271)),0)</f>
        <v>0</v>
      </c>
      <c r="AW271" s="366" t="b">
        <f>AND(AC271=TRUE,OR(AND(F271&lt;&gt;"",NOT(ISNUMBER(AA271))),L271&lt;&gt;"",F271="",AU271=""))</f>
        <v>0</v>
      </c>
      <c r="AX271" s="370" t="b">
        <f>AND(AC271=TRUE,NOT(AW271))</f>
        <v>0</v>
      </c>
      <c r="AY271" s="325"/>
      <c r="AZ271" s="373" t="b">
        <f>AND(ISNUMBER(AA271),AU271="")</f>
        <v>0</v>
      </c>
      <c r="BA271" s="399" t="b">
        <f>AND(ISNUMBER(AA271),AU271&lt;&gt;AV271)</f>
        <v>0</v>
      </c>
      <c r="BB271" s="366" t="b">
        <f>AND(E264&lt;&gt;"",F271&lt;&gt;EUconst_NA,AN271=EUconst_NA)</f>
        <v>0</v>
      </c>
      <c r="BC271" s="366" t="b">
        <f>AND(L271&lt;&gt;"",Y271=EUconst_NA)</f>
        <v>0</v>
      </c>
      <c r="BD271" s="325"/>
      <c r="BE271" s="325"/>
      <c r="BF271" s="373" t="s">
        <v>128</v>
      </c>
      <c r="BG271" s="497" t="str">
        <f>IF(COUNTIF(AO272:AO273,TRUE)=0,"",AV269*IF(AO272,1,AV271*AN273)*AV272*AV273*AV276)</f>
        <v/>
      </c>
      <c r="BH271" s="325"/>
      <c r="BI271" s="325"/>
      <c r="BJ271" s="325"/>
      <c r="BK271" s="325"/>
      <c r="BL271" s="325"/>
      <c r="BM271" s="325"/>
      <c r="BN271" s="325"/>
      <c r="BO271" s="325"/>
      <c r="BP271" s="325"/>
      <c r="BQ271" s="325"/>
      <c r="BR271" s="325"/>
      <c r="BS271" s="325"/>
      <c r="BT271" s="325"/>
      <c r="BU271" s="325"/>
      <c r="BV271" s="325"/>
      <c r="BW271" s="325"/>
      <c r="BX271" s="325"/>
      <c r="BY271" s="325"/>
      <c r="BZ271" s="325"/>
      <c r="CA271" s="325"/>
      <c r="CB271" s="325"/>
      <c r="CC271" s="325"/>
      <c r="CD271" s="325"/>
      <c r="CE271" s="325"/>
      <c r="CF271" s="325"/>
      <c r="CG271" s="375" t="b">
        <f>OR(CG269,Y271=EUconst_NA)</f>
        <v>0</v>
      </c>
    </row>
    <row r="272" spans="1:85" ht="12.75" customHeight="1" thickBot="1" x14ac:dyDescent="0.3">
      <c r="A272" s="318"/>
      <c r="B272" s="21"/>
      <c r="C272" s="344"/>
      <c r="D272" s="345" t="str">
        <f>Translations!$B$358</f>
        <v>Päästökerroin (alustava):</v>
      </c>
      <c r="E272" s="350"/>
      <c r="F272" s="624"/>
      <c r="G272" s="1120" t="str">
        <f>IF(OR(ISBLANK(F272),F272=EUconst_NoTier),"",IF(Z272=0,EUconst_NotApplicable,IF(ISERROR(Z272),"",Z272)))</f>
        <v/>
      </c>
      <c r="H272" s="1121"/>
      <c r="I272" s="625" t="str">
        <f>IF(J272&lt;&gt;"","",AI272)</f>
        <v/>
      </c>
      <c r="J272" s="631"/>
      <c r="K272" s="634" t="str">
        <f>IF(L272="",AU272,"")</f>
        <v/>
      </c>
      <c r="L272" s="754"/>
      <c r="M272" s="486" t="str">
        <f>IF(AND(E264&lt;&gt;"",OR(F272="",COUNT(K272:L272)=0),Y272&lt;&gt;EUconst_NA),EUconst_ERR_Incomplete,IF(COUNTIF(BB272:BD272,TRUE)&gt;0,EUconst_ERR_Inconsistent,""))</f>
        <v/>
      </c>
      <c r="N272" s="753"/>
      <c r="O272" s="323"/>
      <c r="P272" s="301"/>
      <c r="Q272" s="23"/>
      <c r="R272" s="23"/>
      <c r="S272" s="325"/>
      <c r="T272" s="374" t="str">
        <f>EUconst_CNTR_EF&amp;E264</f>
        <v>EF_</v>
      </c>
      <c r="U272" s="23"/>
      <c r="V272" s="375" t="str">
        <f>V269</f>
        <v/>
      </c>
      <c r="W272" s="325"/>
      <c r="X272" s="23"/>
      <c r="Y272" s="450" t="str">
        <f>IF(E264="","",IF(OR(F272=EUconst_NA,W272=TRUE),EUconst_NA,INDEX(EUwideConstants!$P$153:$P$180,MATCH(T272,EUwideConstants!$S$153:$S$180,0))))</f>
        <v/>
      </c>
      <c r="Z272" s="472" t="str">
        <f>IF(ISBLANK(F272),"",IF(F272=EUconst_NA,"",INDEX(EUwideConstants!$H:$O,MATCH(T272,EUwideConstants!$S:$S,0),MATCH(F272,CNTR_TierList,0))))</f>
        <v/>
      </c>
      <c r="AA272" s="451" t="str">
        <f>IF(COUNTIF(EUconst_DefaultValues,Z272)&gt;0,MATCH(Z272,EUconst_DefaultValues,0),"")</f>
        <v/>
      </c>
      <c r="AB272" s="325"/>
      <c r="AC272" s="376" t="b">
        <f>AND(AC269,Y272&lt;&gt;EUconst_NA)</f>
        <v>0</v>
      </c>
      <c r="AD272" s="325"/>
      <c r="AE272" s="377" t="str">
        <f>EUconst_CNTR_EF&amp;EUconst_Unit</f>
        <v>EF_Yksikkö</v>
      </c>
      <c r="AF272" s="378" t="str">
        <f>IF(AC272=TRUE, IF(COUNTIF(MSPara_SourceStreamCategory,V272)=0,"",INDEX(MSPara_CalcFactorsMatrix,MATCH(V272,MSPara_SourceStreamCategory,0),MATCH(AE272&amp;"_"&amp;2,MSPara_CalcFactors,0))),"")</f>
        <v/>
      </c>
      <c r="AG272" s="464" t="str">
        <f>IF(AC272=TRUE, IF(COUNTIF(MSPara_SourceStreamCategory,V272)=0,"",INDEX(MSPara_CalcFactorsMatrix,MATCH(V272,MSPara_SourceStreamCategory,0),MATCH(AE272&amp;"_"&amp;1,MSPara_CalcFactors,0))),"")</f>
        <v/>
      </c>
      <c r="AH272" s="376" t="str">
        <f>IF(AA272="","",INDEX(AF272:AG272,3-AA272))</f>
        <v/>
      </c>
      <c r="AI272" s="376" t="str">
        <f>IF(AC272=TRUE,IF(OR(AH272="",AH272=EUconst_NA),EUconst_tCO2&amp;"/"&amp;IF(AN271=EUconst_NA,AN269,IF(AN271=EUconst_GJ,EUconst_TJ,AN271)),AH272),"")</f>
        <v/>
      </c>
      <c r="AJ272" s="376" t="str">
        <f>IF(J272="",AI272,J272)</f>
        <v/>
      </c>
      <c r="AK272" s="375" t="b">
        <f>AND(E264&lt;&gt;"",J272&lt;&gt;"")</f>
        <v>0</v>
      </c>
      <c r="AL272" s="337"/>
      <c r="AM272" s="404" t="s">
        <v>130</v>
      </c>
      <c r="AN272" s="403" t="str">
        <f>IF(COUNTIF(RFAUnits,AN269)=0,EUconst_NA,INDEX(EUwideConstants!$C$139:$H$143,MATCH(AJ272,EFUnits,0),MATCH(AN269,EUwideConstants!$C$138:$H$138,0)))</f>
        <v>ei sovellettavissa</v>
      </c>
      <c r="AO272" s="403" t="b">
        <f>AN272&lt;&gt;EUconst_NA</f>
        <v>0</v>
      </c>
      <c r="AP272" s="337"/>
      <c r="AQ272" s="455" t="str">
        <f>EUconst_CNTR_EF&amp;EUconst_Value</f>
        <v>EF_Arvo</v>
      </c>
      <c r="AR272" s="476" t="str">
        <f>IF(AC272=TRUE,IF(COUNTIF(MSPara_SourceStreamCategory,V272)=0,"",INDEX(MSPara_CalcFactorsMatrix,MATCH(V272,MSPara_SourceStreamCategory,0),MATCH(AQ272&amp;"_"&amp;2,MSPara_CalcFactors,0))),"")</f>
        <v/>
      </c>
      <c r="AS272" s="383" t="str">
        <f>IF(AC272=TRUE,IF(COUNTIF(MSPara_SourceStreamCategory,V272)=0,"",INDEX(MSPara_CalcFactorsMatrix,MATCH(V272,MSPara_SourceStreamCategory,0),MATCH(AQ272&amp;"_"&amp;1,MSPara_CalcFactors,0))),"")</f>
        <v/>
      </c>
      <c r="AT272" s="456" t="b">
        <f>AND(AND(AH272&lt;&gt;"",AJ272&lt;&gt;""),AJ272=AH272)</f>
        <v>0</v>
      </c>
      <c r="AU272" s="334" t="str">
        <f>IF(AND(AA272&lt;&gt;"",AT272=TRUE),IF(OR(INDEX(AR272:AS272,3-AA272)=EUconst_NA,INDEX(AR272:AS272,3-AA272)=0),"",INDEX(AR272:AS272,3-AA272)),"")</f>
        <v/>
      </c>
      <c r="AV272" s="376">
        <f>IF(AC272=TRUE,IF(COUNT(K272:L272)=0,0,IF(L272="",K272,L272)),0)</f>
        <v>0</v>
      </c>
      <c r="AW272" s="375" t="b">
        <f>AND(AC272=TRUE,OR(AND(F272&lt;&gt;"",NOT(ISNUMBER(AA272))),L272&lt;&gt;"",F272="",AU272=""))</f>
        <v>0</v>
      </c>
      <c r="AX272" s="457" t="b">
        <f>AND(AC272=TRUE,NOT(AW272))</f>
        <v>0</v>
      </c>
      <c r="AY272" s="325"/>
      <c r="AZ272" s="379" t="b">
        <f>AND(ISNUMBER(AA272),AU272="")</f>
        <v>0</v>
      </c>
      <c r="BA272" s="380" t="b">
        <f>AND(ISNUMBER(AA272),AU272&lt;&gt;AV272)</f>
        <v>0</v>
      </c>
      <c r="BB272" s="382" t="b">
        <f>AND(E264&lt;&gt;"",COUNTIF(AO272:AO273,TRUE)=0)</f>
        <v>0</v>
      </c>
      <c r="BC272" s="375" t="b">
        <f>AND(L272&lt;&gt;"",Y272=EUconst_NA)</f>
        <v>0</v>
      </c>
      <c r="BD272" s="325"/>
      <c r="BE272" s="325"/>
      <c r="BF272" s="379" t="s">
        <v>131</v>
      </c>
      <c r="BG272" s="498" t="str">
        <f>IF(COUNTIF(AO272:AO273,TRUE)=0,"",AV269*IF(AO272,1,AV271*AN273)*AV272*AV274*AV276)</f>
        <v/>
      </c>
      <c r="BH272" s="325"/>
      <c r="BI272" s="325"/>
      <c r="BJ272" s="325"/>
      <c r="BK272" s="325"/>
      <c r="BL272" s="325"/>
      <c r="BM272" s="325"/>
      <c r="BN272" s="325"/>
      <c r="BO272" s="325"/>
      <c r="BP272" s="325"/>
      <c r="BQ272" s="325"/>
      <c r="BR272" s="325"/>
      <c r="BS272" s="325"/>
      <c r="BT272" s="325"/>
      <c r="BU272" s="325"/>
      <c r="BV272" s="325"/>
      <c r="BW272" s="325"/>
      <c r="BX272" s="325"/>
      <c r="BY272" s="325"/>
      <c r="BZ272" s="325"/>
      <c r="CA272" s="325"/>
      <c r="CB272" s="325"/>
      <c r="CC272" s="325"/>
      <c r="CD272" s="325"/>
      <c r="CE272" s="325"/>
      <c r="CF272" s="325"/>
      <c r="CG272" s="366" t="b">
        <f>OR(CG269,Y272=EUconst_NA)</f>
        <v>0</v>
      </c>
    </row>
    <row r="273" spans="1:85" ht="12.75" customHeight="1" x14ac:dyDescent="0.25">
      <c r="A273" s="318"/>
      <c r="B273" s="21"/>
      <c r="C273" s="344"/>
      <c r="D273" s="345" t="str">
        <f>Translations!$B$362</f>
        <v>Biomassaosuus:</v>
      </c>
      <c r="E273" s="350"/>
      <c r="F273" s="624"/>
      <c r="G273" s="1120" t="str">
        <f>IF(OR(ISBLANK(F273),F273=EUconst_NoTier),"",IF(Z273=0,EUconst_NotApplicable,IF(ISERROR(Z273),"",Z273)))</f>
        <v/>
      </c>
      <c r="H273" s="1122"/>
      <c r="I273" s="626" t="str">
        <f>IF(OR(AC273=FALSE,Y273=EUconst_NA),"","-")</f>
        <v/>
      </c>
      <c r="J273" s="446"/>
      <c r="K273" s="635" t="str">
        <f>IF(L273="",AU273,"")</f>
        <v/>
      </c>
      <c r="L273" s="627"/>
      <c r="M273" s="486" t="str">
        <f>IF(AND(E264&lt;&gt;"",OR(F273="",COUNT(K273:L273)=0),Y273&lt;&gt;EUconst_NA),EUconst_ERR_Incomplete,IF(COUNTIF(BB273:BD273,TRUE)&gt;0,EUconst_ERR_Inconsistent,""))</f>
        <v/>
      </c>
      <c r="O273" s="323"/>
      <c r="P273" s="612"/>
      <c r="Q273" s="354"/>
      <c r="R273" s="354"/>
      <c r="S273" s="325"/>
      <c r="T273" s="374" t="str">
        <f>EUconst_CNTR_BiomassContent&amp;E264</f>
        <v>BioC_</v>
      </c>
      <c r="U273" s="23"/>
      <c r="V273" s="375" t="str">
        <f>V271</f>
        <v/>
      </c>
      <c r="W273" s="366" t="e">
        <f>IF(COUNTIF(MSPara_SourceStreamCategory,V273)=0,"",INDEX(MSPara_IsFossil,MATCH(V273,MSPara_SourceStreamCategory,0)))</f>
        <v>#N/A</v>
      </c>
      <c r="X273" s="23"/>
      <c r="Y273" s="450" t="str">
        <f>IF(E264="","",IF(OR(F273=EUconst_NA,W273=TRUE),EUconst_NA,INDEX(EUwideConstants!$P$153:$P$180,MATCH(T273,EUwideConstants!$S$153:$S$180,0))))</f>
        <v/>
      </c>
      <c r="Z273" s="472" t="str">
        <f>IF(ISBLANK(F273),"",IF(F273=EUconst_NA,"",INDEX(EUwideConstants!$H:$O,MATCH(T273,EUwideConstants!$S:$S,0),MATCH(F273,CNTR_TierList,0))))</f>
        <v/>
      </c>
      <c r="AA273" s="681" t="str">
        <f>IF(F273=1,1,"")</f>
        <v/>
      </c>
      <c r="AB273" s="325"/>
      <c r="AC273" s="376" t="b">
        <f>AND(AC269,Y273&lt;&gt;EUconst_NA)</f>
        <v>0</v>
      </c>
      <c r="AD273" s="325"/>
      <c r="AE273" s="462"/>
      <c r="AF273" s="460"/>
      <c r="AG273" s="465"/>
      <c r="AH273" s="467"/>
      <c r="AI273" s="467"/>
      <c r="AJ273" s="467"/>
      <c r="AK273" s="469"/>
      <c r="AL273" s="337"/>
      <c r="AM273" s="404" t="s">
        <v>132</v>
      </c>
      <c r="AN273" s="403" t="str">
        <f>IF(AN271=EUconst_NA,EUconst_NA,INDEX(EUwideConstants!$C$139:$H$143,MATCH(AJ272,EFUnits,0),MATCH(AN271,EUwideConstants!$C$138:$H$138,0)))</f>
        <v>ei sovellettavissa</v>
      </c>
      <c r="AO273" s="403" t="b">
        <f>AN273&lt;&gt;EUconst_NA</f>
        <v>0</v>
      </c>
      <c r="AP273" s="337"/>
      <c r="AQ273" s="455" t="str">
        <f>EUconst_CNTR_BiomassContent&amp;EUconst_Value</f>
        <v>BioC_Arvo</v>
      </c>
      <c r="AR273" s="462"/>
      <c r="AS273" s="383" t="str">
        <f>IF(AC273=TRUE,IF(COUNTIF(MSPara_SourceStreamCategory,V273)=0,"",INDEX(MSPara_CalcFactorsMatrix,MATCH(V273,MSPara_SourceStreamCategory,0),MATCH(AQ273&amp;"_"&amp;2,MSPara_CalcFactors,0))),"")</f>
        <v/>
      </c>
      <c r="AT273" s="458"/>
      <c r="AU273" s="334" t="str">
        <f>IF(OR(AA273="",AS273=EUconst_NA),"",AS273)</f>
        <v/>
      </c>
      <c r="AV273" s="376">
        <f>IF(AC273=TRUE,IF(COUNT(K273:L273)=0,0,IF(L273="",K273,L273)),0)</f>
        <v>0</v>
      </c>
      <c r="AW273" s="375" t="b">
        <f>AND(AC273=TRUE,OR(AND(F273&lt;&gt;"",NOT(ISNUMBER(AA273))),L273&lt;&gt;"",F273="",AU273=""))</f>
        <v>0</v>
      </c>
      <c r="AX273" s="457" t="b">
        <f>AND(AC273=TRUE,NOT(AW273))</f>
        <v>0</v>
      </c>
      <c r="AY273" s="325"/>
      <c r="AZ273" s="379" t="b">
        <f>AND(ISNUMBER(AA273),AU273="")</f>
        <v>0</v>
      </c>
      <c r="BA273" s="380" t="b">
        <f>AND(ISNUMBER(AA273),AU273&lt;&gt;AV273)</f>
        <v>0</v>
      </c>
      <c r="BB273" s="325"/>
      <c r="BC273" s="375" t="b">
        <f>AND(L273&lt;&gt;"",Y273=EUconst_NA)</f>
        <v>0</v>
      </c>
      <c r="BD273" s="366" t="b">
        <f>OR(AV273&gt;100%,(AV273+AV274)&gt;100%)</f>
        <v>0</v>
      </c>
      <c r="BE273" s="325"/>
      <c r="BF273" s="379" t="s">
        <v>133</v>
      </c>
      <c r="BG273" s="498" t="str">
        <f>IF(AN269=EUconst_TJ,AV269*(1-AV273),IF(AN271=EUconst_GJ,AV269*AV271/1000*(1-AV273),""))</f>
        <v/>
      </c>
      <c r="BH273" s="325"/>
      <c r="BI273" s="325"/>
      <c r="BJ273" s="325"/>
      <c r="BK273" s="325"/>
      <c r="BL273" s="325"/>
      <c r="BM273" s="325"/>
      <c r="BN273" s="325"/>
      <c r="BO273" s="325"/>
      <c r="BP273" s="325"/>
      <c r="BQ273" s="325"/>
      <c r="BR273" s="325"/>
      <c r="BS273" s="325"/>
      <c r="BT273" s="325"/>
      <c r="BU273" s="325"/>
      <c r="BV273" s="325"/>
      <c r="BW273" s="325"/>
      <c r="BX273" s="325"/>
      <c r="BY273" s="325"/>
      <c r="BZ273" s="325"/>
      <c r="CA273" s="325"/>
      <c r="CB273" s="325"/>
      <c r="CC273" s="325"/>
      <c r="CD273" s="325"/>
      <c r="CE273" s="325"/>
      <c r="CF273" s="325"/>
      <c r="CG273" s="375" t="b">
        <f>OR(CG269,Y273=EUconst_NA)</f>
        <v>0</v>
      </c>
    </row>
    <row r="274" spans="1:85" ht="12.75" customHeight="1" thickBot="1" x14ac:dyDescent="0.3">
      <c r="A274" s="318"/>
      <c r="B274" s="21"/>
      <c r="C274" s="344"/>
      <c r="D274" s="345" t="str">
        <f>Translations!$B$368</f>
        <v>Ei kestävä biomassaosuus:</v>
      </c>
      <c r="E274" s="350"/>
      <c r="F274" s="628"/>
      <c r="G274" s="1120" t="str">
        <f>IF(OR(ISBLANK(F274),F274=EUconst_NoTier),"",IF(Z274=0,EUconst_NotApplicable,IF(ISERROR(Z274),"",Z274)))</f>
        <v/>
      </c>
      <c r="H274" s="1122"/>
      <c r="I274" s="629" t="str">
        <f>IF(OR(AC274=FALSE,Y274=EUconst_NA),"","-")</f>
        <v/>
      </c>
      <c r="J274" s="447"/>
      <c r="K274" s="636" t="str">
        <f>IF(L274="",AU274,"")</f>
        <v/>
      </c>
      <c r="L274" s="630"/>
      <c r="M274" s="486" t="str">
        <f>IF(AND(E264&lt;&gt;"",OR(F274="",COUNT(K274:L274)=0),Y274&lt;&gt;EUconst_NA),EUconst_ERR_Incomplete,IF(COUNTIF(BB274:BD274,TRUE)&gt;0,EUconst_ERR_Inconsistent,""))</f>
        <v/>
      </c>
      <c r="N274" s="22"/>
      <c r="O274" s="323"/>
      <c r="P274" s="612"/>
      <c r="Q274" s="354"/>
      <c r="R274" s="354"/>
      <c r="S274" s="325"/>
      <c r="T274" s="384" t="str">
        <f>EUconst_CNTR_BiomassContent&amp;E264</f>
        <v>BioC_</v>
      </c>
      <c r="U274" s="23"/>
      <c r="V274" s="382" t="str">
        <f>V273</f>
        <v/>
      </c>
      <c r="W274" s="382" t="e">
        <f>IF(COUNTIF(MSPara_SourceStreamCategory,V274)=0,"",INDEX(MSPara_IsFossil,MATCH(V274,MSPara_SourceStreamCategory,0)))</f>
        <v>#N/A</v>
      </c>
      <c r="X274" s="23"/>
      <c r="Y274" s="452" t="str">
        <f>IF(E264="","",IF(OR(F274=EUconst_NA,W274=TRUE),EUconst_NA,INDEX(EUwideConstants!$P$153:$P$180,MATCH(T274,EUwideConstants!$S$153:$S$180,0))))</f>
        <v/>
      </c>
      <c r="Z274" s="473" t="str">
        <f>IF(ISBLANK(F274),"",IF(F274=EUconst_NA,"",INDEX(EUwideConstants!$H:$O,MATCH(T274,EUwideConstants!$S:$S,0),MATCH(F274,CNTR_TierList,0))))</f>
        <v/>
      </c>
      <c r="AA274" s="682" t="str">
        <f>IF(F274=1,1,"")</f>
        <v/>
      </c>
      <c r="AB274" s="325"/>
      <c r="AC274" s="453" t="b">
        <f>AND(AC269,Y274&lt;&gt;EUconst_NA)</f>
        <v>0</v>
      </c>
      <c r="AD274" s="325"/>
      <c r="AE274" s="463"/>
      <c r="AF274" s="461"/>
      <c r="AG274" s="466"/>
      <c r="AH274" s="468"/>
      <c r="AI274" s="468"/>
      <c r="AJ274" s="468"/>
      <c r="AK274" s="470"/>
      <c r="AL274" s="337"/>
      <c r="AM274" s="337"/>
      <c r="AN274" s="337"/>
      <c r="AO274" s="337"/>
      <c r="AP274" s="337"/>
      <c r="AQ274" s="474" t="str">
        <f>EUconst_CNTR_BiomassContent&amp;EUconst_Value</f>
        <v>BioC_Arvo</v>
      </c>
      <c r="AR274" s="463"/>
      <c r="AS274" s="385" t="str">
        <f>IF(AC274=TRUE,IF(COUNTIF(MSPara_SourceStreamCategory,V274)=0,"",INDEX(MSPara_CalcFactorsMatrix,MATCH(V274,MSPara_SourceStreamCategory,0),MATCH(AQ274&amp;"_"&amp;2,MSPara_CalcFactors,0))),"")</f>
        <v/>
      </c>
      <c r="AT274" s="459"/>
      <c r="AU274" s="477" t="str">
        <f>IF(OR(AA274="",AS274=EUconst_NA),"",AS274)</f>
        <v/>
      </c>
      <c r="AV274" s="453">
        <f>IF(AC274=TRUE,IF(COUNT(K274:L274)=0,0,IF(L274="",K274,L274)),0)</f>
        <v>0</v>
      </c>
      <c r="AW274" s="382" t="b">
        <f>AND(AC274=TRUE,OR(AND(F274&lt;&gt;"",NOT(ISNUMBER(AA274))),L274&lt;&gt;"",F274="",AU274=""))</f>
        <v>0</v>
      </c>
      <c r="AX274" s="478" t="b">
        <f>AND(AC274=TRUE,NOT(AW274))</f>
        <v>0</v>
      </c>
      <c r="AY274" s="325"/>
      <c r="AZ274" s="386" t="b">
        <f>AND(ISNUMBER(AA274),AU274="")</f>
        <v>0</v>
      </c>
      <c r="BA274" s="387" t="b">
        <f>AND(ISNUMBER(AA274),AU274&lt;&gt;AV274)</f>
        <v>0</v>
      </c>
      <c r="BB274" s="325"/>
      <c r="BC274" s="382" t="b">
        <f>AND(L274&lt;&gt;"",Y274=EUconst_NA)</f>
        <v>0</v>
      </c>
      <c r="BD274" s="382" t="b">
        <f>OR(AV273&gt;100%,(AV273+AV274)&gt;100%)</f>
        <v>0</v>
      </c>
      <c r="BE274" s="325"/>
      <c r="BF274" s="386" t="s">
        <v>134</v>
      </c>
      <c r="BG274" s="499" t="str">
        <f>IF(AN269=EUconst_TJ,AV269*AV273,IF(AN271=EUconst_GJ,AV269*AV271/1000*AV273,""))</f>
        <v/>
      </c>
      <c r="BH274" s="325"/>
      <c r="BI274" s="325"/>
      <c r="BJ274" s="325"/>
      <c r="BK274" s="325"/>
      <c r="BL274" s="325"/>
      <c r="BM274" s="325"/>
      <c r="BN274" s="325"/>
      <c r="BO274" s="325"/>
      <c r="BP274" s="325"/>
      <c r="BQ274" s="325"/>
      <c r="BR274" s="325"/>
      <c r="BS274" s="325"/>
      <c r="BT274" s="325"/>
      <c r="BU274" s="325"/>
      <c r="BV274" s="325"/>
      <c r="BW274" s="325"/>
      <c r="BX274" s="325"/>
      <c r="BY274" s="325"/>
      <c r="BZ274" s="325"/>
      <c r="CA274" s="325"/>
      <c r="CB274" s="325"/>
      <c r="CC274" s="325"/>
      <c r="CD274" s="325"/>
      <c r="CE274" s="325"/>
      <c r="CF274" s="325"/>
      <c r="CG274" s="382" t="b">
        <f>OR(CG269,Y274=EUconst_NA)</f>
        <v>0</v>
      </c>
    </row>
    <row r="275" spans="1:85" ht="5.15" customHeight="1" thickBot="1" x14ac:dyDescent="0.3">
      <c r="A275" s="318"/>
      <c r="B275" s="21"/>
      <c r="C275" s="21"/>
      <c r="D275" s="327"/>
      <c r="E275" s="22"/>
      <c r="F275" s="22"/>
      <c r="G275" s="22"/>
      <c r="H275" s="22"/>
      <c r="I275" s="22"/>
      <c r="J275" s="22"/>
      <c r="K275" s="22"/>
      <c r="L275" s="22"/>
      <c r="M275" s="488"/>
      <c r="N275" s="22"/>
      <c r="O275" s="323"/>
      <c r="P275" s="301"/>
      <c r="Q275" s="23"/>
      <c r="R275" s="23"/>
      <c r="S275" s="325"/>
      <c r="T275" s="325"/>
      <c r="U275" s="325"/>
      <c r="V275" s="325"/>
      <c r="W275" s="325"/>
      <c r="X275" s="325"/>
      <c r="Y275" s="325"/>
      <c r="Z275" s="325"/>
      <c r="AA275" s="325"/>
      <c r="AB275" s="325"/>
      <c r="AC275" s="325"/>
      <c r="AD275" s="325"/>
      <c r="AE275" s="325"/>
      <c r="AF275" s="325"/>
      <c r="AG275" s="325"/>
      <c r="AH275" s="325"/>
      <c r="AI275" s="325"/>
      <c r="AJ275" s="325"/>
      <c r="AK275" s="325"/>
      <c r="AL275" s="325"/>
      <c r="AM275" s="325"/>
      <c r="AN275" s="325"/>
      <c r="AO275" s="325"/>
      <c r="AP275" s="325"/>
      <c r="AQ275" s="325"/>
      <c r="AR275" s="325"/>
      <c r="AS275" s="325"/>
      <c r="AT275" s="325"/>
      <c r="AU275" s="325"/>
      <c r="AV275" s="325"/>
      <c r="AW275" s="325"/>
      <c r="AX275" s="325"/>
      <c r="AY275" s="325"/>
      <c r="AZ275" s="325"/>
      <c r="BA275" s="325"/>
      <c r="BB275" s="325"/>
      <c r="BC275" s="325"/>
      <c r="BD275" s="325"/>
      <c r="BE275" s="325"/>
      <c r="BF275" s="325"/>
      <c r="BG275" s="325"/>
      <c r="BH275" s="325"/>
      <c r="BI275" s="325"/>
      <c r="BJ275" s="325"/>
      <c r="BK275" s="325"/>
      <c r="BL275" s="325"/>
      <c r="BM275" s="325"/>
      <c r="BN275" s="325"/>
      <c r="BO275" s="325"/>
      <c r="BP275" s="325"/>
      <c r="BQ275" s="325"/>
      <c r="BR275" s="325"/>
      <c r="BS275" s="325"/>
      <c r="BT275" s="325"/>
      <c r="BU275" s="325"/>
      <c r="BV275" s="325"/>
      <c r="BW275" s="325"/>
      <c r="BX275" s="325"/>
      <c r="BY275" s="325"/>
      <c r="BZ275" s="325"/>
      <c r="CA275" s="325"/>
      <c r="CB275" s="325"/>
      <c r="CC275" s="325"/>
      <c r="CD275" s="325"/>
      <c r="CE275" s="325"/>
      <c r="CF275" s="325"/>
      <c r="CG275" s="325"/>
    </row>
    <row r="276" spans="1:85" ht="12.75" customHeight="1" thickBot="1" x14ac:dyDescent="0.3">
      <c r="A276" s="318"/>
      <c r="B276" s="21"/>
      <c r="C276" s="344"/>
      <c r="D276" s="345" t="str">
        <f>Translations!$B$398</f>
        <v>Soveltamisalakerroin:</v>
      </c>
      <c r="E276" s="479"/>
      <c r="F276" s="803"/>
      <c r="G276" s="1125"/>
      <c r="H276" s="1126"/>
      <c r="I276" s="492" t="s">
        <v>52</v>
      </c>
      <c r="J276" s="480"/>
      <c r="K276" s="481" t="str">
        <f>IF(L276="",AU276,"")</f>
        <v/>
      </c>
      <c r="L276" s="607"/>
      <c r="M276" s="489" t="str">
        <f>IF(AND(E264&lt;&gt;"",OR(F276="",G276="",COUNT(K276:L276)=0)),EUconst_ERR_Incomplete,IF(COUNTIF(BB276:BD276,TRUE)&gt;0,EUconst_ERR_Inconsistent,""))</f>
        <v/>
      </c>
      <c r="N276" s="22"/>
      <c r="O276" s="323"/>
      <c r="P276" s="301"/>
      <c r="Q276" s="23"/>
      <c r="R276" s="325"/>
      <c r="S276" s="10"/>
      <c r="T276" s="48" t="str">
        <f>EUconst_CNTR_ScopeFactor&amp;E264</f>
        <v>ScopeFactor_</v>
      </c>
      <c r="U276" s="248" t="str">
        <f>IF(F276="","",INDEX(ScopeAddress,MATCH(F276,ScopeTiers,0)))</f>
        <v/>
      </c>
      <c r="V276" s="382" t="str">
        <f>V269</f>
        <v/>
      </c>
      <c r="W276" s="325"/>
      <c r="X276" s="325"/>
      <c r="Y276" s="452" t="str">
        <f>IF(E264="","",IF(F276=EUconst_NA,EUconst_NA,INDEX(EUwideConstants!$P$153:$P$180,MATCH(T276,EUwideConstants!$S$153:$S$180,0))))</f>
        <v/>
      </c>
      <c r="Z276" s="473" t="str">
        <f>IF(ISBLANK(F276),"",IF(F276=EUconst_NA,"",INDEX(EUwideConstants!$H:$O,MATCH(T276,EUwideConstants!$S:$S,0),MATCH(F276,CNTR_TierList,0))))</f>
        <v/>
      </c>
      <c r="AA276" s="339" t="str">
        <f>IF(G276=EUwideConstants!$A$88,1,"")</f>
        <v/>
      </c>
      <c r="AB276" s="325"/>
      <c r="AC276" s="376" t="b">
        <f>AND(AC269,Y276&lt;&gt;EUconst_NA)</f>
        <v>0</v>
      </c>
      <c r="AD276" s="325"/>
      <c r="AE276" s="325"/>
      <c r="AF276" s="325"/>
      <c r="AG276" s="330"/>
      <c r="AH276" s="325"/>
      <c r="AI276" s="325"/>
      <c r="AJ276" s="325"/>
      <c r="AK276" s="325"/>
      <c r="AL276" s="325"/>
      <c r="AM276" s="325"/>
      <c r="AN276" s="325"/>
      <c r="AO276" s="325"/>
      <c r="AP276" s="325"/>
      <c r="AQ276" s="325"/>
      <c r="AR276" s="325"/>
      <c r="AS276" s="338">
        <v>1</v>
      </c>
      <c r="AT276" s="325"/>
      <c r="AU276" s="330" t="str">
        <f>IF(G276=EUwideConstants!$A$88,AS276,"")</f>
        <v/>
      </c>
      <c r="AV276" s="376">
        <f>IF(AC276=TRUE,IF(COUNT(K276:L276)=0,0,IF(L276="",K276,L276)),0)</f>
        <v>0</v>
      </c>
      <c r="AW276" s="375" t="b">
        <f>AND(AC276=TRUE,OR(AND(F276&lt;&gt;"",NOT(ISNUMBER(AA276))),L276&lt;&gt;"",F276="",AU276=""))</f>
        <v>0</v>
      </c>
      <c r="AX276" s="457" t="b">
        <f>AND(AC276=TRUE,NOT(AW276))</f>
        <v>0</v>
      </c>
      <c r="AY276" s="325"/>
      <c r="AZ276" s="379" t="b">
        <f>AND(ISNUMBER(AA276),AU276="")</f>
        <v>0</v>
      </c>
      <c r="BA276" s="380" t="b">
        <f>AND(ISNUMBER(AA276),AU276&lt;&gt;AV276)</f>
        <v>0</v>
      </c>
      <c r="BB276" s="325"/>
      <c r="BC276" s="33" t="b">
        <f>AND(F276&lt;&gt;"",OR(COUNTIF(INDEX(ScopeMethods,F276,),G276)=0,AND(AA276&lt;&gt;"",AU276&lt;&gt;AV276)))</f>
        <v>0</v>
      </c>
      <c r="BD276" s="325"/>
      <c r="BE276" s="325"/>
      <c r="BF276" s="325"/>
      <c r="BG276" s="325"/>
      <c r="BH276" s="325"/>
      <c r="BI276" s="325"/>
      <c r="BJ276" s="325"/>
      <c r="BK276" s="325"/>
      <c r="BL276" s="325"/>
      <c r="BM276" s="325"/>
      <c r="BN276" s="325"/>
      <c r="BO276" s="325"/>
      <c r="BP276" s="325"/>
      <c r="BQ276" s="325"/>
      <c r="BR276" s="325"/>
      <c r="BS276" s="325"/>
      <c r="BT276" s="325"/>
      <c r="BU276" s="325"/>
      <c r="BV276" s="325"/>
      <c r="BW276" s="325"/>
      <c r="BX276" s="325"/>
      <c r="BY276" s="325"/>
      <c r="BZ276" s="325"/>
      <c r="CA276" s="325"/>
      <c r="CB276" s="325"/>
      <c r="CC276" s="325"/>
      <c r="CD276" s="325"/>
      <c r="CE276" s="325"/>
      <c r="CF276" s="325"/>
      <c r="CG276" s="325"/>
    </row>
    <row r="277" spans="1:85" ht="12.75" customHeight="1" x14ac:dyDescent="0.25">
      <c r="A277" s="318"/>
      <c r="B277" s="21"/>
      <c r="C277" s="21"/>
      <c r="D277" s="21"/>
      <c r="E277" s="21"/>
      <c r="F277" s="21"/>
      <c r="G277" s="1130" t="str">
        <f>IF(G276="","",INDEX(ScopeMethodsDetails,MATCH(G276,INDEX(ScopeMethodsDetails,,1),0),2))</f>
        <v/>
      </c>
      <c r="H277" s="1131"/>
      <c r="I277" s="1131"/>
      <c r="J277" s="1131"/>
      <c r="K277" s="1131"/>
      <c r="L277" s="1131"/>
      <c r="M277" s="1132"/>
      <c r="N277" s="22"/>
      <c r="O277" s="323"/>
      <c r="P277" s="301"/>
      <c r="Q277" s="23"/>
      <c r="R277" s="23"/>
      <c r="S277" s="325"/>
      <c r="T277" s="325"/>
      <c r="U277" s="325"/>
      <c r="V277" s="325"/>
      <c r="W277" s="325"/>
      <c r="X277" s="325"/>
      <c r="Y277" s="325"/>
      <c r="Z277" s="325"/>
      <c r="AA277" s="325"/>
      <c r="AB277" s="325"/>
      <c r="AC277" s="325"/>
      <c r="AD277" s="325"/>
      <c r="AE277" s="325"/>
      <c r="AF277" s="325"/>
      <c r="AG277" s="325"/>
      <c r="AH277" s="325"/>
      <c r="AI277" s="325"/>
      <c r="AJ277" s="325"/>
      <c r="AK277" s="325"/>
      <c r="AL277" s="325"/>
      <c r="AM277" s="325"/>
      <c r="AN277" s="325"/>
      <c r="AO277" s="325"/>
      <c r="AP277" s="325"/>
      <c r="AQ277" s="325"/>
      <c r="AR277" s="325"/>
      <c r="AS277" s="325"/>
      <c r="AT277" s="325"/>
      <c r="AU277" s="325"/>
      <c r="AV277" s="325"/>
      <c r="AW277" s="325"/>
      <c r="AX277" s="325"/>
      <c r="AY277" s="325"/>
      <c r="AZ277" s="325"/>
      <c r="BA277" s="325"/>
      <c r="BB277" s="325"/>
      <c r="BC277" s="325"/>
      <c r="BD277" s="325"/>
      <c r="BE277" s="325"/>
      <c r="BF277" s="325"/>
      <c r="BG277" s="325"/>
      <c r="BH277" s="325"/>
      <c r="BI277" s="325"/>
      <c r="BJ277" s="325"/>
      <c r="BK277" s="325"/>
      <c r="BL277" s="325"/>
      <c r="BM277" s="325"/>
      <c r="BN277" s="325"/>
      <c r="BO277" s="325"/>
      <c r="BP277" s="325"/>
      <c r="BQ277" s="325"/>
      <c r="BR277" s="325"/>
      <c r="BS277" s="325"/>
      <c r="BT277" s="325"/>
      <c r="BU277" s="325"/>
      <c r="BV277" s="325"/>
      <c r="BW277" s="325"/>
      <c r="BX277" s="325"/>
      <c r="BY277" s="325"/>
      <c r="BZ277" s="325"/>
      <c r="CA277" s="325"/>
      <c r="CB277" s="325"/>
      <c r="CC277" s="325"/>
      <c r="CD277" s="325"/>
      <c r="CE277" s="325"/>
      <c r="CF277" s="325"/>
      <c r="CG277" s="325"/>
    </row>
    <row r="278" spans="1:85" ht="5.15" customHeight="1" x14ac:dyDescent="0.25">
      <c r="A278" s="318"/>
      <c r="C278" s="22"/>
      <c r="D278" s="22"/>
      <c r="E278" s="22"/>
      <c r="F278" s="22"/>
      <c r="G278" s="22"/>
      <c r="H278" s="22"/>
      <c r="I278" s="22"/>
      <c r="J278" s="22"/>
      <c r="K278" s="22"/>
      <c r="L278" s="22"/>
      <c r="O278" s="323"/>
      <c r="P278" s="301"/>
      <c r="Q278" s="23"/>
      <c r="R278" s="23"/>
      <c r="S278" s="325"/>
      <c r="T278" s="325"/>
      <c r="U278" s="325"/>
      <c r="V278" s="325"/>
      <c r="W278" s="325"/>
      <c r="X278" s="325"/>
      <c r="Y278" s="325"/>
      <c r="Z278" s="325"/>
      <c r="AA278" s="325"/>
      <c r="AB278" s="325"/>
      <c r="AC278" s="325"/>
      <c r="AD278" s="325"/>
      <c r="AE278" s="325"/>
      <c r="AF278" s="325"/>
      <c r="AG278" s="325"/>
      <c r="AH278" s="325"/>
      <c r="AI278" s="325"/>
      <c r="AJ278" s="325"/>
      <c r="AK278" s="325"/>
      <c r="AL278" s="325"/>
      <c r="AM278" s="325"/>
      <c r="AN278" s="325"/>
      <c r="AO278" s="325"/>
      <c r="AP278" s="325"/>
      <c r="AQ278" s="325"/>
      <c r="AR278" s="325"/>
      <c r="AS278" s="325"/>
      <c r="AT278" s="325"/>
      <c r="AU278" s="325"/>
      <c r="AV278" s="325"/>
      <c r="AW278" s="325"/>
      <c r="AX278" s="325"/>
      <c r="AY278" s="325"/>
      <c r="AZ278" s="325"/>
      <c r="BA278" s="325"/>
      <c r="BB278" s="325"/>
      <c r="BC278" s="325"/>
      <c r="BD278" s="325"/>
      <c r="BE278" s="325"/>
      <c r="BF278" s="325"/>
      <c r="BG278" s="325"/>
      <c r="BH278" s="325"/>
      <c r="BI278" s="325"/>
      <c r="BJ278" s="325"/>
      <c r="BK278" s="325"/>
      <c r="BL278" s="325"/>
      <c r="BM278" s="325"/>
      <c r="BN278" s="325"/>
      <c r="BO278" s="325"/>
      <c r="BP278" s="325"/>
      <c r="BQ278" s="325"/>
      <c r="BR278" s="325"/>
      <c r="BS278" s="325"/>
      <c r="BT278" s="325"/>
      <c r="BU278" s="325"/>
      <c r="BV278" s="325"/>
      <c r="BW278" s="325"/>
      <c r="BX278" s="325"/>
      <c r="BY278" s="325"/>
      <c r="BZ278" s="325"/>
      <c r="CA278" s="325"/>
      <c r="CB278" s="325"/>
      <c r="CC278" s="325"/>
      <c r="CD278" s="325"/>
      <c r="CE278" s="325"/>
      <c r="CF278" s="325"/>
      <c r="CG278" s="325"/>
    </row>
    <row r="279" spans="1:85" ht="12.75" customHeight="1" x14ac:dyDescent="0.25">
      <c r="A279" s="318"/>
      <c r="C279" s="22"/>
      <c r="D279" s="22"/>
      <c r="E279" s="22"/>
      <c r="F279" s="22"/>
      <c r="G279" s="1133">
        <v>1</v>
      </c>
      <c r="H279" s="1133"/>
      <c r="I279" s="1133">
        <v>2</v>
      </c>
      <c r="J279" s="1133"/>
      <c r="K279" s="1133">
        <v>3</v>
      </c>
      <c r="L279" s="1133"/>
      <c r="O279" s="323"/>
      <c r="P279" s="301"/>
      <c r="Q279" s="23"/>
      <c r="R279" s="23"/>
      <c r="S279" s="325"/>
      <c r="T279" s="325"/>
      <c r="U279" s="325"/>
      <c r="V279" s="325"/>
      <c r="W279" s="325"/>
      <c r="X279" s="325"/>
      <c r="Y279" s="325"/>
      <c r="Z279" s="325"/>
      <c r="AA279" s="325"/>
      <c r="AB279" s="325"/>
      <c r="AC279" s="325"/>
      <c r="AD279" s="325"/>
      <c r="AE279" s="325"/>
      <c r="AF279" s="325"/>
      <c r="AG279" s="325"/>
      <c r="AH279" s="325"/>
      <c r="AI279" s="325"/>
      <c r="AJ279" s="325"/>
      <c r="AK279" s="325"/>
      <c r="AL279" s="325"/>
      <c r="AM279" s="325"/>
      <c r="AN279" s="325"/>
      <c r="AO279" s="325"/>
      <c r="AP279" s="325"/>
      <c r="AQ279" s="325"/>
      <c r="AR279" s="325"/>
      <c r="AS279" s="325"/>
      <c r="AT279" s="325"/>
      <c r="AU279" s="325"/>
      <c r="AV279" s="325"/>
      <c r="AW279" s="325"/>
      <c r="AX279" s="325"/>
      <c r="AY279" s="325"/>
      <c r="AZ279" s="325"/>
      <c r="BA279" s="325"/>
      <c r="BB279" s="325"/>
      <c r="BC279" s="325"/>
      <c r="BD279" s="325"/>
      <c r="BE279" s="325"/>
      <c r="BF279" s="325"/>
      <c r="BG279" s="325"/>
      <c r="BH279" s="325"/>
      <c r="BI279" s="325"/>
      <c r="BJ279" s="325"/>
      <c r="BK279" s="325"/>
      <c r="BL279" s="325"/>
      <c r="BM279" s="325"/>
      <c r="BN279" s="325"/>
      <c r="BO279" s="325"/>
      <c r="BP279" s="325"/>
      <c r="BQ279" s="325"/>
      <c r="BR279" s="325"/>
      <c r="BS279" s="325"/>
      <c r="BT279" s="325"/>
      <c r="BU279" s="325"/>
      <c r="BV279" s="325"/>
      <c r="BW279" s="325"/>
      <c r="BX279" s="325"/>
      <c r="BY279" s="325"/>
      <c r="BZ279" s="325"/>
      <c r="CA279" s="325"/>
      <c r="CB279" s="325"/>
      <c r="CC279" s="325"/>
      <c r="CD279" s="325"/>
      <c r="CE279" s="325"/>
      <c r="CF279" s="325"/>
      <c r="CG279" s="325"/>
    </row>
    <row r="280" spans="1:85" ht="12.75" customHeight="1" x14ac:dyDescent="0.25">
      <c r="A280" s="389"/>
      <c r="B280" s="22"/>
      <c r="C280" s="22"/>
      <c r="D280" s="1134" t="str">
        <f>Translations!$B$372</f>
        <v>CRF-luokka</v>
      </c>
      <c r="E280" s="1134"/>
      <c r="F280" s="1135"/>
      <c r="G280" s="1123"/>
      <c r="H280" s="1124"/>
      <c r="I280" s="1123"/>
      <c r="J280" s="1124"/>
      <c r="K280" s="1123"/>
      <c r="L280" s="1124"/>
      <c r="M280" s="623" t="str">
        <f>IF(AND(E263&lt;&gt;"",COUNTA(G280:L280)=0,AX280=FALSE),EUconst_ERR_Incomplete,"")</f>
        <v/>
      </c>
      <c r="N280" s="22"/>
      <c r="O280" s="323"/>
      <c r="P280" s="301"/>
      <c r="Q280" s="23"/>
      <c r="R280" s="23"/>
      <c r="S280" s="325"/>
      <c r="T280" s="325"/>
      <c r="U280" s="325"/>
      <c r="V280" s="325"/>
      <c r="W280" s="325"/>
      <c r="X280" s="325"/>
      <c r="Y280" s="325"/>
      <c r="Z280" s="325"/>
      <c r="AA280" s="325"/>
      <c r="AB280" s="325"/>
      <c r="AC280" s="325"/>
      <c r="AD280" s="325"/>
      <c r="AE280" s="325"/>
      <c r="AF280" s="325"/>
      <c r="AG280" s="325"/>
      <c r="AH280" s="325"/>
      <c r="AI280" s="325"/>
      <c r="AJ280" s="325"/>
      <c r="AK280" s="325"/>
      <c r="AL280" s="325"/>
      <c r="AM280" s="325"/>
      <c r="AN280" s="325"/>
      <c r="AO280" s="325"/>
      <c r="AP280" s="325"/>
      <c r="AQ280" s="325"/>
      <c r="AR280" s="325"/>
      <c r="AS280" s="325"/>
      <c r="AT280" s="325"/>
      <c r="AU280" s="325"/>
      <c r="AV280" s="325"/>
      <c r="AW280" s="325"/>
      <c r="AX280" s="33" t="b">
        <f>AND(AV276&lt;&gt;"",SUM(AV276=1))</f>
        <v>0</v>
      </c>
      <c r="AY280" s="325"/>
      <c r="AZ280" s="325"/>
      <c r="BA280" s="325"/>
      <c r="BB280" s="325"/>
      <c r="BC280" s="325"/>
      <c r="BD280" s="325"/>
      <c r="BE280" s="325"/>
      <c r="BF280" s="325"/>
      <c r="BG280" s="325"/>
      <c r="BH280" s="325"/>
      <c r="BI280" s="325"/>
      <c r="BJ280" s="325"/>
      <c r="BK280" s="325"/>
      <c r="BL280" s="325"/>
      <c r="BM280" s="325"/>
      <c r="BN280" s="325"/>
      <c r="BO280" s="325"/>
      <c r="BP280" s="325"/>
      <c r="BQ280" s="325"/>
      <c r="BR280" s="325"/>
      <c r="BS280" s="325"/>
      <c r="BT280" s="325"/>
      <c r="BU280" s="325"/>
      <c r="BV280" s="325"/>
      <c r="BW280" s="325"/>
      <c r="BX280" s="325"/>
      <c r="BY280" s="325"/>
      <c r="BZ280" s="325"/>
      <c r="CA280" s="325"/>
      <c r="CB280" s="325"/>
      <c r="CC280" s="325"/>
      <c r="CD280" s="325"/>
      <c r="CE280" s="325"/>
      <c r="CF280" s="325"/>
      <c r="CG280" s="325"/>
    </row>
    <row r="281" spans="1:85" ht="5.15" customHeight="1" x14ac:dyDescent="0.25">
      <c r="A281" s="318"/>
      <c r="B281" s="21"/>
      <c r="C281" s="21"/>
      <c r="D281" s="21"/>
      <c r="E281" s="21"/>
      <c r="F281" s="21"/>
      <c r="G281" s="22"/>
      <c r="H281" s="22"/>
      <c r="I281" s="22"/>
      <c r="J281" s="22"/>
      <c r="K281" s="22"/>
      <c r="L281" s="22"/>
      <c r="M281" s="22"/>
      <c r="N281" s="22"/>
      <c r="O281" s="323"/>
      <c r="P281" s="301"/>
      <c r="Q281" s="23"/>
      <c r="R281" s="23"/>
      <c r="S281" s="325"/>
      <c r="T281" s="325"/>
      <c r="U281" s="325"/>
      <c r="V281" s="325"/>
      <c r="W281" s="325"/>
      <c r="X281" s="325"/>
      <c r="Y281" s="325"/>
      <c r="Z281" s="325"/>
      <c r="AA281" s="325"/>
      <c r="AB281" s="325"/>
      <c r="AC281" s="325"/>
      <c r="AD281" s="325"/>
      <c r="AE281" s="325"/>
      <c r="AF281" s="325"/>
      <c r="AG281" s="325"/>
      <c r="AH281" s="325"/>
      <c r="AI281" s="325"/>
      <c r="AJ281" s="325"/>
      <c r="AK281" s="325"/>
      <c r="AL281" s="325"/>
      <c r="AM281" s="325"/>
      <c r="AN281" s="325"/>
      <c r="AO281" s="325"/>
      <c r="AP281" s="325"/>
      <c r="AQ281" s="325"/>
      <c r="AR281" s="325"/>
      <c r="AS281" s="325"/>
      <c r="AT281" s="325"/>
      <c r="AU281" s="325"/>
      <c r="AV281" s="325"/>
      <c r="AW281" s="325"/>
      <c r="AX281" s="325"/>
      <c r="AY281" s="325"/>
      <c r="AZ281" s="325"/>
      <c r="BA281" s="325"/>
      <c r="BB281" s="325"/>
      <c r="BC281" s="325"/>
      <c r="BD281" s="325"/>
      <c r="BE281" s="325"/>
      <c r="BF281" s="325"/>
      <c r="BG281" s="325"/>
      <c r="BH281" s="325"/>
      <c r="BI281" s="325"/>
      <c r="BJ281" s="325"/>
      <c r="BK281" s="325"/>
      <c r="BL281" s="325"/>
      <c r="BM281" s="325"/>
      <c r="BN281" s="325"/>
      <c r="BO281" s="325"/>
      <c r="BP281" s="325"/>
      <c r="BQ281" s="325"/>
      <c r="BR281" s="325"/>
      <c r="BS281" s="325"/>
      <c r="BT281" s="325"/>
      <c r="BU281" s="325"/>
      <c r="BV281" s="325"/>
      <c r="BW281" s="325"/>
      <c r="BX281" s="325"/>
      <c r="BY281" s="325"/>
      <c r="BZ281" s="325"/>
      <c r="CA281" s="325"/>
      <c r="CB281" s="325"/>
      <c r="CC281" s="325"/>
      <c r="CD281" s="325"/>
      <c r="CE281" s="325"/>
      <c r="CF281" s="325"/>
      <c r="CG281" s="325"/>
    </row>
    <row r="282" spans="1:85" ht="4" customHeight="1" x14ac:dyDescent="0.25">
      <c r="A282" s="318"/>
      <c r="B282" s="21"/>
      <c r="C282" s="21"/>
      <c r="D282" s="1145"/>
      <c r="E282" s="1145"/>
      <c r="F282" s="1145"/>
      <c r="G282" s="806"/>
      <c r="H282" s="807"/>
      <c r="I282" s="806"/>
      <c r="J282" s="236"/>
      <c r="K282" s="236"/>
      <c r="L282" s="236"/>
      <c r="M282" s="807"/>
      <c r="N282" s="808"/>
      <c r="O282" s="323"/>
      <c r="P282" s="301"/>
      <c r="Q282" s="23"/>
      <c r="R282" s="23"/>
      <c r="S282" s="388"/>
      <c r="T282" s="325"/>
      <c r="U282" s="325"/>
      <c r="V282" s="325"/>
      <c r="W282" s="325"/>
      <c r="X282" s="325"/>
      <c r="Y282" s="325"/>
      <c r="Z282" s="325"/>
      <c r="AA282" s="325"/>
      <c r="AB282" s="325"/>
      <c r="AC282" s="325"/>
      <c r="AD282" s="325"/>
      <c r="AE282" s="325"/>
      <c r="AF282" s="325"/>
      <c r="AG282" s="325"/>
      <c r="AH282" s="325"/>
      <c r="AI282" s="325"/>
      <c r="AJ282" s="325"/>
      <c r="AK282" s="325"/>
      <c r="AL282" s="325"/>
      <c r="AM282" s="325"/>
      <c r="AN282" s="325"/>
      <c r="AO282" s="325"/>
      <c r="AP282" s="325"/>
      <c r="AQ282" s="325"/>
      <c r="AR282" s="325"/>
      <c r="AS282" s="325"/>
      <c r="AT282" s="325"/>
      <c r="AU282" s="325"/>
      <c r="AV282" s="325"/>
      <c r="AW282" s="325"/>
      <c r="AX282" s="325"/>
      <c r="AY282" s="325"/>
      <c r="AZ282" s="325"/>
      <c r="BA282" s="325"/>
      <c r="BB282" s="325"/>
      <c r="BC282" s="325"/>
      <c r="BD282" s="325"/>
      <c r="BE282" s="325"/>
      <c r="BF282" s="325"/>
      <c r="BG282" s="325"/>
      <c r="BH282" s="325"/>
      <c r="BI282" s="325"/>
      <c r="BJ282" s="325"/>
      <c r="BK282" s="325"/>
      <c r="BL282" s="325"/>
      <c r="BM282" s="325"/>
      <c r="BN282" s="325"/>
      <c r="BO282" s="325"/>
      <c r="BP282" s="325"/>
      <c r="BQ282" s="325"/>
      <c r="BR282" s="325"/>
      <c r="BS282" s="325"/>
      <c r="BT282" s="325"/>
      <c r="BU282" s="325"/>
      <c r="BV282" s="325"/>
      <c r="BW282" s="325"/>
      <c r="BX282" s="325"/>
      <c r="BY282" s="325"/>
      <c r="BZ282" s="325"/>
      <c r="CA282" s="325"/>
      <c r="CB282" s="325"/>
      <c r="CC282" s="325"/>
      <c r="CD282" s="325"/>
      <c r="CE282" s="325"/>
      <c r="CF282" s="325"/>
      <c r="CG282" s="33" t="b">
        <f>CG269</f>
        <v>0</v>
      </c>
    </row>
    <row r="283" spans="1:85" ht="5.15" customHeight="1" x14ac:dyDescent="0.25">
      <c r="A283" s="389"/>
      <c r="B283" s="22"/>
      <c r="C283" s="22"/>
      <c r="D283" s="22"/>
      <c r="E283" s="1116" t="str">
        <f>Translations!$B$304</f>
        <v xml:space="preserve">Lisätiedot: 
tapa, jolla biomassan kestävyys on osoitettu; 
muut polttoainevirtaa koskevat lisätiedot. </v>
      </c>
      <c r="F283" s="1116"/>
      <c r="G283" s="22"/>
      <c r="H283" s="22"/>
      <c r="I283" s="22"/>
      <c r="J283" s="22"/>
      <c r="K283" s="22"/>
      <c r="L283" s="22"/>
      <c r="M283" s="22"/>
      <c r="N283" s="22"/>
      <c r="O283" s="323"/>
      <c r="P283" s="301"/>
      <c r="Q283" s="23"/>
      <c r="R283" s="23"/>
      <c r="S283" s="325"/>
      <c r="T283" s="325"/>
      <c r="U283" s="325"/>
      <c r="V283" s="325"/>
      <c r="W283" s="325"/>
      <c r="X283" s="325"/>
      <c r="Y283" s="325"/>
      <c r="Z283" s="325"/>
      <c r="AA283" s="325"/>
      <c r="AB283" s="325"/>
      <c r="AC283" s="325"/>
      <c r="AD283" s="325"/>
      <c r="AE283" s="325"/>
      <c r="AF283" s="325"/>
      <c r="AG283" s="325"/>
      <c r="AH283" s="325"/>
      <c r="AI283" s="325"/>
      <c r="AJ283" s="325"/>
      <c r="AK283" s="325"/>
      <c r="AL283" s="325"/>
      <c r="AM283" s="325"/>
      <c r="AN283" s="325"/>
      <c r="AO283" s="325"/>
      <c r="AP283" s="325"/>
      <c r="AQ283" s="325"/>
      <c r="AR283" s="325"/>
      <c r="AS283" s="325"/>
      <c r="AT283" s="325"/>
      <c r="AU283" s="325"/>
      <c r="AV283" s="325"/>
      <c r="AW283" s="325"/>
      <c r="AX283" s="325"/>
      <c r="AY283" s="325"/>
      <c r="AZ283" s="325"/>
      <c r="BA283" s="325"/>
      <c r="BB283" s="325"/>
      <c r="BC283" s="325"/>
      <c r="BD283" s="325"/>
      <c r="BE283" s="325"/>
      <c r="BF283" s="325"/>
      <c r="BG283" s="325"/>
      <c r="BH283" s="325"/>
      <c r="BI283" s="325"/>
      <c r="BJ283" s="325"/>
      <c r="BK283" s="325"/>
      <c r="BL283" s="325"/>
      <c r="BM283" s="325"/>
      <c r="BN283" s="325"/>
      <c r="BO283" s="325"/>
      <c r="BP283" s="325"/>
      <c r="BQ283" s="325"/>
      <c r="BR283" s="325"/>
      <c r="BS283" s="325"/>
      <c r="BT283" s="325"/>
      <c r="BU283" s="325"/>
      <c r="BV283" s="325"/>
      <c r="BW283" s="325"/>
      <c r="BX283" s="325"/>
      <c r="BY283" s="325"/>
      <c r="BZ283" s="325"/>
      <c r="CA283" s="325"/>
      <c r="CB283" s="325"/>
      <c r="CC283" s="325"/>
      <c r="CD283" s="325"/>
      <c r="CE283" s="325"/>
      <c r="CF283" s="325"/>
      <c r="CG283" s="325"/>
    </row>
    <row r="284" spans="1:85" ht="38.5" customHeight="1" x14ac:dyDescent="0.25">
      <c r="A284" s="389"/>
      <c r="B284" s="22"/>
      <c r="C284" s="22"/>
      <c r="D284" s="4"/>
      <c r="E284" s="1116"/>
      <c r="F284" s="1116"/>
      <c r="G284" s="1146"/>
      <c r="H284" s="1147"/>
      <c r="I284" s="1147"/>
      <c r="J284" s="1147"/>
      <c r="K284" s="1147"/>
      <c r="L284" s="1147"/>
      <c r="M284" s="1147"/>
      <c r="N284" s="1148"/>
      <c r="O284" s="323"/>
      <c r="P284" s="301"/>
      <c r="Q284" s="23"/>
      <c r="R284" s="23"/>
      <c r="S284" s="325"/>
      <c r="T284" s="325"/>
      <c r="U284" s="325"/>
      <c r="V284" s="325"/>
      <c r="W284" s="325"/>
      <c r="X284" s="325"/>
      <c r="Y284" s="325"/>
      <c r="Z284" s="325"/>
      <c r="AA284" s="325"/>
      <c r="AB284" s="325"/>
      <c r="AC284" s="325"/>
      <c r="AD284" s="325"/>
      <c r="AE284" s="325"/>
      <c r="AF284" s="325"/>
      <c r="AG284" s="325"/>
      <c r="AH284" s="325"/>
      <c r="AI284" s="325"/>
      <c r="AJ284" s="325"/>
      <c r="AK284" s="325"/>
      <c r="AL284" s="325"/>
      <c r="AM284" s="325"/>
      <c r="AN284" s="325"/>
      <c r="AO284" s="325"/>
      <c r="AP284" s="325"/>
      <c r="AQ284" s="325"/>
      <c r="AR284" s="325"/>
      <c r="AS284" s="325"/>
      <c r="AT284" s="325"/>
      <c r="AU284" s="325"/>
      <c r="AV284" s="325"/>
      <c r="AW284" s="325"/>
      <c r="AX284" s="325"/>
      <c r="AY284" s="325"/>
      <c r="AZ284" s="325"/>
      <c r="BA284" s="325"/>
      <c r="BB284" s="325"/>
      <c r="BC284" s="325"/>
      <c r="BD284" s="325"/>
      <c r="BE284" s="325"/>
      <c r="BF284" s="325"/>
      <c r="BG284" s="325"/>
      <c r="BH284" s="325"/>
      <c r="BI284" s="325"/>
      <c r="BJ284" s="325"/>
      <c r="BK284" s="325"/>
      <c r="BL284" s="325"/>
      <c r="BM284" s="325"/>
      <c r="BN284" s="325"/>
      <c r="BO284" s="325"/>
      <c r="BP284" s="325"/>
      <c r="BQ284" s="325"/>
      <c r="BR284" s="325"/>
      <c r="BS284" s="325"/>
      <c r="BT284" s="325"/>
      <c r="BU284" s="325"/>
      <c r="BV284" s="325"/>
      <c r="BW284" s="325"/>
      <c r="BX284" s="325"/>
      <c r="BY284" s="325"/>
      <c r="BZ284" s="325"/>
      <c r="CA284" s="325"/>
      <c r="CB284" s="325"/>
      <c r="CC284" s="325"/>
      <c r="CD284" s="325"/>
      <c r="CE284" s="325"/>
      <c r="CF284" s="325"/>
      <c r="CG284" s="33" t="b">
        <f>CG282</f>
        <v>0</v>
      </c>
    </row>
    <row r="285" spans="1:85" ht="12.75" customHeight="1" thickBot="1" x14ac:dyDescent="0.3">
      <c r="A285" s="318"/>
      <c r="B285" s="22"/>
      <c r="C285" s="319"/>
      <c r="D285" s="320"/>
      <c r="E285" s="321"/>
      <c r="F285" s="319"/>
      <c r="G285" s="322"/>
      <c r="H285" s="322"/>
      <c r="I285" s="322"/>
      <c r="J285" s="322"/>
      <c r="K285" s="322"/>
      <c r="L285" s="322"/>
      <c r="M285" s="322"/>
      <c r="N285" s="322"/>
      <c r="O285" s="323"/>
      <c r="P285" s="301"/>
      <c r="Q285" s="23"/>
      <c r="R285" s="23"/>
      <c r="S285" s="41"/>
      <c r="T285" s="41"/>
      <c r="U285" s="324"/>
      <c r="V285" s="41"/>
      <c r="W285" s="41"/>
      <c r="X285" s="324"/>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325"/>
      <c r="BN285" s="325"/>
      <c r="BO285" s="325"/>
      <c r="BP285" s="325"/>
      <c r="BQ285" s="325"/>
      <c r="BR285" s="325"/>
      <c r="BS285" s="325"/>
      <c r="BT285" s="325"/>
      <c r="BU285" s="41"/>
      <c r="BV285" s="41"/>
      <c r="BW285" s="41"/>
      <c r="BX285" s="41"/>
      <c r="BY285" s="41"/>
      <c r="BZ285" s="41"/>
      <c r="CA285" s="41"/>
      <c r="CB285" s="41"/>
      <c r="CC285" s="41"/>
      <c r="CD285" s="41"/>
      <c r="CE285" s="41"/>
      <c r="CF285" s="41"/>
      <c r="CG285" s="41"/>
    </row>
    <row r="286" spans="1:85" ht="12.75" customHeight="1" thickBot="1" x14ac:dyDescent="0.3">
      <c r="A286" s="326"/>
      <c r="B286" s="22"/>
      <c r="C286" s="22"/>
      <c r="D286" s="327"/>
      <c r="E286" s="328"/>
      <c r="F286" s="22"/>
      <c r="G286" s="1"/>
      <c r="H286" s="1"/>
      <c r="I286" s="1"/>
      <c r="J286" s="1"/>
      <c r="K286" s="22"/>
      <c r="L286" s="1"/>
      <c r="M286" s="1"/>
      <c r="N286" s="1"/>
      <c r="O286" s="323"/>
      <c r="P286" s="301"/>
      <c r="Q286" s="23"/>
      <c r="R286" s="23"/>
      <c r="S286" s="2"/>
      <c r="T286" s="20" t="str">
        <f>IF(ISBLANK(E287),"",MATCH(E287,CNTR_SourceStreamNames,0))</f>
        <v/>
      </c>
      <c r="U286" s="329" t="str">
        <f>IF(ISBLANK(E287),"",INDEX('B_Polttoainevirtojen tiedot'!$D$67:$D$91,MATCH(E287,CNTR_SourceStreamNames,0)))</f>
        <v/>
      </c>
      <c r="V286" s="60"/>
      <c r="W286" s="37"/>
      <c r="X286" s="37"/>
      <c r="Y286" s="37"/>
      <c r="Z286" s="41"/>
      <c r="AA286" s="41"/>
      <c r="AB286" s="41"/>
      <c r="AC286" s="41"/>
      <c r="AD286" s="41"/>
      <c r="AE286" s="41"/>
      <c r="AF286" s="41"/>
      <c r="AG286" s="41"/>
      <c r="AH286" s="41"/>
      <c r="AI286" s="41"/>
      <c r="AJ286" s="41"/>
      <c r="AK286" s="23"/>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37"/>
      <c r="BK286" s="37"/>
      <c r="BL286" s="37"/>
      <c r="BM286" s="37"/>
      <c r="BN286" s="37"/>
      <c r="BO286" s="37"/>
      <c r="BP286" s="37"/>
      <c r="BQ286" s="37"/>
      <c r="BR286" s="37"/>
      <c r="BS286" s="37"/>
      <c r="BT286" s="37"/>
      <c r="BU286" s="37"/>
      <c r="BV286" s="37"/>
      <c r="BW286" s="37"/>
      <c r="BX286" s="37"/>
      <c r="BY286" s="37"/>
      <c r="BZ286" s="37"/>
      <c r="CA286" s="37"/>
      <c r="CB286" s="37"/>
      <c r="CC286" s="37"/>
      <c r="CD286" s="37"/>
      <c r="CE286" s="37"/>
      <c r="CF286" s="37"/>
      <c r="CG286" s="330" t="s">
        <v>94</v>
      </c>
    </row>
    <row r="287" spans="1:85" ht="15" customHeight="1" thickBot="1" x14ac:dyDescent="0.3">
      <c r="A287" s="331">
        <f>C287</f>
        <v>11</v>
      </c>
      <c r="B287" s="21"/>
      <c r="C287" s="332">
        <f>C263+1</f>
        <v>11</v>
      </c>
      <c r="D287" s="21"/>
      <c r="E287" s="1117"/>
      <c r="F287" s="1118"/>
      <c r="G287" s="1118"/>
      <c r="H287" s="1118"/>
      <c r="I287" s="1118"/>
      <c r="J287" s="1119"/>
      <c r="K287" s="1138" t="str">
        <f>IF(INDEX('B_Polttoainevirtojen tiedot'!$K$100:$K$124,MATCH(U286,'B_Polttoainevirtojen tiedot'!$D$100:$D$124,0))&gt;0,INDEX('B_Polttoainevirtojen tiedot'!$K$100:$K$124,MATCH(U286,'B_Polttoainevirtojen tiedot'!$D$100:$D$124,0)),"")</f>
        <v/>
      </c>
      <c r="L287" s="1139"/>
      <c r="M287" s="328" t="str">
        <f>Translations!$B$374</f>
        <v>CO2 fossiilinen:</v>
      </c>
      <c r="N287" s="401" t="str">
        <f>IF(E288="","",BG293)</f>
        <v/>
      </c>
      <c r="O287" s="333" t="str">
        <f>EUconst_tCO2</f>
        <v>tCO2</v>
      </c>
      <c r="P287" s="610" t="str">
        <f>IF(AND(E287&lt;&gt;"",COUNTIF(P288:$P$811,"PRINT")=0),"PRINT","")</f>
        <v/>
      </c>
      <c r="Q287" s="335" t="str">
        <f>EUconst_SumCO2</f>
        <v>SUM_CO2</v>
      </c>
      <c r="R287" s="23"/>
      <c r="S287" s="2"/>
      <c r="T287" s="2"/>
      <c r="U287" s="2"/>
      <c r="V287" s="60"/>
      <c r="W287" s="37"/>
      <c r="X287" s="41"/>
      <c r="Y287" s="41"/>
      <c r="Z287" s="41"/>
      <c r="AA287" s="41"/>
      <c r="AB287" s="41"/>
      <c r="AC287" s="41"/>
      <c r="AD287" s="41"/>
      <c r="AE287" s="41"/>
      <c r="AF287" s="41"/>
      <c r="AG287" s="41"/>
      <c r="AH287" s="41"/>
      <c r="AI287" s="337"/>
      <c r="AJ287" s="337"/>
      <c r="AK287" s="337"/>
      <c r="AL287" s="337"/>
      <c r="AM287" s="337"/>
      <c r="AN287" s="337"/>
      <c r="AO287" s="337"/>
      <c r="AP287" s="337"/>
      <c r="AQ287" s="337"/>
      <c r="AR287" s="337"/>
      <c r="AS287" s="337"/>
      <c r="AT287" s="337"/>
      <c r="AU287" s="337"/>
      <c r="AV287" s="337"/>
      <c r="AW287" s="337"/>
      <c r="AX287" s="337"/>
      <c r="AY287" s="337"/>
      <c r="AZ287" s="337"/>
      <c r="BA287" s="337"/>
      <c r="BB287" s="337"/>
      <c r="BC287" s="337"/>
      <c r="BD287" s="337"/>
      <c r="BE287" s="337"/>
      <c r="BF287" s="337"/>
      <c r="BG287" s="337"/>
      <c r="BH287" s="337"/>
      <c r="BI287" s="483" t="str">
        <f>IF(E287="","",E287)</f>
        <v/>
      </c>
      <c r="BJ287" s="338" t="str">
        <f>IF(F293="","",F293)</f>
        <v/>
      </c>
      <c r="BK287" s="485">
        <f>AV293</f>
        <v>0</v>
      </c>
      <c r="BL287" s="485">
        <f>IF(BK287="","",BK287*(1-BP287))</f>
        <v>0</v>
      </c>
      <c r="BM287" s="338" t="str">
        <f>AJ293</f>
        <v/>
      </c>
      <c r="BN287" s="338" t="str">
        <f>IF(F300="","",F300)</f>
        <v/>
      </c>
      <c r="BO287" s="483" t="str">
        <f>IF(G300="","",G300)</f>
        <v/>
      </c>
      <c r="BP287" s="484">
        <f>AV300</f>
        <v>0</v>
      </c>
      <c r="BQ287" s="338" t="str">
        <f>IF(F296="","",F296)</f>
        <v/>
      </c>
      <c r="BR287" s="484">
        <f>AV296</f>
        <v>0</v>
      </c>
      <c r="BS287" s="484" t="str">
        <f>AJ296</f>
        <v/>
      </c>
      <c r="BT287" s="338" t="str">
        <f>IF(F295="","",F295)</f>
        <v/>
      </c>
      <c r="BU287" s="484">
        <f>IF(F295=EUconst_NA,"",AV295)</f>
        <v>0</v>
      </c>
      <c r="BV287" s="484" t="str">
        <f>AJ295</f>
        <v/>
      </c>
      <c r="BW287" s="338" t="str">
        <f>IF(F297="","",F297)</f>
        <v/>
      </c>
      <c r="BX287" s="484">
        <f>AV297</f>
        <v>0</v>
      </c>
      <c r="BY287" s="338" t="str">
        <f>IF(F298="","",F298)</f>
        <v/>
      </c>
      <c r="BZ287" s="484">
        <f>AV298</f>
        <v>0</v>
      </c>
      <c r="CA287" s="485" t="str">
        <f>N287</f>
        <v/>
      </c>
      <c r="CB287" s="485" t="str">
        <f>N288</f>
        <v/>
      </c>
      <c r="CC287" s="485" t="str">
        <f>R290</f>
        <v/>
      </c>
      <c r="CD287" s="485" t="str">
        <f>R292</f>
        <v/>
      </c>
      <c r="CE287" s="485" t="str">
        <f>R293</f>
        <v/>
      </c>
      <c r="CF287" s="37"/>
      <c r="CG287" s="339" t="b">
        <v>0</v>
      </c>
    </row>
    <row r="288" spans="1:85" ht="15" customHeight="1" thickBot="1" x14ac:dyDescent="0.3">
      <c r="A288" s="318"/>
      <c r="B288" s="21"/>
      <c r="C288" s="21"/>
      <c r="D288" s="21"/>
      <c r="E288" s="1127" t="str">
        <f>IF(ISBLANK(E287),"",IF(INDEX('B_Polttoainevirtojen tiedot'!$E$67:$E$91,MATCH(U286,'B_Polttoainevirtojen tiedot'!$D$67:$D$91,0))&gt;0,INDEX('B_Polttoainevirtojen tiedot'!$E$67:$E$91,MATCH(U286,'B_Polttoainevirtojen tiedot'!$D$67:$D$91,0)),""))</f>
        <v/>
      </c>
      <c r="F288" s="1128"/>
      <c r="G288" s="1128"/>
      <c r="H288" s="1128"/>
      <c r="I288" s="1128"/>
      <c r="J288" s="1129"/>
      <c r="K288" s="1138" t="str">
        <f>IF(INDEX('B_Polttoainevirtojen tiedot'!$M$100:$M$124,MATCH(U286,'B_Polttoainevirtojen tiedot'!$D$100:$D$124,0))&gt;0,INDEX('B_Polttoainevirtojen tiedot'!$M$100:$M$124,MATCH(U286,'B_Polttoainevirtojen tiedot'!$D$100:$D$124,0)),"")</f>
        <v/>
      </c>
      <c r="L288" s="1139"/>
      <c r="M288" s="340" t="str">
        <f>Translations!$B$375</f>
        <v>CO2 bio:</v>
      </c>
      <c r="N288" s="482" t="str">
        <f>IF(E288="","",BG295)</f>
        <v/>
      </c>
      <c r="O288" s="341" t="str">
        <f>EUconst_tCO2</f>
        <v>tCO2</v>
      </c>
      <c r="P288" s="301"/>
      <c r="Q288" s="335" t="str">
        <f>EUconst_SumBioCO2</f>
        <v>SUM_bioCO2</v>
      </c>
      <c r="R288" s="23"/>
      <c r="S288" s="2"/>
      <c r="T288" s="2"/>
      <c r="U288" s="2"/>
      <c r="V288" s="60"/>
      <c r="W288" s="37"/>
      <c r="X288" s="41"/>
      <c r="Y288" s="20" t="str">
        <f>Translations!$B$143</f>
        <v>Määrittämistasot</v>
      </c>
      <c r="Z288" s="325"/>
      <c r="AA288" s="325"/>
      <c r="AB288" s="325"/>
      <c r="AC288" s="325"/>
      <c r="AD288" s="325"/>
      <c r="AE288" s="20" t="s">
        <v>95</v>
      </c>
      <c r="AF288" s="41"/>
      <c r="AG288" s="342"/>
      <c r="AH288" s="325"/>
      <c r="AI288" s="325"/>
      <c r="AJ288" s="342"/>
      <c r="AK288" s="342"/>
      <c r="AL288" s="337"/>
      <c r="AM288" s="337"/>
      <c r="AN288" s="337"/>
      <c r="AO288" s="337"/>
      <c r="AP288" s="337"/>
      <c r="AQ288" s="20" t="s">
        <v>96</v>
      </c>
      <c r="AR288" s="343"/>
      <c r="AS288" s="343"/>
      <c r="AT288" s="325"/>
      <c r="AU288" s="325"/>
      <c r="AV288" s="325"/>
      <c r="AW288" s="325"/>
      <c r="AX288" s="325"/>
      <c r="AY288" s="325"/>
      <c r="AZ288" s="20" t="s">
        <v>97</v>
      </c>
      <c r="BA288" s="325"/>
      <c r="BB288" s="325"/>
      <c r="BC288" s="325"/>
      <c r="BD288" s="325"/>
      <c r="BE288" s="325"/>
      <c r="BF288" s="20" t="s">
        <v>98</v>
      </c>
      <c r="BG288" s="325"/>
      <c r="BH288" s="325"/>
      <c r="BI288" s="20" t="s">
        <v>99</v>
      </c>
      <c r="BJ288" s="338" t="str">
        <f>Translations!$B$376</f>
        <v>RFA-määrittämistaso</v>
      </c>
      <c r="BK288" s="338" t="str">
        <f>Translations!$B$377</f>
        <v>RFA</v>
      </c>
      <c r="BL288" s="338" t="str">
        <f>Translations!$B$378</f>
        <v>RFA (SF:n jälkeen)</v>
      </c>
      <c r="BM288" s="338" t="str">
        <f>Translations!$B$379</f>
        <v>RFA-yksikkö</v>
      </c>
      <c r="BN288" s="338" t="str">
        <f>Translations!$B$380</f>
        <v>SF-määrittämistaso</v>
      </c>
      <c r="BO288" s="338" t="str">
        <f>Translations!$B$380</f>
        <v>SF-määrittämistaso</v>
      </c>
      <c r="BP288" s="338" t="str">
        <f>Translations!$B$381</f>
        <v>SF</v>
      </c>
      <c r="BQ288" s="338" t="str">
        <f>Translations!$B$382</f>
        <v>EF-määrittämistaso</v>
      </c>
      <c r="BR288" s="338" t="str">
        <f>Translations!$B$383</f>
        <v>EF</v>
      </c>
      <c r="BS288" s="338" t="str">
        <f>Translations!$B$384</f>
        <v>EF-yksikkö</v>
      </c>
      <c r="BT288" s="338" t="str">
        <f>Translations!$B$385</f>
        <v>UCF-määrittämistaso</v>
      </c>
      <c r="BU288" s="338" t="str">
        <f>Translations!$B$386</f>
        <v>UCF</v>
      </c>
      <c r="BV288" s="338" t="str">
        <f>Translations!$B$387</f>
        <v>UCF-yksikkö</v>
      </c>
      <c r="BW288" s="338" t="str">
        <f>Translations!$B$388</f>
        <v>Bio-määrittämistaso</v>
      </c>
      <c r="BX288" s="338" t="s">
        <v>100</v>
      </c>
      <c r="BY288" s="338" t="str">
        <f>Translations!$B$389</f>
        <v>NonSustBio-määrittämistaso</v>
      </c>
      <c r="BZ288" s="338" t="s">
        <v>101</v>
      </c>
      <c r="CA288" s="338" t="str">
        <f>Translations!$B$390</f>
        <v>CO2 fossil</v>
      </c>
      <c r="CB288" s="338" t="str">
        <f>Translations!$B$391</f>
        <v>CO2 bio</v>
      </c>
      <c r="CC288" s="338" t="str">
        <f>Translations!$B$392</f>
        <v>CO2 non-sust</v>
      </c>
      <c r="CD288" s="338" t="s">
        <v>102</v>
      </c>
      <c r="CE288" s="338" t="s">
        <v>103</v>
      </c>
      <c r="CF288" s="325"/>
      <c r="CG288" s="325"/>
    </row>
    <row r="289" spans="1:85" ht="5.15" customHeight="1" thickBot="1" x14ac:dyDescent="0.3">
      <c r="A289" s="318"/>
      <c r="B289" s="21"/>
      <c r="C289" s="21"/>
      <c r="D289" s="21"/>
      <c r="E289" s="21"/>
      <c r="F289" s="21"/>
      <c r="G289" s="21"/>
      <c r="H289" s="22"/>
      <c r="I289" s="22"/>
      <c r="J289" s="22"/>
      <c r="K289" s="22"/>
      <c r="L289" s="22"/>
      <c r="M289" s="22"/>
      <c r="N289" s="22"/>
      <c r="O289" s="323"/>
      <c r="P289" s="301"/>
      <c r="Q289" s="23"/>
      <c r="R289" s="23"/>
      <c r="S289" s="2"/>
      <c r="T289" s="2"/>
      <c r="U289" s="2"/>
      <c r="V289" s="60"/>
      <c r="W289" s="325"/>
      <c r="X289" s="325"/>
      <c r="Y289" s="23"/>
      <c r="Z289" s="325"/>
      <c r="AA289" s="325"/>
      <c r="AB289" s="325"/>
      <c r="AC289" s="325"/>
      <c r="AD289" s="325"/>
      <c r="AE289" s="325"/>
      <c r="AF289" s="41"/>
      <c r="AG289" s="325"/>
      <c r="AH289" s="325"/>
      <c r="AI289" s="325"/>
      <c r="AJ289" s="342"/>
      <c r="AK289" s="342"/>
      <c r="AL289" s="337"/>
      <c r="AM289" s="337"/>
      <c r="AN289" s="337"/>
      <c r="AO289" s="337"/>
      <c r="AP289" s="337"/>
      <c r="AQ289" s="325"/>
      <c r="AR289" s="325"/>
      <c r="AS289" s="325"/>
      <c r="AT289" s="325"/>
      <c r="AU289" s="325"/>
      <c r="AV289" s="325"/>
      <c r="AW289" s="325"/>
      <c r="AX289" s="325"/>
      <c r="AY289" s="325"/>
      <c r="AZ289" s="325"/>
      <c r="BA289" s="325"/>
      <c r="BB289" s="325"/>
      <c r="BC289" s="325"/>
      <c r="BD289" s="325"/>
      <c r="BE289" s="325"/>
      <c r="BF289" s="325"/>
      <c r="BG289" s="325"/>
      <c r="BH289" s="325"/>
      <c r="BI289" s="325"/>
      <c r="BJ289" s="325"/>
      <c r="BK289" s="325"/>
      <c r="BL289" s="325"/>
      <c r="BM289" s="325"/>
      <c r="BN289" s="325"/>
      <c r="BO289" s="325"/>
      <c r="BP289" s="325"/>
      <c r="BQ289" s="325"/>
      <c r="BR289" s="325"/>
      <c r="BS289" s="325"/>
      <c r="BT289" s="325"/>
      <c r="BU289" s="325"/>
      <c r="BV289" s="325"/>
      <c r="BW289" s="325"/>
      <c r="BX289" s="325"/>
      <c r="BY289" s="325"/>
      <c r="BZ289" s="325"/>
      <c r="CA289" s="325"/>
      <c r="CB289" s="325"/>
      <c r="CC289" s="325"/>
      <c r="CD289" s="325"/>
      <c r="CE289" s="325"/>
      <c r="CF289" s="325"/>
      <c r="CG289" s="325"/>
    </row>
    <row r="290" spans="1:85" ht="12.75" customHeight="1" thickBot="1" x14ac:dyDescent="0.3">
      <c r="A290" s="318"/>
      <c r="B290" s="21"/>
      <c r="C290" s="21"/>
      <c r="D290" s="21"/>
      <c r="E290" s="1140" t="str">
        <f>IF(E287="","",HYPERLINK("#JUMP_E_Top",EUconst_FurtherGuidancePoint1))</f>
        <v/>
      </c>
      <c r="F290" s="1140"/>
      <c r="G290" s="1140"/>
      <c r="H290" s="1140"/>
      <c r="I290" s="1140"/>
      <c r="J290" s="1140"/>
      <c r="K290" s="1140"/>
      <c r="L290" s="1140"/>
      <c r="M290" s="1140"/>
      <c r="N290" s="22"/>
      <c r="O290" s="323"/>
      <c r="P290" s="301"/>
      <c r="Q290" s="335" t="str">
        <f>EUconst_SumNonSustBioCO2</f>
        <v>SUM_bioNonSustCO2</v>
      </c>
      <c r="R290" s="500" t="str">
        <f>IF(E288="","",BG296)</f>
        <v/>
      </c>
      <c r="S290" s="2"/>
      <c r="T290" s="2"/>
      <c r="U290" s="2"/>
      <c r="V290" s="325"/>
      <c r="W290" s="325"/>
      <c r="X290" s="325"/>
      <c r="Y290" s="41"/>
      <c r="Z290" s="325"/>
      <c r="AA290" s="325"/>
      <c r="AB290" s="325"/>
      <c r="AC290" s="325"/>
      <c r="AD290" s="325"/>
      <c r="AE290" s="325"/>
      <c r="AF290" s="41"/>
      <c r="AG290" s="325"/>
      <c r="AH290" s="325"/>
      <c r="AI290" s="325"/>
      <c r="AJ290" s="342"/>
      <c r="AK290" s="342"/>
      <c r="AL290" s="337"/>
      <c r="AM290" s="337"/>
      <c r="AN290" s="337"/>
      <c r="AO290" s="337"/>
      <c r="AP290" s="337"/>
      <c r="AQ290" s="325"/>
      <c r="AR290" s="325"/>
      <c r="AS290" s="325"/>
      <c r="AT290" s="325"/>
      <c r="AU290" s="325"/>
      <c r="AV290" s="325"/>
      <c r="AW290" s="325"/>
      <c r="AX290" s="325"/>
      <c r="AY290" s="325"/>
      <c r="AZ290" s="325"/>
      <c r="BA290" s="325"/>
      <c r="BB290" s="325"/>
      <c r="BC290" s="325"/>
      <c r="BD290" s="325"/>
      <c r="BE290" s="325"/>
      <c r="BF290" s="325"/>
      <c r="BG290" s="325"/>
      <c r="BH290" s="325"/>
      <c r="BI290" s="20" t="s">
        <v>104</v>
      </c>
      <c r="BJ290" s="343"/>
      <c r="BK290" s="483" t="str">
        <f>IF(G304="","",G304)</f>
        <v/>
      </c>
      <c r="BL290" s="483" t="str">
        <f>IF(I304="","",I304)</f>
        <v/>
      </c>
      <c r="BM290" s="483" t="str">
        <f>IF(K304="","",K304)</f>
        <v/>
      </c>
      <c r="BN290" s="325"/>
      <c r="BO290" s="325"/>
      <c r="BP290" s="325"/>
      <c r="BQ290" s="325"/>
      <c r="BR290" s="325"/>
      <c r="BS290" s="325"/>
      <c r="BT290" s="330"/>
      <c r="BU290" s="325"/>
      <c r="BV290" s="325"/>
      <c r="BW290" s="325"/>
      <c r="BX290" s="325"/>
      <c r="BY290" s="325"/>
      <c r="BZ290" s="325"/>
      <c r="CA290" s="325"/>
      <c r="CB290" s="325"/>
      <c r="CC290" s="325"/>
      <c r="CD290" s="325"/>
      <c r="CE290" s="325"/>
      <c r="CF290" s="325"/>
      <c r="CG290" s="325"/>
    </row>
    <row r="291" spans="1:85" ht="5.15" customHeight="1" thickBot="1" x14ac:dyDescent="0.3">
      <c r="A291" s="318"/>
      <c r="B291" s="21"/>
      <c r="C291" s="21"/>
      <c r="D291" s="21"/>
      <c r="E291" s="21"/>
      <c r="F291" s="21"/>
      <c r="G291" s="21"/>
      <c r="H291" s="22"/>
      <c r="I291" s="22"/>
      <c r="J291" s="22"/>
      <c r="K291" s="22"/>
      <c r="L291" s="22"/>
      <c r="M291" s="22"/>
      <c r="N291" s="22"/>
      <c r="O291" s="323"/>
      <c r="P291" s="259"/>
      <c r="Q291" s="2"/>
      <c r="R291" s="259"/>
      <c r="S291" s="2"/>
      <c r="T291" s="2"/>
      <c r="U291" s="2"/>
      <c r="V291" s="325"/>
      <c r="W291" s="325"/>
      <c r="X291" s="325"/>
      <c r="Y291" s="23"/>
      <c r="Z291" s="325"/>
      <c r="AA291" s="325"/>
      <c r="AB291" s="325"/>
      <c r="AC291" s="325"/>
      <c r="AD291" s="325"/>
      <c r="AE291" s="325"/>
      <c r="AF291" s="41"/>
      <c r="AG291" s="325"/>
      <c r="AH291" s="325"/>
      <c r="AI291" s="325"/>
      <c r="AJ291" s="342"/>
      <c r="AK291" s="342"/>
      <c r="AL291" s="337"/>
      <c r="AM291" s="337"/>
      <c r="AN291" s="337"/>
      <c r="AO291" s="337"/>
      <c r="AP291" s="337"/>
      <c r="AQ291" s="325"/>
      <c r="AR291" s="325"/>
      <c r="AS291" s="325"/>
      <c r="AT291" s="325"/>
      <c r="AU291" s="325"/>
      <c r="AV291" s="325"/>
      <c r="AW291" s="325"/>
      <c r="AX291" s="325"/>
      <c r="AY291" s="325"/>
      <c r="AZ291" s="325"/>
      <c r="BA291" s="325"/>
      <c r="BB291" s="325"/>
      <c r="BC291" s="325"/>
      <c r="BD291" s="325"/>
      <c r="BE291" s="325"/>
      <c r="BF291" s="325"/>
      <c r="BG291" s="325"/>
      <c r="BH291" s="325"/>
      <c r="BI291" s="325"/>
      <c r="BJ291" s="325"/>
      <c r="BK291" s="325"/>
      <c r="BL291" s="325"/>
      <c r="BM291" s="325"/>
      <c r="BN291" s="325"/>
      <c r="BO291" s="325"/>
      <c r="BP291" s="325"/>
      <c r="BQ291" s="325"/>
      <c r="BR291" s="325"/>
      <c r="BS291" s="325"/>
      <c r="BT291" s="325"/>
      <c r="BU291" s="325"/>
      <c r="BV291" s="325"/>
      <c r="BW291" s="325"/>
      <c r="BX291" s="325"/>
      <c r="BY291" s="325"/>
      <c r="BZ291" s="325"/>
      <c r="CA291" s="325"/>
      <c r="CB291" s="325"/>
      <c r="CC291" s="325"/>
      <c r="CD291" s="325"/>
      <c r="CE291" s="325"/>
      <c r="CF291" s="325"/>
      <c r="CG291" s="325"/>
    </row>
    <row r="292" spans="1:85" ht="12.75" customHeight="1" thickBot="1" x14ac:dyDescent="0.3">
      <c r="A292" s="318"/>
      <c r="B292" s="21"/>
      <c r="C292" s="21"/>
      <c r="D292" s="21"/>
      <c r="E292" s="21"/>
      <c r="F292" s="347" t="str">
        <f>Translations!$B$127</f>
        <v>Määrittämistaso</v>
      </c>
      <c r="G292" s="1141" t="str">
        <f>Translations!$B$393</f>
        <v>määrittämistason kuvaus</v>
      </c>
      <c r="H292" s="1141"/>
      <c r="I292" s="1142" t="str">
        <f>Translations!$B$394</f>
        <v>Yksikkö</v>
      </c>
      <c r="J292" s="1142"/>
      <c r="K292" s="1142" t="str">
        <f>Translations!$B$395</f>
        <v>Arvo</v>
      </c>
      <c r="L292" s="1142"/>
      <c r="M292" s="327" t="str">
        <f>Translations!$B$396</f>
        <v>virhe</v>
      </c>
      <c r="N292" s="22"/>
      <c r="O292" s="323"/>
      <c r="P292" s="611"/>
      <c r="Q292" s="335" t="str">
        <f>EUconst_SumEnergyIN</f>
        <v>SUM_EnergyIN</v>
      </c>
      <c r="R292" s="501" t="str">
        <f>IF(E288="","",BG297)</f>
        <v/>
      </c>
      <c r="S292" s="325"/>
      <c r="T292" s="325"/>
      <c r="U292" s="325"/>
      <c r="V292" s="336" t="s">
        <v>105</v>
      </c>
      <c r="W292" s="325"/>
      <c r="X292" s="325"/>
      <c r="Y292" s="23" t="s">
        <v>106</v>
      </c>
      <c r="Z292" s="23" t="s">
        <v>107</v>
      </c>
      <c r="AA292" s="325"/>
      <c r="AB292" s="325"/>
      <c r="AC292" s="343" t="s">
        <v>108</v>
      </c>
      <c r="AD292" s="325"/>
      <c r="AE292" s="325"/>
      <c r="AF292" s="325" t="s">
        <v>109</v>
      </c>
      <c r="AG292" s="325" t="s">
        <v>110</v>
      </c>
      <c r="AH292" s="23" t="s">
        <v>111</v>
      </c>
      <c r="AI292" s="342" t="s">
        <v>112</v>
      </c>
      <c r="AJ292" s="342" t="s">
        <v>113</v>
      </c>
      <c r="AK292" s="348" t="s">
        <v>114</v>
      </c>
      <c r="AL292" s="337"/>
      <c r="AM292" s="337"/>
      <c r="AN292" s="337"/>
      <c r="AO292" s="337"/>
      <c r="AP292" s="337"/>
      <c r="AQ292" s="325"/>
      <c r="AR292" s="325" t="s">
        <v>109</v>
      </c>
      <c r="AS292" s="325" t="s">
        <v>110</v>
      </c>
      <c r="AT292" s="349" t="s">
        <v>115</v>
      </c>
      <c r="AU292" s="342" t="s">
        <v>116</v>
      </c>
      <c r="AV292" s="342" t="s">
        <v>117</v>
      </c>
      <c r="AW292" s="348" t="s">
        <v>114</v>
      </c>
      <c r="AX292" s="348" t="s">
        <v>114</v>
      </c>
      <c r="AY292" s="325"/>
      <c r="AZ292" s="325"/>
      <c r="BA292" s="325"/>
      <c r="BB292" s="325" t="s">
        <v>118</v>
      </c>
      <c r="BC292" s="325"/>
      <c r="BD292" s="325"/>
      <c r="BE292" s="325"/>
      <c r="BF292" s="325"/>
      <c r="BG292" s="330" t="str">
        <f>EUconst_Fuel</f>
        <v>Poltto</v>
      </c>
      <c r="BH292" s="325"/>
      <c r="BI292" s="325"/>
      <c r="BJ292" s="325"/>
      <c r="BK292" s="325"/>
      <c r="BL292" s="325"/>
      <c r="BM292" s="325"/>
      <c r="BN292" s="325"/>
      <c r="BO292" s="325"/>
      <c r="BP292" s="325"/>
      <c r="BQ292" s="325"/>
      <c r="BR292" s="325"/>
      <c r="BS292" s="325"/>
      <c r="BT292" s="325"/>
      <c r="BU292" s="325"/>
      <c r="BV292" s="325"/>
      <c r="BW292" s="325"/>
      <c r="BX292" s="325"/>
      <c r="BY292" s="325"/>
      <c r="BZ292" s="325"/>
      <c r="CA292" s="325"/>
      <c r="CB292" s="325"/>
      <c r="CC292" s="325"/>
      <c r="CD292" s="325"/>
      <c r="CE292" s="325"/>
      <c r="CF292" s="325"/>
      <c r="CG292" s="330" t="s">
        <v>94</v>
      </c>
    </row>
    <row r="293" spans="1:85" ht="12.75" customHeight="1" thickBot="1" x14ac:dyDescent="0.3">
      <c r="A293" s="318"/>
      <c r="B293" s="21"/>
      <c r="C293" s="344"/>
      <c r="D293" s="345" t="str">
        <f>Translations!$B$356</f>
        <v>Polttoaineen määrä:</v>
      </c>
      <c r="E293" s="350"/>
      <c r="F293" s="351"/>
      <c r="G293" s="1120" t="str">
        <f>IF(OR(ISBLANK(F293),F293=EUconst_NoTier),"",IF(Z293=0,EUconst_NA,IF(ISERROR(Z293),"",Z293)))</f>
        <v/>
      </c>
      <c r="H293" s="1122"/>
      <c r="I293" s="352" t="str">
        <f>IF(J293&lt;&gt;"","",AI293)</f>
        <v/>
      </c>
      <c r="J293" s="353"/>
      <c r="K293" s="1143"/>
      <c r="L293" s="1144"/>
      <c r="M293" s="486" t="str">
        <f>IF(AND(E288&lt;&gt;"",OR(F293="",COUNT(K293)=0),Y293&lt;&gt;EUconst_NA),EUconst_ERR_Incomplete,"")</f>
        <v/>
      </c>
      <c r="N293" s="22"/>
      <c r="O293" s="323"/>
      <c r="P293" s="612"/>
      <c r="Q293" s="335" t="str">
        <f>EUconst_SumBioEnergyIN</f>
        <v>SUM_BioEnergyIN</v>
      </c>
      <c r="R293" s="501" t="str">
        <f>IF(E288="","",BG298)</f>
        <v/>
      </c>
      <c r="S293" s="325"/>
      <c r="T293" s="355" t="str">
        <f>EUconst_CNTR_ActivityData&amp;E288</f>
        <v>ActivityData_</v>
      </c>
      <c r="U293" s="23"/>
      <c r="V293" s="355" t="str">
        <f>IF(E287="","",INDEX('B_Polttoainevirtojen tiedot'!$I$67:$I$91,MATCH(U286,'B_Polttoainevirtojen tiedot'!$D$67:$D$91,0)))</f>
        <v/>
      </c>
      <c r="W293" s="342" t="s">
        <v>121</v>
      </c>
      <c r="X293" s="23"/>
      <c r="Y293" s="356" t="str">
        <f>IF(E288="","",INDEX(EUwideConstants!$P$153:$P$180,MATCH(T293,EUwideConstants!$S$153:$S$180,0)))</f>
        <v/>
      </c>
      <c r="Z293" s="357" t="str">
        <f>IF(ISBLANK(F293),"",IF(F293=EUconst_NA,"",INDEX(EUwideConstants!$H:$O,MATCH(T293,EUwideConstants!$S:$S,0),MATCH(F293,CNTR_TierList,0))))</f>
        <v/>
      </c>
      <c r="AA293" s="358" t="s">
        <v>111</v>
      </c>
      <c r="AB293" s="342"/>
      <c r="AC293" s="339" t="b">
        <f>E287&lt;&gt;""</f>
        <v>0</v>
      </c>
      <c r="AD293" s="325"/>
      <c r="AE293" s="359" t="str">
        <f>EUconst_CNTR_ActivityData&amp;EUconst_Unit</f>
        <v>ActivityData_Yksikkö</v>
      </c>
      <c r="AF293" s="360" t="str">
        <f>IF(AC293=TRUE, IF(COUNTIF(MSPara_SourceStreamCategory,V293)=0,"",INDEX(MSPara_CalcFactorsMatrix,MATCH(V293,MSPara_SourceStreamCategory,0),MATCH(AE293&amp;"_"&amp;2,MSPara_CalcFactors,0))),"")</f>
        <v/>
      </c>
      <c r="AG293" s="361" t="str">
        <f>IF(AC293=TRUE, IF(COUNTIF(MSPara_SourceStreamCategory,V293)=0,"",INDEX(MSPara_CalcFactorsMatrix,MATCH(V293,MSPara_SourceStreamCategory,0),MATCH(AE293&amp;"_"&amp;1,MSPara_CalcFactors,0))),"")</f>
        <v/>
      </c>
      <c r="AH293" s="339" t="str">
        <f>IF(OR(AF293="",AF293=EUconst_NA),IF(OR(AG293=EUconst_NA,AG293=""),"",AG293),AF293)</f>
        <v/>
      </c>
      <c r="AI293" s="356" t="str">
        <f>IF(AC293=TRUE,IF(AH293="",EUconst_t,AH293),"")</f>
        <v/>
      </c>
      <c r="AJ293" s="362" t="str">
        <f>IF(J293="",AI293,J293)</f>
        <v/>
      </c>
      <c r="AK293" s="363" t="b">
        <f>AND(E287&lt;&gt;"",J293&lt;&gt;"")</f>
        <v>0</v>
      </c>
      <c r="AL293" s="337"/>
      <c r="AM293" s="404" t="s">
        <v>122</v>
      </c>
      <c r="AN293" s="403" t="str">
        <f>AJ293</f>
        <v/>
      </c>
      <c r="AO293" s="337"/>
      <c r="AP293" s="337"/>
      <c r="AQ293" s="355" t="str">
        <f>EUconst_CNTR_ActivityData&amp;EUconst_Value</f>
        <v>ActivityData_Arvo</v>
      </c>
      <c r="AR293" s="343"/>
      <c r="AS293" s="343"/>
      <c r="AT293" s="339" t="b">
        <f>AND(AND(AH293&lt;&gt;"",AJ293&lt;&gt;""),AJ293=AH293)</f>
        <v>0</v>
      </c>
      <c r="AU293" s="325"/>
      <c r="AV293" s="339">
        <f>IF(Y293=EUconst_NA,0,IF(COUNT(K293:K293)=0,0,IF(K293="",#REF!,K293)))</f>
        <v>0</v>
      </c>
      <c r="AW293" s="346" t="b">
        <f>AND(AC293=TRUE,OR(K293&lt;&gt;"",AU293=""))</f>
        <v>0</v>
      </c>
      <c r="AX293" s="346" t="b">
        <f>AND(AC293=TRUE,NOT(AW293))</f>
        <v>0</v>
      </c>
      <c r="AY293" s="325"/>
      <c r="AZ293" s="325" t="s">
        <v>123</v>
      </c>
      <c r="BA293" s="325" t="s">
        <v>124</v>
      </c>
      <c r="BB293" s="346"/>
      <c r="BC293" s="325" t="s">
        <v>125</v>
      </c>
      <c r="BD293" s="325"/>
      <c r="BE293" s="325"/>
      <c r="BF293" s="400" t="str">
        <f>Translations!$B$390</f>
        <v>CO2 fossil</v>
      </c>
      <c r="BG293" s="495" t="str">
        <f>IF(COUNTIF(AO296:AO297,TRUE)=0,"",AV293*IF(AO296,1,AV295*AN297)*AV296*(1-AV297)*AV300)</f>
        <v/>
      </c>
      <c r="BH293" s="325"/>
      <c r="BI293" s="325"/>
      <c r="BJ293" s="325"/>
      <c r="BK293" s="325"/>
      <c r="BL293" s="325"/>
      <c r="BM293" s="325"/>
      <c r="BN293" s="325"/>
      <c r="BO293" s="325"/>
      <c r="BP293" s="325"/>
      <c r="BQ293" s="325"/>
      <c r="BR293" s="325"/>
      <c r="BS293" s="325"/>
      <c r="BT293" s="325"/>
      <c r="BU293" s="325"/>
      <c r="BV293" s="325"/>
      <c r="BW293" s="325"/>
      <c r="BX293" s="325"/>
      <c r="BY293" s="325"/>
      <c r="BZ293" s="325"/>
      <c r="CA293" s="325"/>
      <c r="CB293" s="325"/>
      <c r="CC293" s="325"/>
      <c r="CD293" s="325"/>
      <c r="CE293" s="325"/>
      <c r="CF293" s="325"/>
      <c r="CG293" s="346" t="b">
        <v>0</v>
      </c>
    </row>
    <row r="294" spans="1:85" ht="5.15" customHeight="1" thickBot="1" x14ac:dyDescent="0.3">
      <c r="A294" s="318"/>
      <c r="B294" s="21"/>
      <c r="C294" s="344"/>
      <c r="D294" s="188"/>
      <c r="E294" s="22"/>
      <c r="F294" s="22"/>
      <c r="G294" s="22"/>
      <c r="H294" s="22" t="str">
        <f>Translations!$B$397</f>
        <v xml:space="preserve"> </v>
      </c>
      <c r="I294" s="364"/>
      <c r="J294" s="364"/>
      <c r="K294" s="22"/>
      <c r="L294" s="22"/>
      <c r="M294" s="487"/>
      <c r="N294" s="22"/>
      <c r="O294" s="323"/>
      <c r="P294" s="301"/>
      <c r="Q294" s="23"/>
      <c r="R294" s="23"/>
      <c r="S294" s="325"/>
      <c r="T294" s="277"/>
      <c r="U294" s="23"/>
      <c r="V294" s="325"/>
      <c r="W294" s="325"/>
      <c r="X294" s="23"/>
      <c r="Y294" s="330"/>
      <c r="Z294" s="325"/>
      <c r="AA294" s="325"/>
      <c r="AB294" s="325"/>
      <c r="AC294" s="325"/>
      <c r="AD294" s="325"/>
      <c r="AE294" s="325"/>
      <c r="AF294" s="325"/>
      <c r="AG294" s="325"/>
      <c r="AH294" s="325"/>
      <c r="AI294" s="325"/>
      <c r="AJ294" s="325"/>
      <c r="AK294" s="325"/>
      <c r="AL294" s="337"/>
      <c r="AM294" s="337"/>
      <c r="AN294" s="337"/>
      <c r="AO294" s="337"/>
      <c r="AP294" s="337"/>
      <c r="AQ294" s="325"/>
      <c r="AR294" s="325"/>
      <c r="AS294" s="325"/>
      <c r="AT294" s="325"/>
      <c r="AU294" s="325"/>
      <c r="AV294" s="325"/>
      <c r="AW294" s="325"/>
      <c r="AX294" s="325"/>
      <c r="AY294" s="325"/>
      <c r="AZ294" s="325"/>
      <c r="BA294" s="325"/>
      <c r="BB294" s="325"/>
      <c r="BC294" s="325"/>
      <c r="BD294" s="325"/>
      <c r="BE294" s="325"/>
      <c r="BF294" s="325"/>
      <c r="BG294" s="496"/>
      <c r="BH294" s="325"/>
      <c r="BI294" s="325"/>
      <c r="BJ294" s="325"/>
      <c r="BK294" s="325"/>
      <c r="BL294" s="325"/>
      <c r="BM294" s="325"/>
      <c r="BN294" s="325"/>
      <c r="BO294" s="325"/>
      <c r="BP294" s="325"/>
      <c r="BQ294" s="325"/>
      <c r="BR294" s="325"/>
      <c r="BS294" s="325"/>
      <c r="BT294" s="325"/>
      <c r="BU294" s="325"/>
      <c r="BV294" s="325"/>
      <c r="BW294" s="325"/>
      <c r="BX294" s="325"/>
      <c r="BY294" s="325"/>
      <c r="BZ294" s="325"/>
      <c r="CA294" s="325"/>
      <c r="CB294" s="325"/>
      <c r="CC294" s="325"/>
      <c r="CD294" s="325"/>
      <c r="CE294" s="325"/>
      <c r="CF294" s="325"/>
      <c r="CG294" s="330"/>
    </row>
    <row r="295" spans="1:85" ht="12.75" customHeight="1" thickBot="1" x14ac:dyDescent="0.3">
      <c r="A295" s="318"/>
      <c r="B295" s="21"/>
      <c r="C295" s="344"/>
      <c r="D295" s="345" t="str">
        <f>Translations!$B$360</f>
        <v>Yksikön muuntokerroin:</v>
      </c>
      <c r="E295" s="350"/>
      <c r="F295" s="443"/>
      <c r="G295" s="1120" t="str">
        <f>IF(OR(ISBLANK(F295),F295=EUconst_NoTier),"",IF(Z295=0,EUconst_NotApplicable,IF(ISERROR(Z295),"",Z295)))</f>
        <v/>
      </c>
      <c r="H295" s="1122"/>
      <c r="I295" s="444" t="str">
        <f>IF(J295&lt;&gt;"","",AI295)</f>
        <v/>
      </c>
      <c r="J295" s="445"/>
      <c r="K295" s="632" t="str">
        <f>IF(L295="",AU295,"")</f>
        <v/>
      </c>
      <c r="L295" s="633"/>
      <c r="M295" s="486" t="str">
        <f>IF(AND(E288&lt;&gt;"",OR(F295="",COUNT(K295:L295)=0),Y295&lt;&gt;EUconst_NA),EUconst_ERR_Incomplete,IF(COUNTIF(BB295:BD295,TRUE)&gt;0,EUconst_ERR_Inconsistent,""))</f>
        <v/>
      </c>
      <c r="N295" s="752"/>
      <c r="O295" s="323"/>
      <c r="P295" s="301"/>
      <c r="Q295" s="23"/>
      <c r="R295" s="23"/>
      <c r="S295" s="325"/>
      <c r="T295" s="365" t="str">
        <f>EUconst_CNTR_UCF&amp;E288</f>
        <v>UCF_</v>
      </c>
      <c r="U295" s="23"/>
      <c r="V295" s="366" t="str">
        <f>V296</f>
        <v/>
      </c>
      <c r="W295" s="325"/>
      <c r="X295" s="23"/>
      <c r="Y295" s="448" t="str">
        <f>IF(E288="","",IF(OR(F295=EUconst_NA,W295=TRUE),EUconst_NA,INDEX(EUwideConstants!$P$153:$P$180,MATCH(T295,EUwideConstants!$S$153:$S$180,0))))</f>
        <v/>
      </c>
      <c r="Z295" s="471" t="str">
        <f>IF(ISBLANK(F295),"",IF(F295=EUconst_NA,"",INDEX(EUwideConstants!$H:$O,MATCH(T295,EUwideConstants!$S:$S,0),MATCH(F295,CNTR_TierList,0))))</f>
        <v/>
      </c>
      <c r="AA295" s="449" t="str">
        <f>IF(COUNTIF(EUconst_DefaultValues,Z295)&gt;0,MATCH(Z295,EUconst_DefaultValues,0),"")</f>
        <v/>
      </c>
      <c r="AB295" s="325"/>
      <c r="AC295" s="367" t="b">
        <f>AND(AC293,Y295&lt;&gt;EUconst_NA)</f>
        <v>0</v>
      </c>
      <c r="AD295" s="325"/>
      <c r="AE295" s="359" t="str">
        <f>EUconst_CNTR_UCF&amp;EUconst_Unit</f>
        <v>UCF_Yksikkö</v>
      </c>
      <c r="AF295" s="368" t="str">
        <f>IF(AC295=TRUE, IF(COUNTIF(MSPara_SourceStreamCategory,V295)=0,"",INDEX(MSPara_CalcFactorsMatrix,MATCH(V295,MSPara_SourceStreamCategory,0),MATCH(AE295&amp;"_"&amp;2,MSPara_CalcFactors,0))),"")</f>
        <v/>
      </c>
      <c r="AG295" s="372" t="str">
        <f>IF(AC295=TRUE, IF(COUNTIF(MSPara_SourceStreamCategory,V295)=0,"",INDEX(MSPara_CalcFactorsMatrix,MATCH(V295,MSPara_SourceStreamCategory,0),MATCH(AE295&amp;"_"&amp;1,MSPara_CalcFactors,0))),"")</f>
        <v/>
      </c>
      <c r="AH295" s="367" t="str">
        <f>IF(AA295="","",INDEX(AF295:AG295,3-AA295))</f>
        <v/>
      </c>
      <c r="AI295" s="367" t="str">
        <f>IF(AC295=TRUE,IF(OR(AH295="",AH295=EUconst_NA),EUconst_GJ&amp;"/"&amp;AJ293,AH295),"")</f>
        <v/>
      </c>
      <c r="AJ295" s="367" t="str">
        <f>IF(J295="",AI295,J295)</f>
        <v/>
      </c>
      <c r="AK295" s="366" t="b">
        <f>AND(E287&lt;&gt;"",J295&lt;&gt;"")</f>
        <v>0</v>
      </c>
      <c r="AL295" s="337"/>
      <c r="AM295" s="404" t="s">
        <v>127</v>
      </c>
      <c r="AN295" s="403" t="str">
        <f>IF(AJ295="",EUconst_NA,IF(AN293=EUconst_TJ,EUconst_TJ,INDEX(EUwideConstants!$C$124:$G$128,MATCH(AN293,RFAUnits,0),MATCH(AJ295,UCFUnits,0))))</f>
        <v>ei sovellettavissa</v>
      </c>
      <c r="AO295" s="337"/>
      <c r="AP295" s="337"/>
      <c r="AQ295" s="454" t="str">
        <f>EUconst_CNTR_UCF&amp;EUconst_Value</f>
        <v>UCF_Arvo</v>
      </c>
      <c r="AR295" s="475" t="str">
        <f>IF(AC295=TRUE,IF(COUNTIF(MSPara_SourceStreamCategory,V295)=0,"",INDEX(MSPara_CalcFactorsMatrix,MATCH(V295,MSPara_SourceStreamCategory,0),MATCH(AQ295&amp;"_"&amp;2,MSPara_CalcFactors,0))),"")</f>
        <v/>
      </c>
      <c r="AS295" s="371" t="str">
        <f>IF(AC295=TRUE,IF(COUNTIF(MSPara_SourceStreamCategory,V295)=0,"",INDEX(MSPara_CalcFactorsMatrix,MATCH(V295,MSPara_SourceStreamCategory,0),MATCH(AQ295&amp;"_"&amp;1,MSPara_CalcFactors,0))),"")</f>
        <v/>
      </c>
      <c r="AT295" s="369" t="b">
        <f>AND(AND(AH295&lt;&gt;"",AJ295&lt;&gt;""),AJ295=AH295)</f>
        <v>0</v>
      </c>
      <c r="AU295" s="381" t="str">
        <f>IF(AND(AA295&lt;&gt;"",AT295=TRUE),IF(OR(INDEX(AR295:AS295,3-AA295)=EUconst_NA,INDEX(AR295:AS295,3-AA295)=0),"",INDEX(AR295:AS295,3-AA295)),"")</f>
        <v/>
      </c>
      <c r="AV295" s="367">
        <f>IF(AC295=TRUE,IF(COUNT(K295:L295)=0,0,IF(L295="",K295,L295)),0)</f>
        <v>0</v>
      </c>
      <c r="AW295" s="366" t="b">
        <f>AND(AC295=TRUE,OR(AND(F295&lt;&gt;"",NOT(ISNUMBER(AA295))),L295&lt;&gt;"",F295="",AU295=""))</f>
        <v>0</v>
      </c>
      <c r="AX295" s="370" t="b">
        <f>AND(AC295=TRUE,NOT(AW295))</f>
        <v>0</v>
      </c>
      <c r="AY295" s="325"/>
      <c r="AZ295" s="373" t="b">
        <f>AND(ISNUMBER(AA295),AU295="")</f>
        <v>0</v>
      </c>
      <c r="BA295" s="399" t="b">
        <f>AND(ISNUMBER(AA295),AU295&lt;&gt;AV295)</f>
        <v>0</v>
      </c>
      <c r="BB295" s="366" t="b">
        <f>AND(E288&lt;&gt;"",F295&lt;&gt;EUconst_NA,AN295=EUconst_NA)</f>
        <v>0</v>
      </c>
      <c r="BC295" s="366" t="b">
        <f>AND(L295&lt;&gt;"",Y295=EUconst_NA)</f>
        <v>0</v>
      </c>
      <c r="BD295" s="325"/>
      <c r="BE295" s="325"/>
      <c r="BF295" s="373" t="s">
        <v>128</v>
      </c>
      <c r="BG295" s="497" t="str">
        <f>IF(COUNTIF(AO296:AO297,TRUE)=0,"",AV293*IF(AO296,1,AV295*AN297)*AV296*AV297*AV300)</f>
        <v/>
      </c>
      <c r="BH295" s="325"/>
      <c r="BI295" s="325"/>
      <c r="BJ295" s="325"/>
      <c r="BK295" s="325"/>
      <c r="BL295" s="325"/>
      <c r="BM295" s="325"/>
      <c r="BN295" s="325"/>
      <c r="BO295" s="325"/>
      <c r="BP295" s="325"/>
      <c r="BQ295" s="325"/>
      <c r="BR295" s="325"/>
      <c r="BS295" s="325"/>
      <c r="BT295" s="325"/>
      <c r="BU295" s="325"/>
      <c r="BV295" s="325"/>
      <c r="BW295" s="325"/>
      <c r="BX295" s="325"/>
      <c r="BY295" s="325"/>
      <c r="BZ295" s="325"/>
      <c r="CA295" s="325"/>
      <c r="CB295" s="325"/>
      <c r="CC295" s="325"/>
      <c r="CD295" s="325"/>
      <c r="CE295" s="325"/>
      <c r="CF295" s="325"/>
      <c r="CG295" s="375" t="b">
        <f>OR(CG293,Y295=EUconst_NA)</f>
        <v>0</v>
      </c>
    </row>
    <row r="296" spans="1:85" ht="12.75" customHeight="1" thickBot="1" x14ac:dyDescent="0.3">
      <c r="A296" s="318"/>
      <c r="B296" s="21"/>
      <c r="C296" s="344"/>
      <c r="D296" s="345" t="str">
        <f>Translations!$B$358</f>
        <v>Päästökerroin (alustava):</v>
      </c>
      <c r="E296" s="350"/>
      <c r="F296" s="624"/>
      <c r="G296" s="1120" t="str">
        <f>IF(OR(ISBLANK(F296),F296=EUconst_NoTier),"",IF(Z296=0,EUconst_NotApplicable,IF(ISERROR(Z296),"",Z296)))</f>
        <v/>
      </c>
      <c r="H296" s="1121"/>
      <c r="I296" s="625" t="str">
        <f>IF(J296&lt;&gt;"","",AI296)</f>
        <v/>
      </c>
      <c r="J296" s="631"/>
      <c r="K296" s="634" t="str">
        <f>IF(L296="",AU296,"")</f>
        <v/>
      </c>
      <c r="L296" s="754"/>
      <c r="M296" s="486" t="str">
        <f>IF(AND(E288&lt;&gt;"",OR(F296="",COUNT(K296:L296)=0),Y296&lt;&gt;EUconst_NA),EUconst_ERR_Incomplete,IF(COUNTIF(BB296:BD296,TRUE)&gt;0,EUconst_ERR_Inconsistent,""))</f>
        <v/>
      </c>
      <c r="N296" s="753"/>
      <c r="O296" s="323"/>
      <c r="P296" s="301"/>
      <c r="Q296" s="23"/>
      <c r="R296" s="23"/>
      <c r="S296" s="325"/>
      <c r="T296" s="374" t="str">
        <f>EUconst_CNTR_EF&amp;E288</f>
        <v>EF_</v>
      </c>
      <c r="U296" s="23"/>
      <c r="V296" s="375" t="str">
        <f>V293</f>
        <v/>
      </c>
      <c r="W296" s="325"/>
      <c r="X296" s="23"/>
      <c r="Y296" s="450" t="str">
        <f>IF(E288="","",IF(OR(F296=EUconst_NA,W296=TRUE),EUconst_NA,INDEX(EUwideConstants!$P$153:$P$180,MATCH(T296,EUwideConstants!$S$153:$S$180,0))))</f>
        <v/>
      </c>
      <c r="Z296" s="472" t="str">
        <f>IF(ISBLANK(F296),"",IF(F296=EUconst_NA,"",INDEX(EUwideConstants!$H:$O,MATCH(T296,EUwideConstants!$S:$S,0),MATCH(F296,CNTR_TierList,0))))</f>
        <v/>
      </c>
      <c r="AA296" s="451" t="str">
        <f>IF(COUNTIF(EUconst_DefaultValues,Z296)&gt;0,MATCH(Z296,EUconst_DefaultValues,0),"")</f>
        <v/>
      </c>
      <c r="AB296" s="325"/>
      <c r="AC296" s="376" t="b">
        <f>AND(AC293,Y296&lt;&gt;EUconst_NA)</f>
        <v>0</v>
      </c>
      <c r="AD296" s="325"/>
      <c r="AE296" s="377" t="str">
        <f>EUconst_CNTR_EF&amp;EUconst_Unit</f>
        <v>EF_Yksikkö</v>
      </c>
      <c r="AF296" s="378" t="str">
        <f>IF(AC296=TRUE, IF(COUNTIF(MSPara_SourceStreamCategory,V296)=0,"",INDEX(MSPara_CalcFactorsMatrix,MATCH(V296,MSPara_SourceStreamCategory,0),MATCH(AE296&amp;"_"&amp;2,MSPara_CalcFactors,0))),"")</f>
        <v/>
      </c>
      <c r="AG296" s="464" t="str">
        <f>IF(AC296=TRUE, IF(COUNTIF(MSPara_SourceStreamCategory,V296)=0,"",INDEX(MSPara_CalcFactorsMatrix,MATCH(V296,MSPara_SourceStreamCategory,0),MATCH(AE296&amp;"_"&amp;1,MSPara_CalcFactors,0))),"")</f>
        <v/>
      </c>
      <c r="AH296" s="376" t="str">
        <f>IF(AA296="","",INDEX(AF296:AG296,3-AA296))</f>
        <v/>
      </c>
      <c r="AI296" s="376" t="str">
        <f>IF(AC296=TRUE,IF(OR(AH296="",AH296=EUconst_NA),EUconst_tCO2&amp;"/"&amp;IF(AN295=EUconst_NA,AN293,IF(AN295=EUconst_GJ,EUconst_TJ,AN295)),AH296),"")</f>
        <v/>
      </c>
      <c r="AJ296" s="376" t="str">
        <f>IF(J296="",AI296,J296)</f>
        <v/>
      </c>
      <c r="AK296" s="375" t="b">
        <f>AND(E288&lt;&gt;"",J296&lt;&gt;"")</f>
        <v>0</v>
      </c>
      <c r="AL296" s="337"/>
      <c r="AM296" s="404" t="s">
        <v>130</v>
      </c>
      <c r="AN296" s="403" t="str">
        <f>IF(COUNTIF(RFAUnits,AN293)=0,EUconst_NA,INDEX(EUwideConstants!$C$139:$H$143,MATCH(AJ296,EFUnits,0),MATCH(AN293,EUwideConstants!$C$138:$H$138,0)))</f>
        <v>ei sovellettavissa</v>
      </c>
      <c r="AO296" s="403" t="b">
        <f>AN296&lt;&gt;EUconst_NA</f>
        <v>0</v>
      </c>
      <c r="AP296" s="337"/>
      <c r="AQ296" s="455" t="str">
        <f>EUconst_CNTR_EF&amp;EUconst_Value</f>
        <v>EF_Arvo</v>
      </c>
      <c r="AR296" s="476" t="str">
        <f>IF(AC296=TRUE,IF(COUNTIF(MSPara_SourceStreamCategory,V296)=0,"",INDEX(MSPara_CalcFactorsMatrix,MATCH(V296,MSPara_SourceStreamCategory,0),MATCH(AQ296&amp;"_"&amp;2,MSPara_CalcFactors,0))),"")</f>
        <v/>
      </c>
      <c r="AS296" s="383" t="str">
        <f>IF(AC296=TRUE,IF(COUNTIF(MSPara_SourceStreamCategory,V296)=0,"",INDEX(MSPara_CalcFactorsMatrix,MATCH(V296,MSPara_SourceStreamCategory,0),MATCH(AQ296&amp;"_"&amp;1,MSPara_CalcFactors,0))),"")</f>
        <v/>
      </c>
      <c r="AT296" s="456" t="b">
        <f>AND(AND(AH296&lt;&gt;"",AJ296&lt;&gt;""),AJ296=AH296)</f>
        <v>0</v>
      </c>
      <c r="AU296" s="334" t="str">
        <f>IF(AND(AA296&lt;&gt;"",AT296=TRUE),IF(OR(INDEX(AR296:AS296,3-AA296)=EUconst_NA,INDEX(AR296:AS296,3-AA296)=0),"",INDEX(AR296:AS296,3-AA296)),"")</f>
        <v/>
      </c>
      <c r="AV296" s="376">
        <f>IF(AC296=TRUE,IF(COUNT(K296:L296)=0,0,IF(L296="",K296,L296)),0)</f>
        <v>0</v>
      </c>
      <c r="AW296" s="375" t="b">
        <f>AND(AC296=TRUE,OR(AND(F296&lt;&gt;"",NOT(ISNUMBER(AA296))),L296&lt;&gt;"",F296="",AU296=""))</f>
        <v>0</v>
      </c>
      <c r="AX296" s="457" t="b">
        <f>AND(AC296=TRUE,NOT(AW296))</f>
        <v>0</v>
      </c>
      <c r="AY296" s="325"/>
      <c r="AZ296" s="379" t="b">
        <f>AND(ISNUMBER(AA296),AU296="")</f>
        <v>0</v>
      </c>
      <c r="BA296" s="380" t="b">
        <f>AND(ISNUMBER(AA296),AU296&lt;&gt;AV296)</f>
        <v>0</v>
      </c>
      <c r="BB296" s="382" t="b">
        <f>AND(E288&lt;&gt;"",COUNTIF(AO296:AO297,TRUE)=0)</f>
        <v>0</v>
      </c>
      <c r="BC296" s="375" t="b">
        <f>AND(L296&lt;&gt;"",Y296=EUconst_NA)</f>
        <v>0</v>
      </c>
      <c r="BD296" s="325"/>
      <c r="BE296" s="325"/>
      <c r="BF296" s="379" t="s">
        <v>131</v>
      </c>
      <c r="BG296" s="498" t="str">
        <f>IF(COUNTIF(AO296:AO297,TRUE)=0,"",AV293*IF(AO296,1,AV295*AN297)*AV296*AV298*AV300)</f>
        <v/>
      </c>
      <c r="BH296" s="325"/>
      <c r="BI296" s="325"/>
      <c r="BJ296" s="325"/>
      <c r="BK296" s="325"/>
      <c r="BL296" s="325"/>
      <c r="BM296" s="325"/>
      <c r="BN296" s="325"/>
      <c r="BO296" s="325"/>
      <c r="BP296" s="325"/>
      <c r="BQ296" s="325"/>
      <c r="BR296" s="325"/>
      <c r="BS296" s="325"/>
      <c r="BT296" s="325"/>
      <c r="BU296" s="325"/>
      <c r="BV296" s="325"/>
      <c r="BW296" s="325"/>
      <c r="BX296" s="325"/>
      <c r="BY296" s="325"/>
      <c r="BZ296" s="325"/>
      <c r="CA296" s="325"/>
      <c r="CB296" s="325"/>
      <c r="CC296" s="325"/>
      <c r="CD296" s="325"/>
      <c r="CE296" s="325"/>
      <c r="CF296" s="325"/>
      <c r="CG296" s="366" t="b">
        <f>OR(CG293,Y296=EUconst_NA)</f>
        <v>0</v>
      </c>
    </row>
    <row r="297" spans="1:85" ht="12.75" customHeight="1" x14ac:dyDescent="0.25">
      <c r="A297" s="318"/>
      <c r="B297" s="21"/>
      <c r="C297" s="344"/>
      <c r="D297" s="345" t="str">
        <f>Translations!$B$362</f>
        <v>Biomassaosuus:</v>
      </c>
      <c r="E297" s="350"/>
      <c r="F297" s="624"/>
      <c r="G297" s="1120" t="str">
        <f>IF(OR(ISBLANK(F297),F297=EUconst_NoTier),"",IF(Z297=0,EUconst_NotApplicable,IF(ISERROR(Z297),"",Z297)))</f>
        <v/>
      </c>
      <c r="H297" s="1122"/>
      <c r="I297" s="626" t="str">
        <f>IF(OR(AC297=FALSE,Y297=EUconst_NA),"","-")</f>
        <v/>
      </c>
      <c r="J297" s="446"/>
      <c r="K297" s="635" t="str">
        <f>IF(L297="",AU297,"")</f>
        <v/>
      </c>
      <c r="L297" s="627"/>
      <c r="M297" s="486" t="str">
        <f>IF(AND(E288&lt;&gt;"",OR(F297="",COUNT(K297:L297)=0),Y297&lt;&gt;EUconst_NA),EUconst_ERR_Incomplete,IF(COUNTIF(BB297:BD297,TRUE)&gt;0,EUconst_ERR_Inconsistent,""))</f>
        <v/>
      </c>
      <c r="O297" s="323"/>
      <c r="P297" s="612"/>
      <c r="Q297" s="354"/>
      <c r="R297" s="354"/>
      <c r="S297" s="325"/>
      <c r="T297" s="374" t="str">
        <f>EUconst_CNTR_BiomassContent&amp;E288</f>
        <v>BioC_</v>
      </c>
      <c r="U297" s="23"/>
      <c r="V297" s="375" t="str">
        <f>V295</f>
        <v/>
      </c>
      <c r="W297" s="366" t="e">
        <f>IF(COUNTIF(MSPara_SourceStreamCategory,V297)=0,"",INDEX(MSPara_IsFossil,MATCH(V297,MSPara_SourceStreamCategory,0)))</f>
        <v>#N/A</v>
      </c>
      <c r="X297" s="23"/>
      <c r="Y297" s="450" t="str">
        <f>IF(E288="","",IF(OR(F297=EUconst_NA,W297=TRUE),EUconst_NA,INDEX(EUwideConstants!$P$153:$P$180,MATCH(T297,EUwideConstants!$S$153:$S$180,0))))</f>
        <v/>
      </c>
      <c r="Z297" s="472" t="str">
        <f>IF(ISBLANK(F297),"",IF(F297=EUconst_NA,"",INDEX(EUwideConstants!$H:$O,MATCH(T297,EUwideConstants!$S:$S,0),MATCH(F297,CNTR_TierList,0))))</f>
        <v/>
      </c>
      <c r="AA297" s="681" t="str">
        <f>IF(F297=1,1,"")</f>
        <v/>
      </c>
      <c r="AB297" s="325"/>
      <c r="AC297" s="376" t="b">
        <f>AND(AC293,Y297&lt;&gt;EUconst_NA)</f>
        <v>0</v>
      </c>
      <c r="AD297" s="325"/>
      <c r="AE297" s="462"/>
      <c r="AF297" s="460"/>
      <c r="AG297" s="465"/>
      <c r="AH297" s="467"/>
      <c r="AI297" s="467"/>
      <c r="AJ297" s="467"/>
      <c r="AK297" s="469"/>
      <c r="AL297" s="337"/>
      <c r="AM297" s="404" t="s">
        <v>132</v>
      </c>
      <c r="AN297" s="403" t="str">
        <f>IF(AN295=EUconst_NA,EUconst_NA,INDEX(EUwideConstants!$C$139:$H$143,MATCH(AJ296,EFUnits,0),MATCH(AN295,EUwideConstants!$C$138:$H$138,0)))</f>
        <v>ei sovellettavissa</v>
      </c>
      <c r="AO297" s="403" t="b">
        <f>AN297&lt;&gt;EUconst_NA</f>
        <v>0</v>
      </c>
      <c r="AP297" s="337"/>
      <c r="AQ297" s="455" t="str">
        <f>EUconst_CNTR_BiomassContent&amp;EUconst_Value</f>
        <v>BioC_Arvo</v>
      </c>
      <c r="AR297" s="462"/>
      <c r="AS297" s="383" t="str">
        <f>IF(AC297=TRUE,IF(COUNTIF(MSPara_SourceStreamCategory,V297)=0,"",INDEX(MSPara_CalcFactorsMatrix,MATCH(V297,MSPara_SourceStreamCategory,0),MATCH(AQ297&amp;"_"&amp;2,MSPara_CalcFactors,0))),"")</f>
        <v/>
      </c>
      <c r="AT297" s="458"/>
      <c r="AU297" s="334" t="str">
        <f>IF(OR(AA297="",AS297=EUconst_NA),"",AS297)</f>
        <v/>
      </c>
      <c r="AV297" s="376">
        <f>IF(AC297=TRUE,IF(COUNT(K297:L297)=0,0,IF(L297="",K297,L297)),0)</f>
        <v>0</v>
      </c>
      <c r="AW297" s="375" t="b">
        <f>AND(AC297=TRUE,OR(AND(F297&lt;&gt;"",NOT(ISNUMBER(AA297))),L297&lt;&gt;"",F297="",AU297=""))</f>
        <v>0</v>
      </c>
      <c r="AX297" s="457" t="b">
        <f>AND(AC297=TRUE,NOT(AW297))</f>
        <v>0</v>
      </c>
      <c r="AY297" s="325"/>
      <c r="AZ297" s="379" t="b">
        <f>AND(ISNUMBER(AA297),AU297="")</f>
        <v>0</v>
      </c>
      <c r="BA297" s="380" t="b">
        <f>AND(ISNUMBER(AA297),AU297&lt;&gt;AV297)</f>
        <v>0</v>
      </c>
      <c r="BB297" s="325"/>
      <c r="BC297" s="375" t="b">
        <f>AND(L297&lt;&gt;"",Y297=EUconst_NA)</f>
        <v>0</v>
      </c>
      <c r="BD297" s="366" t="b">
        <f>OR(AV297&gt;100%,(AV297+AV298)&gt;100%)</f>
        <v>0</v>
      </c>
      <c r="BE297" s="325"/>
      <c r="BF297" s="379" t="s">
        <v>133</v>
      </c>
      <c r="BG297" s="498" t="str">
        <f>IF(AN293=EUconst_TJ,AV293*(1-AV297),IF(AN295=EUconst_GJ,AV293*AV295/1000*(1-AV297),""))</f>
        <v/>
      </c>
      <c r="BH297" s="325"/>
      <c r="BI297" s="325"/>
      <c r="BJ297" s="325"/>
      <c r="BK297" s="325"/>
      <c r="BL297" s="325"/>
      <c r="BM297" s="325"/>
      <c r="BN297" s="325"/>
      <c r="BO297" s="325"/>
      <c r="BP297" s="325"/>
      <c r="BQ297" s="325"/>
      <c r="BR297" s="325"/>
      <c r="BS297" s="325"/>
      <c r="BT297" s="325"/>
      <c r="BU297" s="325"/>
      <c r="BV297" s="325"/>
      <c r="BW297" s="325"/>
      <c r="BX297" s="325"/>
      <c r="BY297" s="325"/>
      <c r="BZ297" s="325"/>
      <c r="CA297" s="325"/>
      <c r="CB297" s="325"/>
      <c r="CC297" s="325"/>
      <c r="CD297" s="325"/>
      <c r="CE297" s="325"/>
      <c r="CF297" s="325"/>
      <c r="CG297" s="375" t="b">
        <f>OR(CG293,Y297=EUconst_NA)</f>
        <v>0</v>
      </c>
    </row>
    <row r="298" spans="1:85" ht="12.75" customHeight="1" thickBot="1" x14ac:dyDescent="0.3">
      <c r="A298" s="318"/>
      <c r="B298" s="21"/>
      <c r="C298" s="344"/>
      <c r="D298" s="345" t="str">
        <f>Translations!$B$368</f>
        <v>Ei kestävä biomassaosuus:</v>
      </c>
      <c r="E298" s="350"/>
      <c r="F298" s="628"/>
      <c r="G298" s="1120" t="str">
        <f>IF(OR(ISBLANK(F298),F298=EUconst_NoTier),"",IF(Z298=0,EUconst_NotApplicable,IF(ISERROR(Z298),"",Z298)))</f>
        <v/>
      </c>
      <c r="H298" s="1122"/>
      <c r="I298" s="629" t="str">
        <f>IF(OR(AC298=FALSE,Y298=EUconst_NA),"","-")</f>
        <v/>
      </c>
      <c r="J298" s="447"/>
      <c r="K298" s="636" t="str">
        <f>IF(L298="",AU298,"")</f>
        <v/>
      </c>
      <c r="L298" s="630"/>
      <c r="M298" s="486" t="str">
        <f>IF(AND(E288&lt;&gt;"",OR(F298="",COUNT(K298:L298)=0),Y298&lt;&gt;EUconst_NA),EUconst_ERR_Incomplete,IF(COUNTIF(BB298:BD298,TRUE)&gt;0,EUconst_ERR_Inconsistent,""))</f>
        <v/>
      </c>
      <c r="N298" s="22"/>
      <c r="O298" s="323"/>
      <c r="P298" s="612"/>
      <c r="Q298" s="354"/>
      <c r="R298" s="354"/>
      <c r="S298" s="325"/>
      <c r="T298" s="384" t="str">
        <f>EUconst_CNTR_BiomassContent&amp;E288</f>
        <v>BioC_</v>
      </c>
      <c r="U298" s="23"/>
      <c r="V298" s="382" t="str">
        <f>V297</f>
        <v/>
      </c>
      <c r="W298" s="382" t="e">
        <f>IF(COUNTIF(MSPara_SourceStreamCategory,V298)=0,"",INDEX(MSPara_IsFossil,MATCH(V298,MSPara_SourceStreamCategory,0)))</f>
        <v>#N/A</v>
      </c>
      <c r="X298" s="23"/>
      <c r="Y298" s="452" t="str">
        <f>IF(E288="","",IF(OR(F298=EUconst_NA,W298=TRUE),EUconst_NA,INDEX(EUwideConstants!$P$153:$P$180,MATCH(T298,EUwideConstants!$S$153:$S$180,0))))</f>
        <v/>
      </c>
      <c r="Z298" s="473" t="str">
        <f>IF(ISBLANK(F298),"",IF(F298=EUconst_NA,"",INDEX(EUwideConstants!$H:$O,MATCH(T298,EUwideConstants!$S:$S,0),MATCH(F298,CNTR_TierList,0))))</f>
        <v/>
      </c>
      <c r="AA298" s="682" t="str">
        <f>IF(F298=1,1,"")</f>
        <v/>
      </c>
      <c r="AB298" s="325"/>
      <c r="AC298" s="453" t="b">
        <f>AND(AC293,Y298&lt;&gt;EUconst_NA)</f>
        <v>0</v>
      </c>
      <c r="AD298" s="325"/>
      <c r="AE298" s="463"/>
      <c r="AF298" s="461"/>
      <c r="AG298" s="466"/>
      <c r="AH298" s="468"/>
      <c r="AI298" s="468"/>
      <c r="AJ298" s="468"/>
      <c r="AK298" s="470"/>
      <c r="AL298" s="337"/>
      <c r="AM298" s="337"/>
      <c r="AN298" s="337"/>
      <c r="AO298" s="337"/>
      <c r="AP298" s="337"/>
      <c r="AQ298" s="474" t="str">
        <f>EUconst_CNTR_BiomassContent&amp;EUconst_Value</f>
        <v>BioC_Arvo</v>
      </c>
      <c r="AR298" s="463"/>
      <c r="AS298" s="385" t="str">
        <f>IF(AC298=TRUE,IF(COUNTIF(MSPara_SourceStreamCategory,V298)=0,"",INDEX(MSPara_CalcFactorsMatrix,MATCH(V298,MSPara_SourceStreamCategory,0),MATCH(AQ298&amp;"_"&amp;2,MSPara_CalcFactors,0))),"")</f>
        <v/>
      </c>
      <c r="AT298" s="459"/>
      <c r="AU298" s="477" t="str">
        <f>IF(OR(AA298="",AS298=EUconst_NA),"",AS298)</f>
        <v/>
      </c>
      <c r="AV298" s="453">
        <f>IF(AC298=TRUE,IF(COUNT(K298:L298)=0,0,IF(L298="",K298,L298)),0)</f>
        <v>0</v>
      </c>
      <c r="AW298" s="382" t="b">
        <f>AND(AC298=TRUE,OR(AND(F298&lt;&gt;"",NOT(ISNUMBER(AA298))),L298&lt;&gt;"",F298="",AU298=""))</f>
        <v>0</v>
      </c>
      <c r="AX298" s="478" t="b">
        <f>AND(AC298=TRUE,NOT(AW298))</f>
        <v>0</v>
      </c>
      <c r="AY298" s="325"/>
      <c r="AZ298" s="386" t="b">
        <f>AND(ISNUMBER(AA298),AU298="")</f>
        <v>0</v>
      </c>
      <c r="BA298" s="387" t="b">
        <f>AND(ISNUMBER(AA298),AU298&lt;&gt;AV298)</f>
        <v>0</v>
      </c>
      <c r="BB298" s="325"/>
      <c r="BC298" s="382" t="b">
        <f>AND(L298&lt;&gt;"",Y298=EUconst_NA)</f>
        <v>0</v>
      </c>
      <c r="BD298" s="382" t="b">
        <f>OR(AV297&gt;100%,(AV297+AV298)&gt;100%)</f>
        <v>0</v>
      </c>
      <c r="BE298" s="325"/>
      <c r="BF298" s="386" t="s">
        <v>134</v>
      </c>
      <c r="BG298" s="499" t="str">
        <f>IF(AN293=EUconst_TJ,AV293*AV297,IF(AN295=EUconst_GJ,AV293*AV295/1000*AV297,""))</f>
        <v/>
      </c>
      <c r="BH298" s="325"/>
      <c r="BI298" s="325"/>
      <c r="BJ298" s="325"/>
      <c r="BK298" s="325"/>
      <c r="BL298" s="325"/>
      <c r="BM298" s="325"/>
      <c r="BN298" s="325"/>
      <c r="BO298" s="325"/>
      <c r="BP298" s="325"/>
      <c r="BQ298" s="325"/>
      <c r="BR298" s="325"/>
      <c r="BS298" s="325"/>
      <c r="BT298" s="325"/>
      <c r="BU298" s="325"/>
      <c r="BV298" s="325"/>
      <c r="BW298" s="325"/>
      <c r="BX298" s="325"/>
      <c r="BY298" s="325"/>
      <c r="BZ298" s="325"/>
      <c r="CA298" s="325"/>
      <c r="CB298" s="325"/>
      <c r="CC298" s="325"/>
      <c r="CD298" s="325"/>
      <c r="CE298" s="325"/>
      <c r="CF298" s="325"/>
      <c r="CG298" s="382" t="b">
        <f>OR(CG293,Y298=EUconst_NA)</f>
        <v>0</v>
      </c>
    </row>
    <row r="299" spans="1:85" ht="5.15" customHeight="1" thickBot="1" x14ac:dyDescent="0.3">
      <c r="A299" s="318"/>
      <c r="B299" s="21"/>
      <c r="C299" s="21"/>
      <c r="D299" s="327"/>
      <c r="E299" s="22"/>
      <c r="F299" s="22"/>
      <c r="G299" s="22"/>
      <c r="H299" s="22"/>
      <c r="I299" s="22"/>
      <c r="J299" s="22"/>
      <c r="K299" s="22"/>
      <c r="L299" s="22"/>
      <c r="M299" s="488"/>
      <c r="N299" s="22"/>
      <c r="O299" s="323"/>
      <c r="P299" s="301"/>
      <c r="Q299" s="23"/>
      <c r="R299" s="23"/>
      <c r="S299" s="325"/>
      <c r="T299" s="325"/>
      <c r="U299" s="325"/>
      <c r="V299" s="325"/>
      <c r="W299" s="325"/>
      <c r="X299" s="325"/>
      <c r="Y299" s="325"/>
      <c r="Z299" s="325"/>
      <c r="AA299" s="325"/>
      <c r="AB299" s="325"/>
      <c r="AC299" s="325"/>
      <c r="AD299" s="325"/>
      <c r="AE299" s="325"/>
      <c r="AF299" s="325"/>
      <c r="AG299" s="325"/>
      <c r="AH299" s="325"/>
      <c r="AI299" s="325"/>
      <c r="AJ299" s="325"/>
      <c r="AK299" s="325"/>
      <c r="AL299" s="325"/>
      <c r="AM299" s="325"/>
      <c r="AN299" s="325"/>
      <c r="AO299" s="325"/>
      <c r="AP299" s="325"/>
      <c r="AQ299" s="325"/>
      <c r="AR299" s="325"/>
      <c r="AS299" s="325"/>
      <c r="AT299" s="325"/>
      <c r="AU299" s="325"/>
      <c r="AV299" s="325"/>
      <c r="AW299" s="325"/>
      <c r="AX299" s="325"/>
      <c r="AY299" s="325"/>
      <c r="AZ299" s="325"/>
      <c r="BA299" s="325"/>
      <c r="BB299" s="325"/>
      <c r="BC299" s="325"/>
      <c r="BD299" s="325"/>
      <c r="BE299" s="325"/>
      <c r="BF299" s="325"/>
      <c r="BG299" s="325"/>
      <c r="BH299" s="325"/>
      <c r="BI299" s="325"/>
      <c r="BJ299" s="325"/>
      <c r="BK299" s="325"/>
      <c r="BL299" s="325"/>
      <c r="BM299" s="325"/>
      <c r="BN299" s="325"/>
      <c r="BO299" s="325"/>
      <c r="BP299" s="325"/>
      <c r="BQ299" s="325"/>
      <c r="BR299" s="325"/>
      <c r="BS299" s="325"/>
      <c r="BT299" s="325"/>
      <c r="BU299" s="325"/>
      <c r="BV299" s="325"/>
      <c r="BW299" s="325"/>
      <c r="BX299" s="325"/>
      <c r="BY299" s="325"/>
      <c r="BZ299" s="325"/>
      <c r="CA299" s="325"/>
      <c r="CB299" s="325"/>
      <c r="CC299" s="325"/>
      <c r="CD299" s="325"/>
      <c r="CE299" s="325"/>
      <c r="CF299" s="325"/>
      <c r="CG299" s="325"/>
    </row>
    <row r="300" spans="1:85" ht="12.75" customHeight="1" thickBot="1" x14ac:dyDescent="0.3">
      <c r="A300" s="318"/>
      <c r="B300" s="21"/>
      <c r="C300" s="344"/>
      <c r="D300" s="345" t="str">
        <f>Translations!$B$398</f>
        <v>Soveltamisalakerroin:</v>
      </c>
      <c r="E300" s="479"/>
      <c r="F300" s="803"/>
      <c r="G300" s="1125"/>
      <c r="H300" s="1126"/>
      <c r="I300" s="492" t="s">
        <v>52</v>
      </c>
      <c r="J300" s="480"/>
      <c r="K300" s="481" t="str">
        <f>IF(L300="",AU300,"")</f>
        <v/>
      </c>
      <c r="L300" s="607"/>
      <c r="M300" s="489" t="str">
        <f>IF(AND(E288&lt;&gt;"",OR(F300="",G300="",COUNT(K300:L300)=0)),EUconst_ERR_Incomplete,IF(COUNTIF(BB300:BD300,TRUE)&gt;0,EUconst_ERR_Inconsistent,""))</f>
        <v/>
      </c>
      <c r="N300" s="22"/>
      <c r="O300" s="323"/>
      <c r="P300" s="301"/>
      <c r="Q300" s="23"/>
      <c r="R300" s="325"/>
      <c r="S300" s="10"/>
      <c r="T300" s="48" t="str">
        <f>EUconst_CNTR_ScopeFactor&amp;E288</f>
        <v>ScopeFactor_</v>
      </c>
      <c r="U300" s="248" t="str">
        <f>IF(F300="","",INDEX(ScopeAddress,MATCH(F300,ScopeTiers,0)))</f>
        <v/>
      </c>
      <c r="V300" s="382" t="str">
        <f>V293</f>
        <v/>
      </c>
      <c r="W300" s="325"/>
      <c r="X300" s="325"/>
      <c r="Y300" s="452" t="str">
        <f>IF(E288="","",IF(F300=EUconst_NA,EUconst_NA,INDEX(EUwideConstants!$P$153:$P$180,MATCH(T300,EUwideConstants!$S$153:$S$180,0))))</f>
        <v/>
      </c>
      <c r="Z300" s="473" t="str">
        <f>IF(ISBLANK(F300),"",IF(F300=EUconst_NA,"",INDEX(EUwideConstants!$H:$O,MATCH(T300,EUwideConstants!$S:$S,0),MATCH(F300,CNTR_TierList,0))))</f>
        <v/>
      </c>
      <c r="AA300" s="339" t="str">
        <f>IF(G300=EUwideConstants!$A$88,1,"")</f>
        <v/>
      </c>
      <c r="AB300" s="325"/>
      <c r="AC300" s="376" t="b">
        <f>AND(AC293,Y300&lt;&gt;EUconst_NA)</f>
        <v>0</v>
      </c>
      <c r="AD300" s="325"/>
      <c r="AE300" s="325"/>
      <c r="AF300" s="325"/>
      <c r="AG300" s="330"/>
      <c r="AH300" s="325"/>
      <c r="AI300" s="325"/>
      <c r="AJ300" s="325"/>
      <c r="AK300" s="325"/>
      <c r="AL300" s="325"/>
      <c r="AM300" s="325"/>
      <c r="AN300" s="325"/>
      <c r="AO300" s="325"/>
      <c r="AP300" s="325"/>
      <c r="AQ300" s="325"/>
      <c r="AR300" s="325"/>
      <c r="AS300" s="338">
        <v>1</v>
      </c>
      <c r="AT300" s="325"/>
      <c r="AU300" s="330" t="str">
        <f>IF(G300=EUwideConstants!$A$88,AS300,"")</f>
        <v/>
      </c>
      <c r="AV300" s="376">
        <f>IF(AC300=TRUE,IF(COUNT(K300:L300)=0,0,IF(L300="",K300,L300)),0)</f>
        <v>0</v>
      </c>
      <c r="AW300" s="375" t="b">
        <f>AND(AC300=TRUE,OR(AND(F300&lt;&gt;"",NOT(ISNUMBER(AA300))),L300&lt;&gt;"",F300="",AU300=""))</f>
        <v>0</v>
      </c>
      <c r="AX300" s="457" t="b">
        <f>AND(AC300=TRUE,NOT(AW300))</f>
        <v>0</v>
      </c>
      <c r="AY300" s="325"/>
      <c r="AZ300" s="379" t="b">
        <f>AND(ISNUMBER(AA300),AU300="")</f>
        <v>0</v>
      </c>
      <c r="BA300" s="380" t="b">
        <f>AND(ISNUMBER(AA300),AU300&lt;&gt;AV300)</f>
        <v>0</v>
      </c>
      <c r="BB300" s="325"/>
      <c r="BC300" s="33" t="b">
        <f>AND(F300&lt;&gt;"",OR(COUNTIF(INDEX(ScopeMethods,F300,),G300)=0,AND(AA300&lt;&gt;"",AU300&lt;&gt;AV300)))</f>
        <v>0</v>
      </c>
      <c r="BD300" s="325"/>
      <c r="BE300" s="325"/>
      <c r="BF300" s="325"/>
      <c r="BG300" s="325"/>
      <c r="BH300" s="325"/>
      <c r="BI300" s="325"/>
      <c r="BJ300" s="325"/>
      <c r="BK300" s="325"/>
      <c r="BL300" s="325"/>
      <c r="BM300" s="325"/>
      <c r="BN300" s="325"/>
      <c r="BO300" s="325"/>
      <c r="BP300" s="325"/>
      <c r="BQ300" s="325"/>
      <c r="BR300" s="325"/>
      <c r="BS300" s="325"/>
      <c r="BT300" s="325"/>
      <c r="BU300" s="325"/>
      <c r="BV300" s="325"/>
      <c r="BW300" s="325"/>
      <c r="BX300" s="325"/>
      <c r="BY300" s="325"/>
      <c r="BZ300" s="325"/>
      <c r="CA300" s="325"/>
      <c r="CB300" s="325"/>
      <c r="CC300" s="325"/>
      <c r="CD300" s="325"/>
      <c r="CE300" s="325"/>
      <c r="CF300" s="325"/>
      <c r="CG300" s="325"/>
    </row>
    <row r="301" spans="1:85" ht="12.75" customHeight="1" x14ac:dyDescent="0.25">
      <c r="A301" s="318"/>
      <c r="B301" s="21"/>
      <c r="C301" s="21"/>
      <c r="D301" s="21"/>
      <c r="E301" s="21"/>
      <c r="F301" s="21"/>
      <c r="G301" s="1130" t="str">
        <f>IF(G300="","",INDEX(ScopeMethodsDetails,MATCH(G300,INDEX(ScopeMethodsDetails,,1),0),2))</f>
        <v/>
      </c>
      <c r="H301" s="1131"/>
      <c r="I301" s="1131"/>
      <c r="J301" s="1131"/>
      <c r="K301" s="1131"/>
      <c r="L301" s="1131"/>
      <c r="M301" s="1132"/>
      <c r="N301" s="22"/>
      <c r="O301" s="323"/>
      <c r="P301" s="301"/>
      <c r="Q301" s="23"/>
      <c r="R301" s="23"/>
      <c r="S301" s="325"/>
      <c r="T301" s="325"/>
      <c r="U301" s="325"/>
      <c r="V301" s="325"/>
      <c r="W301" s="325"/>
      <c r="X301" s="325"/>
      <c r="Y301" s="325"/>
      <c r="Z301" s="325"/>
      <c r="AA301" s="325"/>
      <c r="AB301" s="325"/>
      <c r="AC301" s="325"/>
      <c r="AD301" s="325"/>
      <c r="AE301" s="325"/>
      <c r="AF301" s="325"/>
      <c r="AG301" s="325"/>
      <c r="AH301" s="325"/>
      <c r="AI301" s="325"/>
      <c r="AJ301" s="325"/>
      <c r="AK301" s="325"/>
      <c r="AL301" s="325"/>
      <c r="AM301" s="325"/>
      <c r="AN301" s="325"/>
      <c r="AO301" s="325"/>
      <c r="AP301" s="325"/>
      <c r="AQ301" s="325"/>
      <c r="AR301" s="325"/>
      <c r="AS301" s="325"/>
      <c r="AT301" s="325"/>
      <c r="AU301" s="325"/>
      <c r="AV301" s="325"/>
      <c r="AW301" s="325"/>
      <c r="AX301" s="325"/>
      <c r="AY301" s="325"/>
      <c r="AZ301" s="325"/>
      <c r="BA301" s="325"/>
      <c r="BB301" s="325"/>
      <c r="BC301" s="325"/>
      <c r="BD301" s="325"/>
      <c r="BE301" s="325"/>
      <c r="BF301" s="325"/>
      <c r="BG301" s="325"/>
      <c r="BH301" s="325"/>
      <c r="BI301" s="325"/>
      <c r="BJ301" s="325"/>
      <c r="BK301" s="325"/>
      <c r="BL301" s="325"/>
      <c r="BM301" s="325"/>
      <c r="BN301" s="325"/>
      <c r="BO301" s="325"/>
      <c r="BP301" s="325"/>
      <c r="BQ301" s="325"/>
      <c r="BR301" s="325"/>
      <c r="BS301" s="325"/>
      <c r="BT301" s="325"/>
      <c r="BU301" s="325"/>
      <c r="BV301" s="325"/>
      <c r="BW301" s="325"/>
      <c r="BX301" s="325"/>
      <c r="BY301" s="325"/>
      <c r="BZ301" s="325"/>
      <c r="CA301" s="325"/>
      <c r="CB301" s="325"/>
      <c r="CC301" s="325"/>
      <c r="CD301" s="325"/>
      <c r="CE301" s="325"/>
      <c r="CF301" s="325"/>
      <c r="CG301" s="325"/>
    </row>
    <row r="302" spans="1:85" ht="5.15" customHeight="1" x14ac:dyDescent="0.25">
      <c r="A302" s="318"/>
      <c r="C302" s="22"/>
      <c r="D302" s="22"/>
      <c r="E302" s="22"/>
      <c r="F302" s="22"/>
      <c r="G302" s="22"/>
      <c r="H302" s="22"/>
      <c r="I302" s="22"/>
      <c r="J302" s="22"/>
      <c r="K302" s="22"/>
      <c r="L302" s="22"/>
      <c r="O302" s="323"/>
      <c r="P302" s="301"/>
      <c r="Q302" s="23"/>
      <c r="R302" s="23"/>
      <c r="S302" s="325"/>
      <c r="T302" s="325"/>
      <c r="U302" s="325"/>
      <c r="V302" s="325"/>
      <c r="W302" s="325"/>
      <c r="X302" s="325"/>
      <c r="Y302" s="325"/>
      <c r="Z302" s="325"/>
      <c r="AA302" s="325"/>
      <c r="AB302" s="325"/>
      <c r="AC302" s="325"/>
      <c r="AD302" s="325"/>
      <c r="AE302" s="325"/>
      <c r="AF302" s="325"/>
      <c r="AG302" s="325"/>
      <c r="AH302" s="325"/>
      <c r="AI302" s="325"/>
      <c r="AJ302" s="325"/>
      <c r="AK302" s="325"/>
      <c r="AL302" s="325"/>
      <c r="AM302" s="325"/>
      <c r="AN302" s="325"/>
      <c r="AO302" s="325"/>
      <c r="AP302" s="325"/>
      <c r="AQ302" s="325"/>
      <c r="AR302" s="325"/>
      <c r="AS302" s="325"/>
      <c r="AT302" s="325"/>
      <c r="AU302" s="325"/>
      <c r="AV302" s="325"/>
      <c r="AW302" s="325"/>
      <c r="AX302" s="325"/>
      <c r="AY302" s="325"/>
      <c r="AZ302" s="325"/>
      <c r="BA302" s="325"/>
      <c r="BB302" s="325"/>
      <c r="BC302" s="325"/>
      <c r="BD302" s="325"/>
      <c r="BE302" s="325"/>
      <c r="BF302" s="325"/>
      <c r="BG302" s="325"/>
      <c r="BH302" s="325"/>
      <c r="BI302" s="325"/>
      <c r="BJ302" s="325"/>
      <c r="BK302" s="325"/>
      <c r="BL302" s="325"/>
      <c r="BM302" s="325"/>
      <c r="BN302" s="325"/>
      <c r="BO302" s="325"/>
      <c r="BP302" s="325"/>
      <c r="BQ302" s="325"/>
      <c r="BR302" s="325"/>
      <c r="BS302" s="325"/>
      <c r="BT302" s="325"/>
      <c r="BU302" s="325"/>
      <c r="BV302" s="325"/>
      <c r="BW302" s="325"/>
      <c r="BX302" s="325"/>
      <c r="BY302" s="325"/>
      <c r="BZ302" s="325"/>
      <c r="CA302" s="325"/>
      <c r="CB302" s="325"/>
      <c r="CC302" s="325"/>
      <c r="CD302" s="325"/>
      <c r="CE302" s="325"/>
      <c r="CF302" s="325"/>
      <c r="CG302" s="325"/>
    </row>
    <row r="303" spans="1:85" ht="12.75" customHeight="1" x14ac:dyDescent="0.25">
      <c r="A303" s="318"/>
      <c r="C303" s="22"/>
      <c r="D303" s="22"/>
      <c r="E303" s="22"/>
      <c r="F303" s="22"/>
      <c r="G303" s="1133">
        <v>1</v>
      </c>
      <c r="H303" s="1133"/>
      <c r="I303" s="1133">
        <v>2</v>
      </c>
      <c r="J303" s="1133"/>
      <c r="K303" s="1133">
        <v>3</v>
      </c>
      <c r="L303" s="1133"/>
      <c r="O303" s="323"/>
      <c r="P303" s="301"/>
      <c r="Q303" s="23"/>
      <c r="R303" s="23"/>
      <c r="S303" s="325"/>
      <c r="T303" s="325"/>
      <c r="U303" s="325"/>
      <c r="V303" s="325"/>
      <c r="W303" s="325"/>
      <c r="X303" s="325"/>
      <c r="Y303" s="325"/>
      <c r="Z303" s="325"/>
      <c r="AA303" s="325"/>
      <c r="AB303" s="325"/>
      <c r="AC303" s="325"/>
      <c r="AD303" s="325"/>
      <c r="AE303" s="325"/>
      <c r="AF303" s="325"/>
      <c r="AG303" s="325"/>
      <c r="AH303" s="325"/>
      <c r="AI303" s="325"/>
      <c r="AJ303" s="325"/>
      <c r="AK303" s="325"/>
      <c r="AL303" s="325"/>
      <c r="AM303" s="325"/>
      <c r="AN303" s="325"/>
      <c r="AO303" s="325"/>
      <c r="AP303" s="325"/>
      <c r="AQ303" s="325"/>
      <c r="AR303" s="325"/>
      <c r="AS303" s="325"/>
      <c r="AT303" s="325"/>
      <c r="AU303" s="325"/>
      <c r="AV303" s="325"/>
      <c r="AW303" s="325"/>
      <c r="AX303" s="325"/>
      <c r="AY303" s="325"/>
      <c r="AZ303" s="325"/>
      <c r="BA303" s="325"/>
      <c r="BB303" s="325"/>
      <c r="BC303" s="325"/>
      <c r="BD303" s="325"/>
      <c r="BE303" s="325"/>
      <c r="BF303" s="325"/>
      <c r="BG303" s="325"/>
      <c r="BH303" s="325"/>
      <c r="BI303" s="325"/>
      <c r="BJ303" s="325"/>
      <c r="BK303" s="325"/>
      <c r="BL303" s="325"/>
      <c r="BM303" s="325"/>
      <c r="BN303" s="325"/>
      <c r="BO303" s="325"/>
      <c r="BP303" s="325"/>
      <c r="BQ303" s="325"/>
      <c r="BR303" s="325"/>
      <c r="BS303" s="325"/>
      <c r="BT303" s="325"/>
      <c r="BU303" s="325"/>
      <c r="BV303" s="325"/>
      <c r="BW303" s="325"/>
      <c r="BX303" s="325"/>
      <c r="BY303" s="325"/>
      <c r="BZ303" s="325"/>
      <c r="CA303" s="325"/>
      <c r="CB303" s="325"/>
      <c r="CC303" s="325"/>
      <c r="CD303" s="325"/>
      <c r="CE303" s="325"/>
      <c r="CF303" s="325"/>
      <c r="CG303" s="325"/>
    </row>
    <row r="304" spans="1:85" ht="12.75" customHeight="1" x14ac:dyDescent="0.25">
      <c r="A304" s="389"/>
      <c r="B304" s="22"/>
      <c r="C304" s="22"/>
      <c r="D304" s="1134" t="str">
        <f>Translations!$B$372</f>
        <v>CRF-luokka</v>
      </c>
      <c r="E304" s="1134"/>
      <c r="F304" s="1135"/>
      <c r="G304" s="1123"/>
      <c r="H304" s="1124"/>
      <c r="I304" s="1123"/>
      <c r="J304" s="1124"/>
      <c r="K304" s="1123"/>
      <c r="L304" s="1124"/>
      <c r="M304" s="623" t="str">
        <f>IF(AND(E287&lt;&gt;"",COUNTA(G304:L304)=0,AX304=FALSE),EUconst_ERR_Incomplete,"")</f>
        <v/>
      </c>
      <c r="N304" s="22"/>
      <c r="O304" s="323"/>
      <c r="P304" s="301"/>
      <c r="Q304" s="23"/>
      <c r="R304" s="23"/>
      <c r="S304" s="325"/>
      <c r="T304" s="325"/>
      <c r="U304" s="325"/>
      <c r="V304" s="325"/>
      <c r="W304" s="325"/>
      <c r="X304" s="325"/>
      <c r="Y304" s="325"/>
      <c r="Z304" s="325"/>
      <c r="AA304" s="325"/>
      <c r="AB304" s="325"/>
      <c r="AC304" s="325"/>
      <c r="AD304" s="325"/>
      <c r="AE304" s="325"/>
      <c r="AF304" s="325"/>
      <c r="AG304" s="325"/>
      <c r="AH304" s="325"/>
      <c r="AI304" s="325"/>
      <c r="AJ304" s="325"/>
      <c r="AK304" s="325"/>
      <c r="AL304" s="325"/>
      <c r="AM304" s="325"/>
      <c r="AN304" s="325"/>
      <c r="AO304" s="325"/>
      <c r="AP304" s="325"/>
      <c r="AQ304" s="325"/>
      <c r="AR304" s="325"/>
      <c r="AS304" s="325"/>
      <c r="AT304" s="325"/>
      <c r="AU304" s="325"/>
      <c r="AV304" s="325"/>
      <c r="AW304" s="325"/>
      <c r="AX304" s="33" t="b">
        <f>AND(AV300&lt;&gt;"",SUM(AV300=1))</f>
        <v>0</v>
      </c>
      <c r="AY304" s="325"/>
      <c r="AZ304" s="325"/>
      <c r="BA304" s="325"/>
      <c r="BB304" s="325"/>
      <c r="BC304" s="325"/>
      <c r="BD304" s="325"/>
      <c r="BE304" s="325"/>
      <c r="BF304" s="325"/>
      <c r="BG304" s="325"/>
      <c r="BH304" s="325"/>
      <c r="BI304" s="325"/>
      <c r="BJ304" s="325"/>
      <c r="BK304" s="325"/>
      <c r="BL304" s="325"/>
      <c r="BM304" s="325"/>
      <c r="BN304" s="325"/>
      <c r="BO304" s="325"/>
      <c r="BP304" s="325"/>
      <c r="BQ304" s="325"/>
      <c r="BR304" s="325"/>
      <c r="BS304" s="325"/>
      <c r="BT304" s="325"/>
      <c r="BU304" s="325"/>
      <c r="BV304" s="325"/>
      <c r="BW304" s="325"/>
      <c r="BX304" s="325"/>
      <c r="BY304" s="325"/>
      <c r="BZ304" s="325"/>
      <c r="CA304" s="325"/>
      <c r="CB304" s="325"/>
      <c r="CC304" s="325"/>
      <c r="CD304" s="325"/>
      <c r="CE304" s="325"/>
      <c r="CF304" s="325"/>
      <c r="CG304" s="325"/>
    </row>
    <row r="305" spans="1:85" ht="5.15" customHeight="1" x14ac:dyDescent="0.25">
      <c r="A305" s="318"/>
      <c r="B305" s="21"/>
      <c r="C305" s="21"/>
      <c r="D305" s="21"/>
      <c r="E305" s="21"/>
      <c r="F305" s="21"/>
      <c r="G305" s="22"/>
      <c r="H305" s="22"/>
      <c r="I305" s="22"/>
      <c r="J305" s="22"/>
      <c r="K305" s="22"/>
      <c r="L305" s="22"/>
      <c r="M305" s="22"/>
      <c r="N305" s="22"/>
      <c r="O305" s="323"/>
      <c r="P305" s="301"/>
      <c r="Q305" s="23"/>
      <c r="R305" s="23"/>
      <c r="S305" s="325"/>
      <c r="T305" s="325"/>
      <c r="U305" s="325"/>
      <c r="V305" s="325"/>
      <c r="W305" s="325"/>
      <c r="X305" s="325"/>
      <c r="Y305" s="325"/>
      <c r="Z305" s="325"/>
      <c r="AA305" s="325"/>
      <c r="AB305" s="325"/>
      <c r="AC305" s="325"/>
      <c r="AD305" s="325"/>
      <c r="AE305" s="325"/>
      <c r="AF305" s="325"/>
      <c r="AG305" s="325"/>
      <c r="AH305" s="325"/>
      <c r="AI305" s="325"/>
      <c r="AJ305" s="325"/>
      <c r="AK305" s="325"/>
      <c r="AL305" s="325"/>
      <c r="AM305" s="325"/>
      <c r="AN305" s="325"/>
      <c r="AO305" s="325"/>
      <c r="AP305" s="325"/>
      <c r="AQ305" s="325"/>
      <c r="AR305" s="325"/>
      <c r="AS305" s="325"/>
      <c r="AT305" s="325"/>
      <c r="AU305" s="325"/>
      <c r="AV305" s="325"/>
      <c r="AW305" s="325"/>
      <c r="AX305" s="325"/>
      <c r="AY305" s="325"/>
      <c r="AZ305" s="325"/>
      <c r="BA305" s="325"/>
      <c r="BB305" s="325"/>
      <c r="BC305" s="325"/>
      <c r="BD305" s="325"/>
      <c r="BE305" s="325"/>
      <c r="BF305" s="325"/>
      <c r="BG305" s="325"/>
      <c r="BH305" s="325"/>
      <c r="BI305" s="325"/>
      <c r="BJ305" s="325"/>
      <c r="BK305" s="325"/>
      <c r="BL305" s="325"/>
      <c r="BM305" s="325"/>
      <c r="BN305" s="325"/>
      <c r="BO305" s="325"/>
      <c r="BP305" s="325"/>
      <c r="BQ305" s="325"/>
      <c r="BR305" s="325"/>
      <c r="BS305" s="325"/>
      <c r="BT305" s="325"/>
      <c r="BU305" s="325"/>
      <c r="BV305" s="325"/>
      <c r="BW305" s="325"/>
      <c r="BX305" s="325"/>
      <c r="BY305" s="325"/>
      <c r="BZ305" s="325"/>
      <c r="CA305" s="325"/>
      <c r="CB305" s="325"/>
      <c r="CC305" s="325"/>
      <c r="CD305" s="325"/>
      <c r="CE305" s="325"/>
      <c r="CF305" s="325"/>
      <c r="CG305" s="325"/>
    </row>
    <row r="306" spans="1:85" ht="5.15" customHeight="1" x14ac:dyDescent="0.25">
      <c r="A306" s="318"/>
      <c r="B306" s="21"/>
      <c r="C306" s="21"/>
      <c r="D306" s="1145"/>
      <c r="E306" s="1145"/>
      <c r="F306" s="1145"/>
      <c r="G306" s="806"/>
      <c r="H306" s="807"/>
      <c r="I306" s="806"/>
      <c r="J306" s="236"/>
      <c r="K306" s="236"/>
      <c r="L306" s="236"/>
      <c r="M306" s="807"/>
      <c r="N306" s="808"/>
      <c r="O306" s="323"/>
      <c r="P306" s="301"/>
      <c r="Q306" s="23"/>
      <c r="R306" s="23"/>
      <c r="S306" s="388"/>
      <c r="T306" s="325"/>
      <c r="U306" s="325"/>
      <c r="V306" s="325"/>
      <c r="W306" s="325"/>
      <c r="X306" s="325"/>
      <c r="Y306" s="325"/>
      <c r="Z306" s="325"/>
      <c r="AA306" s="325"/>
      <c r="AB306" s="325"/>
      <c r="AC306" s="325"/>
      <c r="AD306" s="325"/>
      <c r="AE306" s="325"/>
      <c r="AF306" s="325"/>
      <c r="AG306" s="325"/>
      <c r="AH306" s="325"/>
      <c r="AI306" s="325"/>
      <c r="AJ306" s="325"/>
      <c r="AK306" s="325"/>
      <c r="AL306" s="325"/>
      <c r="AM306" s="325"/>
      <c r="AN306" s="325"/>
      <c r="AO306" s="325"/>
      <c r="AP306" s="325"/>
      <c r="AQ306" s="325"/>
      <c r="AR306" s="325"/>
      <c r="AS306" s="325"/>
      <c r="AT306" s="325"/>
      <c r="AU306" s="325"/>
      <c r="AV306" s="325"/>
      <c r="AW306" s="325"/>
      <c r="AX306" s="325"/>
      <c r="AY306" s="325"/>
      <c r="AZ306" s="325"/>
      <c r="BA306" s="325"/>
      <c r="BB306" s="325"/>
      <c r="BC306" s="325"/>
      <c r="BD306" s="325"/>
      <c r="BE306" s="325"/>
      <c r="BF306" s="325"/>
      <c r="BG306" s="325"/>
      <c r="BH306" s="325"/>
      <c r="BI306" s="325"/>
      <c r="BJ306" s="325"/>
      <c r="BK306" s="325"/>
      <c r="BL306" s="325"/>
      <c r="BM306" s="325"/>
      <c r="BN306" s="325"/>
      <c r="BO306" s="325"/>
      <c r="BP306" s="325"/>
      <c r="BQ306" s="325"/>
      <c r="BR306" s="325"/>
      <c r="BS306" s="325"/>
      <c r="BT306" s="325"/>
      <c r="BU306" s="325"/>
      <c r="BV306" s="325"/>
      <c r="BW306" s="325"/>
      <c r="BX306" s="325"/>
      <c r="BY306" s="325"/>
      <c r="BZ306" s="325"/>
      <c r="CA306" s="325"/>
      <c r="CB306" s="325"/>
      <c r="CC306" s="325"/>
      <c r="CD306" s="325"/>
      <c r="CE306" s="325"/>
      <c r="CF306" s="325"/>
      <c r="CG306" s="33" t="b">
        <f>CG293</f>
        <v>0</v>
      </c>
    </row>
    <row r="307" spans="1:85" ht="5.15" customHeight="1" x14ac:dyDescent="0.25">
      <c r="A307" s="389"/>
      <c r="B307" s="22"/>
      <c r="C307" s="22"/>
      <c r="D307" s="22"/>
      <c r="E307" s="1116" t="str">
        <f>Translations!$B$304</f>
        <v xml:space="preserve">Lisätiedot: 
tapa, jolla biomassan kestävyys on osoitettu; 
muut polttoainevirtaa koskevat lisätiedot. </v>
      </c>
      <c r="F307" s="1116"/>
      <c r="G307" s="22"/>
      <c r="H307" s="22"/>
      <c r="I307" s="22"/>
      <c r="J307" s="22"/>
      <c r="K307" s="22"/>
      <c r="L307" s="22"/>
      <c r="M307" s="22"/>
      <c r="N307" s="22"/>
      <c r="O307" s="323"/>
      <c r="P307" s="301"/>
      <c r="Q307" s="23"/>
      <c r="R307" s="23"/>
      <c r="S307" s="325"/>
      <c r="T307" s="325"/>
      <c r="U307" s="325"/>
      <c r="V307" s="325"/>
      <c r="W307" s="325"/>
      <c r="X307" s="325"/>
      <c r="Y307" s="325"/>
      <c r="Z307" s="325"/>
      <c r="AA307" s="325"/>
      <c r="AB307" s="325"/>
      <c r="AC307" s="325"/>
      <c r="AD307" s="325"/>
      <c r="AE307" s="325"/>
      <c r="AF307" s="325"/>
      <c r="AG307" s="325"/>
      <c r="AH307" s="325"/>
      <c r="AI307" s="325"/>
      <c r="AJ307" s="325"/>
      <c r="AK307" s="325"/>
      <c r="AL307" s="325"/>
      <c r="AM307" s="325"/>
      <c r="AN307" s="325"/>
      <c r="AO307" s="325"/>
      <c r="AP307" s="325"/>
      <c r="AQ307" s="325"/>
      <c r="AR307" s="325"/>
      <c r="AS307" s="325"/>
      <c r="AT307" s="325"/>
      <c r="AU307" s="325"/>
      <c r="AV307" s="325"/>
      <c r="AW307" s="325"/>
      <c r="AX307" s="325"/>
      <c r="AY307" s="325"/>
      <c r="AZ307" s="325"/>
      <c r="BA307" s="325"/>
      <c r="BB307" s="325"/>
      <c r="BC307" s="325"/>
      <c r="BD307" s="325"/>
      <c r="BE307" s="325"/>
      <c r="BF307" s="325"/>
      <c r="BG307" s="325"/>
      <c r="BH307" s="325"/>
      <c r="BI307" s="325"/>
      <c r="BJ307" s="325"/>
      <c r="BK307" s="325"/>
      <c r="BL307" s="325"/>
      <c r="BM307" s="325"/>
      <c r="BN307" s="325"/>
      <c r="BO307" s="325"/>
      <c r="BP307" s="325"/>
      <c r="BQ307" s="325"/>
      <c r="BR307" s="325"/>
      <c r="BS307" s="325"/>
      <c r="BT307" s="325"/>
      <c r="BU307" s="325"/>
      <c r="BV307" s="325"/>
      <c r="BW307" s="325"/>
      <c r="BX307" s="325"/>
      <c r="BY307" s="325"/>
      <c r="BZ307" s="325"/>
      <c r="CA307" s="325"/>
      <c r="CB307" s="325"/>
      <c r="CC307" s="325"/>
      <c r="CD307" s="325"/>
      <c r="CE307" s="325"/>
      <c r="CF307" s="325"/>
      <c r="CG307" s="325"/>
    </row>
    <row r="308" spans="1:85" ht="37" customHeight="1" x14ac:dyDescent="0.25">
      <c r="A308" s="389"/>
      <c r="B308" s="22"/>
      <c r="C308" s="22"/>
      <c r="D308" s="4"/>
      <c r="E308" s="1116"/>
      <c r="F308" s="1116"/>
      <c r="G308" s="1146"/>
      <c r="H308" s="1147"/>
      <c r="I308" s="1147"/>
      <c r="J308" s="1147"/>
      <c r="K308" s="1147"/>
      <c r="L308" s="1147"/>
      <c r="M308" s="1147"/>
      <c r="N308" s="1148"/>
      <c r="O308" s="323"/>
      <c r="P308" s="301"/>
      <c r="Q308" s="23"/>
      <c r="R308" s="23"/>
      <c r="S308" s="325"/>
      <c r="T308" s="325"/>
      <c r="U308" s="325"/>
      <c r="V308" s="325"/>
      <c r="W308" s="325"/>
      <c r="X308" s="325"/>
      <c r="Y308" s="325"/>
      <c r="Z308" s="325"/>
      <c r="AA308" s="325"/>
      <c r="AB308" s="325"/>
      <c r="AC308" s="325"/>
      <c r="AD308" s="325"/>
      <c r="AE308" s="325"/>
      <c r="AF308" s="325"/>
      <c r="AG308" s="325"/>
      <c r="AH308" s="325"/>
      <c r="AI308" s="325"/>
      <c r="AJ308" s="325"/>
      <c r="AK308" s="325"/>
      <c r="AL308" s="325"/>
      <c r="AM308" s="325"/>
      <c r="AN308" s="325"/>
      <c r="AO308" s="325"/>
      <c r="AP308" s="325"/>
      <c r="AQ308" s="325"/>
      <c r="AR308" s="325"/>
      <c r="AS308" s="325"/>
      <c r="AT308" s="325"/>
      <c r="AU308" s="325"/>
      <c r="AV308" s="325"/>
      <c r="AW308" s="325"/>
      <c r="AX308" s="325"/>
      <c r="AY308" s="325"/>
      <c r="AZ308" s="325"/>
      <c r="BA308" s="325"/>
      <c r="BB308" s="325"/>
      <c r="BC308" s="325"/>
      <c r="BD308" s="325"/>
      <c r="BE308" s="325"/>
      <c r="BF308" s="325"/>
      <c r="BG308" s="325"/>
      <c r="BH308" s="325"/>
      <c r="BI308" s="325"/>
      <c r="BJ308" s="325"/>
      <c r="BK308" s="325"/>
      <c r="BL308" s="325"/>
      <c r="BM308" s="325"/>
      <c r="BN308" s="325"/>
      <c r="BO308" s="325"/>
      <c r="BP308" s="325"/>
      <c r="BQ308" s="325"/>
      <c r="BR308" s="325"/>
      <c r="BS308" s="325"/>
      <c r="BT308" s="325"/>
      <c r="BU308" s="325"/>
      <c r="BV308" s="325"/>
      <c r="BW308" s="325"/>
      <c r="BX308" s="325"/>
      <c r="BY308" s="325"/>
      <c r="BZ308" s="325"/>
      <c r="CA308" s="325"/>
      <c r="CB308" s="325"/>
      <c r="CC308" s="325"/>
      <c r="CD308" s="325"/>
      <c r="CE308" s="325"/>
      <c r="CF308" s="325"/>
      <c r="CG308" s="33" t="b">
        <f>CG306</f>
        <v>0</v>
      </c>
    </row>
    <row r="309" spans="1:85" ht="12.75" customHeight="1" thickBot="1" x14ac:dyDescent="0.3">
      <c r="A309" s="318"/>
      <c r="B309" s="22"/>
      <c r="C309" s="319"/>
      <c r="D309" s="320"/>
      <c r="E309" s="321"/>
      <c r="F309" s="319"/>
      <c r="G309" s="322"/>
      <c r="H309" s="322"/>
      <c r="I309" s="322"/>
      <c r="J309" s="322"/>
      <c r="K309" s="322"/>
      <c r="L309" s="322"/>
      <c r="M309" s="322"/>
      <c r="N309" s="322"/>
      <c r="O309" s="323"/>
      <c r="P309" s="301"/>
      <c r="Q309" s="23"/>
      <c r="R309" s="23"/>
      <c r="S309" s="41"/>
      <c r="T309" s="41"/>
      <c r="U309" s="324"/>
      <c r="V309" s="41"/>
      <c r="W309" s="41"/>
      <c r="X309" s="324"/>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41"/>
      <c r="BM309" s="325"/>
      <c r="BN309" s="325"/>
      <c r="BO309" s="325"/>
      <c r="BP309" s="325"/>
      <c r="BQ309" s="325"/>
      <c r="BR309" s="325"/>
      <c r="BS309" s="325"/>
      <c r="BT309" s="325"/>
      <c r="BU309" s="41"/>
      <c r="BV309" s="41"/>
      <c r="BW309" s="41"/>
      <c r="BX309" s="41"/>
      <c r="BY309" s="41"/>
      <c r="BZ309" s="41"/>
      <c r="CA309" s="41"/>
      <c r="CB309" s="41"/>
      <c r="CC309" s="41"/>
      <c r="CD309" s="41"/>
      <c r="CE309" s="41"/>
      <c r="CF309" s="41"/>
      <c r="CG309" s="41"/>
    </row>
    <row r="310" spans="1:85" ht="12.75" customHeight="1" thickBot="1" x14ac:dyDescent="0.3">
      <c r="A310" s="326"/>
      <c r="B310" s="22"/>
      <c r="C310" s="22"/>
      <c r="D310" s="327"/>
      <c r="E310" s="328"/>
      <c r="F310" s="22"/>
      <c r="G310" s="1"/>
      <c r="H310" s="1"/>
      <c r="I310" s="1"/>
      <c r="J310" s="1"/>
      <c r="K310" s="22"/>
      <c r="L310" s="1"/>
      <c r="M310" s="1"/>
      <c r="N310" s="1"/>
      <c r="O310" s="323"/>
      <c r="P310" s="301"/>
      <c r="Q310" s="23"/>
      <c r="R310" s="23"/>
      <c r="S310" s="2"/>
      <c r="T310" s="20" t="str">
        <f>IF(ISBLANK(E311),"",MATCH(E311,CNTR_SourceStreamNames,0))</f>
        <v/>
      </c>
      <c r="U310" s="329" t="str">
        <f>IF(ISBLANK(E311),"",INDEX('B_Polttoainevirtojen tiedot'!$D$67:$D$91,MATCH(E311,CNTR_SourceStreamNames,0)))</f>
        <v/>
      </c>
      <c r="V310" s="60"/>
      <c r="W310" s="37"/>
      <c r="X310" s="37"/>
      <c r="Y310" s="37"/>
      <c r="Z310" s="41"/>
      <c r="AA310" s="41"/>
      <c r="AB310" s="41"/>
      <c r="AC310" s="41"/>
      <c r="AD310" s="41"/>
      <c r="AE310" s="41"/>
      <c r="AF310" s="41"/>
      <c r="AG310" s="41"/>
      <c r="AH310" s="41"/>
      <c r="AI310" s="41"/>
      <c r="AJ310" s="41"/>
      <c r="AK310" s="23"/>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37"/>
      <c r="BK310" s="37"/>
      <c r="BL310" s="37"/>
      <c r="BM310" s="37"/>
      <c r="BN310" s="37"/>
      <c r="BO310" s="37"/>
      <c r="BP310" s="37"/>
      <c r="BQ310" s="37"/>
      <c r="BR310" s="37"/>
      <c r="BS310" s="37"/>
      <c r="BT310" s="37"/>
      <c r="BU310" s="37"/>
      <c r="BV310" s="37"/>
      <c r="BW310" s="37"/>
      <c r="BX310" s="37"/>
      <c r="BY310" s="37"/>
      <c r="BZ310" s="37"/>
      <c r="CA310" s="37"/>
      <c r="CB310" s="37"/>
      <c r="CC310" s="37"/>
      <c r="CD310" s="37"/>
      <c r="CE310" s="37"/>
      <c r="CF310" s="37"/>
      <c r="CG310" s="330" t="s">
        <v>94</v>
      </c>
    </row>
    <row r="311" spans="1:85" ht="15" customHeight="1" thickBot="1" x14ac:dyDescent="0.3">
      <c r="A311" s="331">
        <f>C311</f>
        <v>12</v>
      </c>
      <c r="B311" s="21"/>
      <c r="C311" s="332">
        <f>C287+1</f>
        <v>12</v>
      </c>
      <c r="D311" s="21"/>
      <c r="E311" s="1117"/>
      <c r="F311" s="1118"/>
      <c r="G311" s="1118"/>
      <c r="H311" s="1118"/>
      <c r="I311" s="1118"/>
      <c r="J311" s="1119"/>
      <c r="K311" s="1138" t="str">
        <f>IF(INDEX('B_Polttoainevirtojen tiedot'!$K$100:$K$124,MATCH(U310,'B_Polttoainevirtojen tiedot'!$D$100:$D$124,0))&gt;0,INDEX('B_Polttoainevirtojen tiedot'!$K$100:$K$124,MATCH(U310,'B_Polttoainevirtojen tiedot'!$D$100:$D$124,0)),"")</f>
        <v/>
      </c>
      <c r="L311" s="1139"/>
      <c r="M311" s="328" t="str">
        <f>Translations!$B$374</f>
        <v>CO2 fossiilinen:</v>
      </c>
      <c r="N311" s="401" t="str">
        <f>IF(E312="","",BG317)</f>
        <v/>
      </c>
      <c r="O311" s="333" t="str">
        <f>EUconst_tCO2</f>
        <v>tCO2</v>
      </c>
      <c r="P311" s="610" t="str">
        <f>IF(AND(E311&lt;&gt;"",COUNTIF(P312:$P$811,"PRINT")=0),"PRINT","")</f>
        <v/>
      </c>
      <c r="Q311" s="335" t="str">
        <f>EUconst_SumCO2</f>
        <v>SUM_CO2</v>
      </c>
      <c r="R311" s="23"/>
      <c r="S311" s="2"/>
      <c r="T311" s="2"/>
      <c r="U311" s="2"/>
      <c r="V311" s="60"/>
      <c r="W311" s="37"/>
      <c r="X311" s="41"/>
      <c r="Y311" s="41"/>
      <c r="Z311" s="41"/>
      <c r="AA311" s="41"/>
      <c r="AB311" s="41"/>
      <c r="AC311" s="41"/>
      <c r="AD311" s="41"/>
      <c r="AE311" s="41"/>
      <c r="AF311" s="41"/>
      <c r="AG311" s="41"/>
      <c r="AH311" s="41"/>
      <c r="AI311" s="337"/>
      <c r="AJ311" s="337"/>
      <c r="AK311" s="337"/>
      <c r="AL311" s="337"/>
      <c r="AM311" s="337"/>
      <c r="AN311" s="337"/>
      <c r="AO311" s="337"/>
      <c r="AP311" s="337"/>
      <c r="AQ311" s="337"/>
      <c r="AR311" s="337"/>
      <c r="AS311" s="337"/>
      <c r="AT311" s="337"/>
      <c r="AU311" s="337"/>
      <c r="AV311" s="337"/>
      <c r="AW311" s="337"/>
      <c r="AX311" s="337"/>
      <c r="AY311" s="337"/>
      <c r="AZ311" s="337"/>
      <c r="BA311" s="337"/>
      <c r="BB311" s="337"/>
      <c r="BC311" s="337"/>
      <c r="BD311" s="337"/>
      <c r="BE311" s="337"/>
      <c r="BF311" s="337"/>
      <c r="BG311" s="337"/>
      <c r="BH311" s="337"/>
      <c r="BI311" s="483" t="str">
        <f>IF(E311="","",E311)</f>
        <v/>
      </c>
      <c r="BJ311" s="338" t="str">
        <f>IF(F317="","",F317)</f>
        <v/>
      </c>
      <c r="BK311" s="485">
        <f>AV317</f>
        <v>0</v>
      </c>
      <c r="BL311" s="485">
        <f>IF(BK311="","",BK311*(1-BP311))</f>
        <v>0</v>
      </c>
      <c r="BM311" s="338" t="str">
        <f>AJ317</f>
        <v/>
      </c>
      <c r="BN311" s="338" t="str">
        <f>IF(F324="","",F324)</f>
        <v/>
      </c>
      <c r="BO311" s="483" t="str">
        <f>IF(G324="","",G324)</f>
        <v/>
      </c>
      <c r="BP311" s="484">
        <f>AV324</f>
        <v>0</v>
      </c>
      <c r="BQ311" s="338" t="str">
        <f>IF(F320="","",F320)</f>
        <v/>
      </c>
      <c r="BR311" s="484">
        <f>AV320</f>
        <v>0</v>
      </c>
      <c r="BS311" s="484" t="str">
        <f>AJ320</f>
        <v/>
      </c>
      <c r="BT311" s="338" t="str">
        <f>IF(F319="","",F319)</f>
        <v/>
      </c>
      <c r="BU311" s="484">
        <f>IF(F319=EUconst_NA,"",AV319)</f>
        <v>0</v>
      </c>
      <c r="BV311" s="484" t="str">
        <f>AJ319</f>
        <v/>
      </c>
      <c r="BW311" s="338" t="str">
        <f>IF(F321="","",F321)</f>
        <v/>
      </c>
      <c r="BX311" s="484">
        <f>AV321</f>
        <v>0</v>
      </c>
      <c r="BY311" s="338" t="str">
        <f>IF(F322="","",F322)</f>
        <v/>
      </c>
      <c r="BZ311" s="484">
        <f>AV322</f>
        <v>0</v>
      </c>
      <c r="CA311" s="485" t="str">
        <f>N311</f>
        <v/>
      </c>
      <c r="CB311" s="485" t="str">
        <f>N312</f>
        <v/>
      </c>
      <c r="CC311" s="485" t="str">
        <f>R314</f>
        <v/>
      </c>
      <c r="CD311" s="485" t="str">
        <f>R316</f>
        <v/>
      </c>
      <c r="CE311" s="485" t="str">
        <f>R317</f>
        <v/>
      </c>
      <c r="CF311" s="37"/>
      <c r="CG311" s="339" t="b">
        <v>0</v>
      </c>
    </row>
    <row r="312" spans="1:85" ht="15" customHeight="1" thickBot="1" x14ac:dyDescent="0.3">
      <c r="A312" s="318"/>
      <c r="B312" s="21"/>
      <c r="C312" s="21"/>
      <c r="D312" s="21"/>
      <c r="E312" s="1127" t="str">
        <f>IF(ISBLANK(E311),"",IF(INDEX('B_Polttoainevirtojen tiedot'!$E$67:$E$91,MATCH(U310,'B_Polttoainevirtojen tiedot'!$D$67:$D$91,0))&gt;0,INDEX('B_Polttoainevirtojen tiedot'!$E$67:$E$91,MATCH(U310,'B_Polttoainevirtojen tiedot'!$D$67:$D$91,0)),""))</f>
        <v/>
      </c>
      <c r="F312" s="1128"/>
      <c r="G312" s="1128"/>
      <c r="H312" s="1128"/>
      <c r="I312" s="1128"/>
      <c r="J312" s="1129"/>
      <c r="K312" s="1138" t="str">
        <f>IF(INDEX('B_Polttoainevirtojen tiedot'!$M$100:$M$124,MATCH(U310,'B_Polttoainevirtojen tiedot'!$D$100:$D$124,0))&gt;0,INDEX('B_Polttoainevirtojen tiedot'!$M$100:$M$124,MATCH(U310,'B_Polttoainevirtojen tiedot'!$D$100:$D$124,0)),"")</f>
        <v/>
      </c>
      <c r="L312" s="1139"/>
      <c r="M312" s="340" t="str">
        <f>Translations!$B$375</f>
        <v>CO2 bio:</v>
      </c>
      <c r="N312" s="482" t="str">
        <f>IF(E312="","",BG319)</f>
        <v/>
      </c>
      <c r="O312" s="341" t="str">
        <f>EUconst_tCO2</f>
        <v>tCO2</v>
      </c>
      <c r="P312" s="301"/>
      <c r="Q312" s="335" t="str">
        <f>EUconst_SumBioCO2</f>
        <v>SUM_bioCO2</v>
      </c>
      <c r="R312" s="23"/>
      <c r="S312" s="2"/>
      <c r="T312" s="2"/>
      <c r="U312" s="2"/>
      <c r="V312" s="60"/>
      <c r="W312" s="37"/>
      <c r="X312" s="41"/>
      <c r="Y312" s="20" t="str">
        <f>Translations!$B$143</f>
        <v>Määrittämistasot</v>
      </c>
      <c r="Z312" s="325"/>
      <c r="AA312" s="325"/>
      <c r="AB312" s="325"/>
      <c r="AC312" s="325"/>
      <c r="AD312" s="325"/>
      <c r="AE312" s="20" t="s">
        <v>95</v>
      </c>
      <c r="AF312" s="41"/>
      <c r="AG312" s="342"/>
      <c r="AH312" s="325"/>
      <c r="AI312" s="325"/>
      <c r="AJ312" s="342"/>
      <c r="AK312" s="342"/>
      <c r="AL312" s="337"/>
      <c r="AM312" s="337"/>
      <c r="AN312" s="337"/>
      <c r="AO312" s="337"/>
      <c r="AP312" s="337"/>
      <c r="AQ312" s="20" t="s">
        <v>96</v>
      </c>
      <c r="AR312" s="343"/>
      <c r="AS312" s="343"/>
      <c r="AT312" s="325"/>
      <c r="AU312" s="325"/>
      <c r="AV312" s="325"/>
      <c r="AW312" s="325"/>
      <c r="AX312" s="325"/>
      <c r="AY312" s="325"/>
      <c r="AZ312" s="20" t="s">
        <v>97</v>
      </c>
      <c r="BA312" s="325"/>
      <c r="BB312" s="325"/>
      <c r="BC312" s="325"/>
      <c r="BD312" s="325"/>
      <c r="BE312" s="325"/>
      <c r="BF312" s="20" t="s">
        <v>98</v>
      </c>
      <c r="BG312" s="325"/>
      <c r="BH312" s="325"/>
      <c r="BI312" s="20" t="s">
        <v>99</v>
      </c>
      <c r="BJ312" s="338" t="str">
        <f>Translations!$B$376</f>
        <v>RFA-määrittämistaso</v>
      </c>
      <c r="BK312" s="338" t="str">
        <f>Translations!$B$377</f>
        <v>RFA</v>
      </c>
      <c r="BL312" s="338" t="str">
        <f>Translations!$B$378</f>
        <v>RFA (SF:n jälkeen)</v>
      </c>
      <c r="BM312" s="338" t="str">
        <f>Translations!$B$379</f>
        <v>RFA-yksikkö</v>
      </c>
      <c r="BN312" s="338" t="str">
        <f>Translations!$B$380</f>
        <v>SF-määrittämistaso</v>
      </c>
      <c r="BO312" s="338" t="str">
        <f>Translations!$B$380</f>
        <v>SF-määrittämistaso</v>
      </c>
      <c r="BP312" s="338" t="str">
        <f>Translations!$B$381</f>
        <v>SF</v>
      </c>
      <c r="BQ312" s="338" t="str">
        <f>Translations!$B$382</f>
        <v>EF-määrittämistaso</v>
      </c>
      <c r="BR312" s="338" t="str">
        <f>Translations!$B$383</f>
        <v>EF</v>
      </c>
      <c r="BS312" s="338" t="str">
        <f>Translations!$B$384</f>
        <v>EF-yksikkö</v>
      </c>
      <c r="BT312" s="338" t="str">
        <f>Translations!$B$385</f>
        <v>UCF-määrittämistaso</v>
      </c>
      <c r="BU312" s="338" t="str">
        <f>Translations!$B$386</f>
        <v>UCF</v>
      </c>
      <c r="BV312" s="338" t="str">
        <f>Translations!$B$387</f>
        <v>UCF-yksikkö</v>
      </c>
      <c r="BW312" s="338" t="str">
        <f>Translations!$B$388</f>
        <v>Bio-määrittämistaso</v>
      </c>
      <c r="BX312" s="338" t="s">
        <v>100</v>
      </c>
      <c r="BY312" s="338" t="str">
        <f>Translations!$B$389</f>
        <v>NonSustBio-määrittämistaso</v>
      </c>
      <c r="BZ312" s="338" t="s">
        <v>101</v>
      </c>
      <c r="CA312" s="338" t="str">
        <f>Translations!$B$390</f>
        <v>CO2 fossil</v>
      </c>
      <c r="CB312" s="338" t="str">
        <f>Translations!$B$391</f>
        <v>CO2 bio</v>
      </c>
      <c r="CC312" s="338" t="str">
        <f>Translations!$B$392</f>
        <v>CO2 non-sust</v>
      </c>
      <c r="CD312" s="338" t="s">
        <v>102</v>
      </c>
      <c r="CE312" s="338" t="s">
        <v>103</v>
      </c>
      <c r="CF312" s="325"/>
      <c r="CG312" s="325"/>
    </row>
    <row r="313" spans="1:85" ht="5.15" customHeight="1" thickBot="1" x14ac:dyDescent="0.3">
      <c r="A313" s="318"/>
      <c r="B313" s="21"/>
      <c r="C313" s="21"/>
      <c r="D313" s="21"/>
      <c r="E313" s="21"/>
      <c r="F313" s="21"/>
      <c r="G313" s="21"/>
      <c r="H313" s="22"/>
      <c r="I313" s="22"/>
      <c r="J313" s="22"/>
      <c r="K313" s="22"/>
      <c r="L313" s="22"/>
      <c r="M313" s="22"/>
      <c r="N313" s="22"/>
      <c r="O313" s="323"/>
      <c r="P313" s="301"/>
      <c r="Q313" s="23"/>
      <c r="R313" s="23"/>
      <c r="S313" s="2"/>
      <c r="T313" s="2"/>
      <c r="U313" s="2"/>
      <c r="V313" s="60"/>
      <c r="W313" s="325"/>
      <c r="X313" s="325"/>
      <c r="Y313" s="23"/>
      <c r="Z313" s="325"/>
      <c r="AA313" s="325"/>
      <c r="AB313" s="325"/>
      <c r="AC313" s="325"/>
      <c r="AD313" s="325"/>
      <c r="AE313" s="325"/>
      <c r="AF313" s="41"/>
      <c r="AG313" s="325"/>
      <c r="AH313" s="325"/>
      <c r="AI313" s="325"/>
      <c r="AJ313" s="342"/>
      <c r="AK313" s="342"/>
      <c r="AL313" s="337"/>
      <c r="AM313" s="337"/>
      <c r="AN313" s="337"/>
      <c r="AO313" s="337"/>
      <c r="AP313" s="337"/>
      <c r="AQ313" s="325"/>
      <c r="AR313" s="325"/>
      <c r="AS313" s="325"/>
      <c r="AT313" s="325"/>
      <c r="AU313" s="325"/>
      <c r="AV313" s="325"/>
      <c r="AW313" s="325"/>
      <c r="AX313" s="325"/>
      <c r="AY313" s="325"/>
      <c r="AZ313" s="325"/>
      <c r="BA313" s="325"/>
      <c r="BB313" s="325"/>
      <c r="BC313" s="325"/>
      <c r="BD313" s="325"/>
      <c r="BE313" s="325"/>
      <c r="BF313" s="325"/>
      <c r="BG313" s="325"/>
      <c r="BH313" s="325"/>
      <c r="BI313" s="325"/>
      <c r="BJ313" s="325"/>
      <c r="BK313" s="325"/>
      <c r="BL313" s="325"/>
      <c r="BM313" s="325"/>
      <c r="BN313" s="325"/>
      <c r="BO313" s="325"/>
      <c r="BP313" s="325"/>
      <c r="BQ313" s="325"/>
      <c r="BR313" s="325"/>
      <c r="BS313" s="325"/>
      <c r="BT313" s="325"/>
      <c r="BU313" s="325"/>
      <c r="BV313" s="325"/>
      <c r="BW313" s="325"/>
      <c r="BX313" s="325"/>
      <c r="BY313" s="325"/>
      <c r="BZ313" s="325"/>
      <c r="CA313" s="325"/>
      <c r="CB313" s="325"/>
      <c r="CC313" s="325"/>
      <c r="CD313" s="325"/>
      <c r="CE313" s="325"/>
      <c r="CF313" s="325"/>
      <c r="CG313" s="325"/>
    </row>
    <row r="314" spans="1:85" ht="12.75" customHeight="1" thickBot="1" x14ac:dyDescent="0.3">
      <c r="A314" s="318"/>
      <c r="B314" s="21"/>
      <c r="C314" s="21"/>
      <c r="D314" s="21"/>
      <c r="E314" s="1140" t="str">
        <f>IF(E311="","",HYPERLINK("#JUMP_E_Top",EUconst_FurtherGuidancePoint1))</f>
        <v/>
      </c>
      <c r="F314" s="1140"/>
      <c r="G314" s="1140"/>
      <c r="H314" s="1140"/>
      <c r="I314" s="1140"/>
      <c r="J314" s="1140"/>
      <c r="K314" s="1140"/>
      <c r="L314" s="1140"/>
      <c r="M314" s="1140"/>
      <c r="N314" s="22"/>
      <c r="O314" s="323"/>
      <c r="P314" s="301"/>
      <c r="Q314" s="335" t="str">
        <f>EUconst_SumNonSustBioCO2</f>
        <v>SUM_bioNonSustCO2</v>
      </c>
      <c r="R314" s="500" t="str">
        <f>IF(E312="","",BG320)</f>
        <v/>
      </c>
      <c r="S314" s="2"/>
      <c r="T314" s="2"/>
      <c r="U314" s="2"/>
      <c r="V314" s="325"/>
      <c r="W314" s="325"/>
      <c r="X314" s="325"/>
      <c r="Y314" s="41"/>
      <c r="Z314" s="325"/>
      <c r="AA314" s="325"/>
      <c r="AB314" s="325"/>
      <c r="AC314" s="325"/>
      <c r="AD314" s="325"/>
      <c r="AE314" s="325"/>
      <c r="AF314" s="41"/>
      <c r="AG314" s="325"/>
      <c r="AH314" s="325"/>
      <c r="AI314" s="325"/>
      <c r="AJ314" s="342"/>
      <c r="AK314" s="342"/>
      <c r="AL314" s="337"/>
      <c r="AM314" s="337"/>
      <c r="AN314" s="337"/>
      <c r="AO314" s="337"/>
      <c r="AP314" s="337"/>
      <c r="AQ314" s="325"/>
      <c r="AR314" s="325"/>
      <c r="AS314" s="325"/>
      <c r="AT314" s="325"/>
      <c r="AU314" s="325"/>
      <c r="AV314" s="325"/>
      <c r="AW314" s="325"/>
      <c r="AX314" s="325"/>
      <c r="AY314" s="325"/>
      <c r="AZ314" s="325"/>
      <c r="BA314" s="325"/>
      <c r="BB314" s="325"/>
      <c r="BC314" s="325"/>
      <c r="BD314" s="325"/>
      <c r="BE314" s="325"/>
      <c r="BF314" s="325"/>
      <c r="BG314" s="325"/>
      <c r="BH314" s="325"/>
      <c r="BI314" s="20" t="s">
        <v>104</v>
      </c>
      <c r="BJ314" s="343"/>
      <c r="BK314" s="483" t="str">
        <f>IF(G328="","",G328)</f>
        <v/>
      </c>
      <c r="BL314" s="483" t="str">
        <f>IF(I328="","",I328)</f>
        <v/>
      </c>
      <c r="BM314" s="483" t="str">
        <f>IF(K328="","",K328)</f>
        <v/>
      </c>
      <c r="BN314" s="325"/>
      <c r="BO314" s="325"/>
      <c r="BP314" s="325"/>
      <c r="BQ314" s="325"/>
      <c r="BR314" s="325"/>
      <c r="BS314" s="325"/>
      <c r="BT314" s="330"/>
      <c r="BU314" s="325"/>
      <c r="BV314" s="325"/>
      <c r="BW314" s="325"/>
      <c r="BX314" s="325"/>
      <c r="BY314" s="325"/>
      <c r="BZ314" s="325"/>
      <c r="CA314" s="325"/>
      <c r="CB314" s="325"/>
      <c r="CC314" s="325"/>
      <c r="CD314" s="325"/>
      <c r="CE314" s="325"/>
      <c r="CF314" s="325"/>
      <c r="CG314" s="325"/>
    </row>
    <row r="315" spans="1:85" ht="5.15" customHeight="1" thickBot="1" x14ac:dyDescent="0.3">
      <c r="A315" s="318"/>
      <c r="B315" s="21"/>
      <c r="C315" s="21"/>
      <c r="D315" s="21"/>
      <c r="E315" s="21"/>
      <c r="F315" s="21"/>
      <c r="G315" s="21"/>
      <c r="H315" s="22"/>
      <c r="I315" s="22"/>
      <c r="J315" s="22"/>
      <c r="K315" s="22"/>
      <c r="L315" s="22"/>
      <c r="M315" s="22"/>
      <c r="N315" s="22"/>
      <c r="O315" s="323"/>
      <c r="P315" s="259"/>
      <c r="Q315" s="2"/>
      <c r="R315" s="259"/>
      <c r="S315" s="2"/>
      <c r="T315" s="2"/>
      <c r="U315" s="2"/>
      <c r="V315" s="325"/>
      <c r="W315" s="325"/>
      <c r="X315" s="325"/>
      <c r="Y315" s="23"/>
      <c r="Z315" s="325"/>
      <c r="AA315" s="325"/>
      <c r="AB315" s="325"/>
      <c r="AC315" s="325"/>
      <c r="AD315" s="325"/>
      <c r="AE315" s="325"/>
      <c r="AF315" s="41"/>
      <c r="AG315" s="325"/>
      <c r="AH315" s="325"/>
      <c r="AI315" s="325"/>
      <c r="AJ315" s="342"/>
      <c r="AK315" s="342"/>
      <c r="AL315" s="337"/>
      <c r="AM315" s="337"/>
      <c r="AN315" s="337"/>
      <c r="AO315" s="337"/>
      <c r="AP315" s="337"/>
      <c r="AQ315" s="325"/>
      <c r="AR315" s="325"/>
      <c r="AS315" s="325"/>
      <c r="AT315" s="325"/>
      <c r="AU315" s="325"/>
      <c r="AV315" s="325"/>
      <c r="AW315" s="325"/>
      <c r="AX315" s="325"/>
      <c r="AY315" s="325"/>
      <c r="AZ315" s="325"/>
      <c r="BA315" s="325"/>
      <c r="BB315" s="325"/>
      <c r="BC315" s="325"/>
      <c r="BD315" s="325"/>
      <c r="BE315" s="325"/>
      <c r="BF315" s="325"/>
      <c r="BG315" s="325"/>
      <c r="BH315" s="325"/>
      <c r="BI315" s="325"/>
      <c r="BJ315" s="325"/>
      <c r="BK315" s="325"/>
      <c r="BL315" s="325"/>
      <c r="BM315" s="325"/>
      <c r="BN315" s="325"/>
      <c r="BO315" s="325"/>
      <c r="BP315" s="325"/>
      <c r="BQ315" s="325"/>
      <c r="BR315" s="325"/>
      <c r="BS315" s="325"/>
      <c r="BT315" s="325"/>
      <c r="BU315" s="325"/>
      <c r="BV315" s="325"/>
      <c r="BW315" s="325"/>
      <c r="BX315" s="325"/>
      <c r="BY315" s="325"/>
      <c r="BZ315" s="325"/>
      <c r="CA315" s="325"/>
      <c r="CB315" s="325"/>
      <c r="CC315" s="325"/>
      <c r="CD315" s="325"/>
      <c r="CE315" s="325"/>
      <c r="CF315" s="325"/>
      <c r="CG315" s="325"/>
    </row>
    <row r="316" spans="1:85" ht="12.75" customHeight="1" thickBot="1" x14ac:dyDescent="0.3">
      <c r="A316" s="318"/>
      <c r="B316" s="21"/>
      <c r="C316" s="21"/>
      <c r="D316" s="21"/>
      <c r="E316" s="21"/>
      <c r="F316" s="347" t="str">
        <f>Translations!$B$127</f>
        <v>Määrittämistaso</v>
      </c>
      <c r="G316" s="1141" t="str">
        <f>Translations!$B$393</f>
        <v>määrittämistason kuvaus</v>
      </c>
      <c r="H316" s="1141"/>
      <c r="I316" s="1142" t="str">
        <f>Translations!$B$394</f>
        <v>Yksikkö</v>
      </c>
      <c r="J316" s="1142"/>
      <c r="K316" s="1142" t="str">
        <f>Translations!$B$395</f>
        <v>Arvo</v>
      </c>
      <c r="L316" s="1142"/>
      <c r="M316" s="327" t="str">
        <f>Translations!$B$396</f>
        <v>virhe</v>
      </c>
      <c r="N316" s="22"/>
      <c r="O316" s="323"/>
      <c r="P316" s="611"/>
      <c r="Q316" s="335" t="str">
        <f>EUconst_SumEnergyIN</f>
        <v>SUM_EnergyIN</v>
      </c>
      <c r="R316" s="501" t="str">
        <f>IF(E312="","",BG321)</f>
        <v/>
      </c>
      <c r="S316" s="325"/>
      <c r="T316" s="325"/>
      <c r="U316" s="325"/>
      <c r="V316" s="336" t="s">
        <v>105</v>
      </c>
      <c r="W316" s="325"/>
      <c r="X316" s="325"/>
      <c r="Y316" s="23" t="s">
        <v>106</v>
      </c>
      <c r="Z316" s="23" t="s">
        <v>107</v>
      </c>
      <c r="AA316" s="325"/>
      <c r="AB316" s="325"/>
      <c r="AC316" s="343" t="s">
        <v>108</v>
      </c>
      <c r="AD316" s="325"/>
      <c r="AE316" s="325"/>
      <c r="AF316" s="325" t="s">
        <v>109</v>
      </c>
      <c r="AG316" s="325" t="s">
        <v>110</v>
      </c>
      <c r="AH316" s="23" t="s">
        <v>111</v>
      </c>
      <c r="AI316" s="342" t="s">
        <v>112</v>
      </c>
      <c r="AJ316" s="342" t="s">
        <v>113</v>
      </c>
      <c r="AK316" s="348" t="s">
        <v>114</v>
      </c>
      <c r="AL316" s="337"/>
      <c r="AM316" s="337"/>
      <c r="AN316" s="337"/>
      <c r="AO316" s="337"/>
      <c r="AP316" s="337"/>
      <c r="AQ316" s="325"/>
      <c r="AR316" s="325" t="s">
        <v>109</v>
      </c>
      <c r="AS316" s="325" t="s">
        <v>110</v>
      </c>
      <c r="AT316" s="349" t="s">
        <v>115</v>
      </c>
      <c r="AU316" s="342" t="s">
        <v>116</v>
      </c>
      <c r="AV316" s="342" t="s">
        <v>117</v>
      </c>
      <c r="AW316" s="348" t="s">
        <v>114</v>
      </c>
      <c r="AX316" s="348" t="s">
        <v>114</v>
      </c>
      <c r="AY316" s="325"/>
      <c r="AZ316" s="325"/>
      <c r="BA316" s="325"/>
      <c r="BB316" s="325" t="s">
        <v>118</v>
      </c>
      <c r="BC316" s="325"/>
      <c r="BD316" s="325"/>
      <c r="BE316" s="325"/>
      <c r="BF316" s="325"/>
      <c r="BG316" s="330" t="str">
        <f>EUconst_Fuel</f>
        <v>Poltto</v>
      </c>
      <c r="BH316" s="325"/>
      <c r="BI316" s="325"/>
      <c r="BJ316" s="325"/>
      <c r="BK316" s="325"/>
      <c r="BL316" s="325"/>
      <c r="BM316" s="325"/>
      <c r="BN316" s="325"/>
      <c r="BO316" s="325"/>
      <c r="BP316" s="325"/>
      <c r="BQ316" s="325"/>
      <c r="BR316" s="325"/>
      <c r="BS316" s="325"/>
      <c r="BT316" s="325"/>
      <c r="BU316" s="325"/>
      <c r="BV316" s="325"/>
      <c r="BW316" s="325"/>
      <c r="BX316" s="325"/>
      <c r="BY316" s="325"/>
      <c r="BZ316" s="325"/>
      <c r="CA316" s="325"/>
      <c r="CB316" s="325"/>
      <c r="CC316" s="325"/>
      <c r="CD316" s="325"/>
      <c r="CE316" s="325"/>
      <c r="CF316" s="325"/>
      <c r="CG316" s="330" t="s">
        <v>94</v>
      </c>
    </row>
    <row r="317" spans="1:85" ht="12.75" customHeight="1" thickBot="1" x14ac:dyDescent="0.3">
      <c r="A317" s="318"/>
      <c r="B317" s="21"/>
      <c r="C317" s="344"/>
      <c r="D317" s="345" t="str">
        <f>Translations!$B$356</f>
        <v>Polttoaineen määrä:</v>
      </c>
      <c r="E317" s="350"/>
      <c r="F317" s="351"/>
      <c r="G317" s="1120" t="str">
        <f>IF(OR(ISBLANK(F317),F317=EUconst_NoTier),"",IF(Z317=0,EUconst_NA,IF(ISERROR(Z317),"",Z317)))</f>
        <v/>
      </c>
      <c r="H317" s="1122"/>
      <c r="I317" s="352" t="str">
        <f>IF(J317&lt;&gt;"","",AI317)</f>
        <v/>
      </c>
      <c r="J317" s="353"/>
      <c r="K317" s="1143"/>
      <c r="L317" s="1144"/>
      <c r="M317" s="486" t="str">
        <f>IF(AND(E312&lt;&gt;"",OR(F317="",COUNT(K317)=0),Y317&lt;&gt;EUconst_NA),EUconst_ERR_Incomplete,"")</f>
        <v/>
      </c>
      <c r="N317" s="22"/>
      <c r="O317" s="323"/>
      <c r="P317" s="612"/>
      <c r="Q317" s="335" t="str">
        <f>EUconst_SumBioEnergyIN</f>
        <v>SUM_BioEnergyIN</v>
      </c>
      <c r="R317" s="501" t="str">
        <f>IF(E312="","",BG322)</f>
        <v/>
      </c>
      <c r="S317" s="325"/>
      <c r="T317" s="355" t="str">
        <f>EUconst_CNTR_ActivityData&amp;E312</f>
        <v>ActivityData_</v>
      </c>
      <c r="U317" s="23"/>
      <c r="V317" s="355" t="str">
        <f>IF(E311="","",INDEX('B_Polttoainevirtojen tiedot'!$I$67:$I$91,MATCH(U310,'B_Polttoainevirtojen tiedot'!$D$67:$D$91,0)))</f>
        <v/>
      </c>
      <c r="W317" s="342" t="s">
        <v>121</v>
      </c>
      <c r="X317" s="23"/>
      <c r="Y317" s="356" t="str">
        <f>IF(E312="","",INDEX(EUwideConstants!$P$153:$P$180,MATCH(T317,EUwideConstants!$S$153:$S$180,0)))</f>
        <v/>
      </c>
      <c r="Z317" s="357" t="str">
        <f>IF(ISBLANK(F317),"",IF(F317=EUconst_NA,"",INDEX(EUwideConstants!$H:$O,MATCH(T317,EUwideConstants!$S:$S,0),MATCH(F317,CNTR_TierList,0))))</f>
        <v/>
      </c>
      <c r="AA317" s="358" t="s">
        <v>111</v>
      </c>
      <c r="AB317" s="342"/>
      <c r="AC317" s="339" t="b">
        <f>E311&lt;&gt;""</f>
        <v>0</v>
      </c>
      <c r="AD317" s="325"/>
      <c r="AE317" s="359" t="str">
        <f>EUconst_CNTR_ActivityData&amp;EUconst_Unit</f>
        <v>ActivityData_Yksikkö</v>
      </c>
      <c r="AF317" s="360" t="str">
        <f>IF(AC317=TRUE, IF(COUNTIF(MSPara_SourceStreamCategory,V317)=0,"",INDEX(MSPara_CalcFactorsMatrix,MATCH(V317,MSPara_SourceStreamCategory,0),MATCH(AE317&amp;"_"&amp;2,MSPara_CalcFactors,0))),"")</f>
        <v/>
      </c>
      <c r="AG317" s="361" t="str">
        <f>IF(AC317=TRUE, IF(COUNTIF(MSPara_SourceStreamCategory,V317)=0,"",INDEX(MSPara_CalcFactorsMatrix,MATCH(V317,MSPara_SourceStreamCategory,0),MATCH(AE317&amp;"_"&amp;1,MSPara_CalcFactors,0))),"")</f>
        <v/>
      </c>
      <c r="AH317" s="339" t="str">
        <f>IF(OR(AF317="",AF317=EUconst_NA),IF(OR(AG317=EUconst_NA,AG317=""),"",AG317),AF317)</f>
        <v/>
      </c>
      <c r="AI317" s="356" t="str">
        <f>IF(AC317=TRUE,IF(AH317="",EUconst_t,AH317),"")</f>
        <v/>
      </c>
      <c r="AJ317" s="362" t="str">
        <f>IF(J317="",AI317,J317)</f>
        <v/>
      </c>
      <c r="AK317" s="363" t="b">
        <f>AND(E311&lt;&gt;"",J317&lt;&gt;"")</f>
        <v>0</v>
      </c>
      <c r="AL317" s="337"/>
      <c r="AM317" s="404" t="s">
        <v>122</v>
      </c>
      <c r="AN317" s="403" t="str">
        <f>AJ317</f>
        <v/>
      </c>
      <c r="AO317" s="337"/>
      <c r="AP317" s="337"/>
      <c r="AQ317" s="355" t="str">
        <f>EUconst_CNTR_ActivityData&amp;EUconst_Value</f>
        <v>ActivityData_Arvo</v>
      </c>
      <c r="AR317" s="343"/>
      <c r="AS317" s="343"/>
      <c r="AT317" s="339" t="b">
        <f>AND(AND(AH317&lt;&gt;"",AJ317&lt;&gt;""),AJ317=AH317)</f>
        <v>0</v>
      </c>
      <c r="AU317" s="325"/>
      <c r="AV317" s="339">
        <f>IF(Y317=EUconst_NA,0,IF(COUNT(K317:K317)=0,0,IF(K317="",#REF!,K317)))</f>
        <v>0</v>
      </c>
      <c r="AW317" s="346" t="b">
        <f>AND(AC317=TRUE,OR(K317&lt;&gt;"",AU317=""))</f>
        <v>0</v>
      </c>
      <c r="AX317" s="346" t="b">
        <f>AND(AC317=TRUE,NOT(AW317))</f>
        <v>0</v>
      </c>
      <c r="AY317" s="325"/>
      <c r="AZ317" s="325" t="s">
        <v>123</v>
      </c>
      <c r="BA317" s="325" t="s">
        <v>124</v>
      </c>
      <c r="BB317" s="346"/>
      <c r="BC317" s="325" t="s">
        <v>125</v>
      </c>
      <c r="BD317" s="325"/>
      <c r="BE317" s="325"/>
      <c r="BF317" s="400" t="str">
        <f>Translations!$B$390</f>
        <v>CO2 fossil</v>
      </c>
      <c r="BG317" s="495" t="str">
        <f>IF(COUNTIF(AO320:AO321,TRUE)=0,"",AV317*IF(AO320,1,AV319*AN321)*AV320*(1-AV321)*AV324)</f>
        <v/>
      </c>
      <c r="BH317" s="325"/>
      <c r="BI317" s="325"/>
      <c r="BJ317" s="325"/>
      <c r="BK317" s="325"/>
      <c r="BL317" s="325"/>
      <c r="BM317" s="325"/>
      <c r="BN317" s="325"/>
      <c r="BO317" s="325"/>
      <c r="BP317" s="325"/>
      <c r="BQ317" s="325"/>
      <c r="BR317" s="325"/>
      <c r="BS317" s="325"/>
      <c r="BT317" s="325"/>
      <c r="BU317" s="325"/>
      <c r="BV317" s="325"/>
      <c r="BW317" s="325"/>
      <c r="BX317" s="325"/>
      <c r="BY317" s="325"/>
      <c r="BZ317" s="325"/>
      <c r="CA317" s="325"/>
      <c r="CB317" s="325"/>
      <c r="CC317" s="325"/>
      <c r="CD317" s="325"/>
      <c r="CE317" s="325"/>
      <c r="CF317" s="325"/>
      <c r="CG317" s="346" t="b">
        <v>0</v>
      </c>
    </row>
    <row r="318" spans="1:85" ht="5.15" customHeight="1" thickBot="1" x14ac:dyDescent="0.3">
      <c r="A318" s="318"/>
      <c r="B318" s="21"/>
      <c r="C318" s="344"/>
      <c r="D318" s="188"/>
      <c r="E318" s="22"/>
      <c r="F318" s="22"/>
      <c r="G318" s="22"/>
      <c r="H318" s="22" t="str">
        <f>Translations!$B$397</f>
        <v xml:space="preserve"> </v>
      </c>
      <c r="I318" s="364"/>
      <c r="J318" s="364"/>
      <c r="K318" s="22"/>
      <c r="L318" s="22"/>
      <c r="M318" s="487"/>
      <c r="N318" s="22"/>
      <c r="O318" s="323"/>
      <c r="P318" s="301"/>
      <c r="Q318" s="23"/>
      <c r="R318" s="23"/>
      <c r="S318" s="325"/>
      <c r="T318" s="277"/>
      <c r="U318" s="23"/>
      <c r="V318" s="325"/>
      <c r="W318" s="325"/>
      <c r="X318" s="23"/>
      <c r="Y318" s="330"/>
      <c r="Z318" s="325"/>
      <c r="AA318" s="325"/>
      <c r="AB318" s="325"/>
      <c r="AC318" s="325"/>
      <c r="AD318" s="325"/>
      <c r="AE318" s="325"/>
      <c r="AF318" s="325"/>
      <c r="AG318" s="325"/>
      <c r="AH318" s="325"/>
      <c r="AI318" s="325"/>
      <c r="AJ318" s="325"/>
      <c r="AK318" s="325"/>
      <c r="AL318" s="337"/>
      <c r="AM318" s="337"/>
      <c r="AN318" s="337"/>
      <c r="AO318" s="337"/>
      <c r="AP318" s="337"/>
      <c r="AQ318" s="325"/>
      <c r="AR318" s="325"/>
      <c r="AS318" s="325"/>
      <c r="AT318" s="325"/>
      <c r="AU318" s="325"/>
      <c r="AV318" s="325"/>
      <c r="AW318" s="325"/>
      <c r="AX318" s="325"/>
      <c r="AY318" s="325"/>
      <c r="AZ318" s="325"/>
      <c r="BA318" s="325"/>
      <c r="BB318" s="325"/>
      <c r="BC318" s="325"/>
      <c r="BD318" s="325"/>
      <c r="BE318" s="325"/>
      <c r="BF318" s="325"/>
      <c r="BG318" s="496"/>
      <c r="BH318" s="325"/>
      <c r="BI318" s="325"/>
      <c r="BJ318" s="325"/>
      <c r="BK318" s="325"/>
      <c r="BL318" s="325"/>
      <c r="BM318" s="325"/>
      <c r="BN318" s="325"/>
      <c r="BO318" s="325"/>
      <c r="BP318" s="325"/>
      <c r="BQ318" s="325"/>
      <c r="BR318" s="325"/>
      <c r="BS318" s="325"/>
      <c r="BT318" s="325"/>
      <c r="BU318" s="325"/>
      <c r="BV318" s="325"/>
      <c r="BW318" s="325"/>
      <c r="BX318" s="325"/>
      <c r="BY318" s="325"/>
      <c r="BZ318" s="325"/>
      <c r="CA318" s="325"/>
      <c r="CB318" s="325"/>
      <c r="CC318" s="325"/>
      <c r="CD318" s="325"/>
      <c r="CE318" s="325"/>
      <c r="CF318" s="325"/>
      <c r="CG318" s="330"/>
    </row>
    <row r="319" spans="1:85" ht="12.75" customHeight="1" thickBot="1" x14ac:dyDescent="0.3">
      <c r="A319" s="318"/>
      <c r="B319" s="21"/>
      <c r="C319" s="344"/>
      <c r="D319" s="345" t="str">
        <f>Translations!$B$360</f>
        <v>Yksikön muuntokerroin:</v>
      </c>
      <c r="E319" s="350"/>
      <c r="F319" s="443"/>
      <c r="G319" s="1120" t="str">
        <f>IF(OR(ISBLANK(F319),F319=EUconst_NoTier),"",IF(Z319=0,EUconst_NotApplicable,IF(ISERROR(Z319),"",Z319)))</f>
        <v/>
      </c>
      <c r="H319" s="1122"/>
      <c r="I319" s="444" t="str">
        <f>IF(J319&lt;&gt;"","",AI319)</f>
        <v/>
      </c>
      <c r="J319" s="445"/>
      <c r="K319" s="632" t="str">
        <f>IF(L319="",AU319,"")</f>
        <v/>
      </c>
      <c r="L319" s="633"/>
      <c r="M319" s="486" t="str">
        <f>IF(AND(E312&lt;&gt;"",OR(F319="",COUNT(K319:L319)=0),Y319&lt;&gt;EUconst_NA),EUconst_ERR_Incomplete,IF(COUNTIF(BB319:BD319,TRUE)&gt;0,EUconst_ERR_Inconsistent,""))</f>
        <v/>
      </c>
      <c r="N319" s="752"/>
      <c r="O319" s="323"/>
      <c r="P319" s="301"/>
      <c r="Q319" s="23"/>
      <c r="R319" s="23"/>
      <c r="S319" s="325"/>
      <c r="T319" s="365" t="str">
        <f>EUconst_CNTR_UCF&amp;E312</f>
        <v>UCF_</v>
      </c>
      <c r="U319" s="23"/>
      <c r="V319" s="366" t="str">
        <f>V320</f>
        <v/>
      </c>
      <c r="W319" s="325"/>
      <c r="X319" s="23"/>
      <c r="Y319" s="448" t="str">
        <f>IF(E312="","",IF(OR(F319=EUconst_NA,W319=TRUE),EUconst_NA,INDEX(EUwideConstants!$P$153:$P$180,MATCH(T319,EUwideConstants!$S$153:$S$180,0))))</f>
        <v/>
      </c>
      <c r="Z319" s="471" t="str">
        <f>IF(ISBLANK(F319),"",IF(F319=EUconst_NA,"",INDEX(EUwideConstants!$H:$O,MATCH(T319,EUwideConstants!$S:$S,0),MATCH(F319,CNTR_TierList,0))))</f>
        <v/>
      </c>
      <c r="AA319" s="449" t="str">
        <f>IF(COUNTIF(EUconst_DefaultValues,Z319)&gt;0,MATCH(Z319,EUconst_DefaultValues,0),"")</f>
        <v/>
      </c>
      <c r="AB319" s="325"/>
      <c r="AC319" s="367" t="b">
        <f>AND(AC317,Y319&lt;&gt;EUconst_NA)</f>
        <v>0</v>
      </c>
      <c r="AD319" s="325"/>
      <c r="AE319" s="359" t="str">
        <f>EUconst_CNTR_UCF&amp;EUconst_Unit</f>
        <v>UCF_Yksikkö</v>
      </c>
      <c r="AF319" s="368" t="str">
        <f>IF(AC319=TRUE, IF(COUNTIF(MSPara_SourceStreamCategory,V319)=0,"",INDEX(MSPara_CalcFactorsMatrix,MATCH(V319,MSPara_SourceStreamCategory,0),MATCH(AE319&amp;"_"&amp;2,MSPara_CalcFactors,0))),"")</f>
        <v/>
      </c>
      <c r="AG319" s="372" t="str">
        <f>IF(AC319=TRUE, IF(COUNTIF(MSPara_SourceStreamCategory,V319)=0,"",INDEX(MSPara_CalcFactorsMatrix,MATCH(V319,MSPara_SourceStreamCategory,0),MATCH(AE319&amp;"_"&amp;1,MSPara_CalcFactors,0))),"")</f>
        <v/>
      </c>
      <c r="AH319" s="367" t="str">
        <f>IF(AA319="","",INDEX(AF319:AG319,3-AA319))</f>
        <v/>
      </c>
      <c r="AI319" s="367" t="str">
        <f>IF(AC319=TRUE,IF(OR(AH319="",AH319=EUconst_NA),EUconst_GJ&amp;"/"&amp;AJ317,AH319),"")</f>
        <v/>
      </c>
      <c r="AJ319" s="367" t="str">
        <f>IF(J319="",AI319,J319)</f>
        <v/>
      </c>
      <c r="AK319" s="366" t="b">
        <f>AND(E311&lt;&gt;"",J319&lt;&gt;"")</f>
        <v>0</v>
      </c>
      <c r="AL319" s="337"/>
      <c r="AM319" s="404" t="s">
        <v>127</v>
      </c>
      <c r="AN319" s="403" t="str">
        <f>IF(AJ319="",EUconst_NA,IF(AN317=EUconst_TJ,EUconst_TJ,INDEX(EUwideConstants!$C$124:$G$128,MATCH(AN317,RFAUnits,0),MATCH(AJ319,UCFUnits,0))))</f>
        <v>ei sovellettavissa</v>
      </c>
      <c r="AO319" s="337"/>
      <c r="AP319" s="337"/>
      <c r="AQ319" s="454" t="str">
        <f>EUconst_CNTR_UCF&amp;EUconst_Value</f>
        <v>UCF_Arvo</v>
      </c>
      <c r="AR319" s="475" t="str">
        <f>IF(AC319=TRUE,IF(COUNTIF(MSPara_SourceStreamCategory,V319)=0,"",INDEX(MSPara_CalcFactorsMatrix,MATCH(V319,MSPara_SourceStreamCategory,0),MATCH(AQ319&amp;"_"&amp;2,MSPara_CalcFactors,0))),"")</f>
        <v/>
      </c>
      <c r="AS319" s="371" t="str">
        <f>IF(AC319=TRUE,IF(COUNTIF(MSPara_SourceStreamCategory,V319)=0,"",INDEX(MSPara_CalcFactorsMatrix,MATCH(V319,MSPara_SourceStreamCategory,0),MATCH(AQ319&amp;"_"&amp;1,MSPara_CalcFactors,0))),"")</f>
        <v/>
      </c>
      <c r="AT319" s="369" t="b">
        <f>AND(AND(AH319&lt;&gt;"",AJ319&lt;&gt;""),AJ319=AH319)</f>
        <v>0</v>
      </c>
      <c r="AU319" s="381" t="str">
        <f>IF(AND(AA319&lt;&gt;"",AT319=TRUE),IF(OR(INDEX(AR319:AS319,3-AA319)=EUconst_NA,INDEX(AR319:AS319,3-AA319)=0),"",INDEX(AR319:AS319,3-AA319)),"")</f>
        <v/>
      </c>
      <c r="AV319" s="367">
        <f>IF(AC319=TRUE,IF(COUNT(K319:L319)=0,0,IF(L319="",K319,L319)),0)</f>
        <v>0</v>
      </c>
      <c r="AW319" s="366" t="b">
        <f>AND(AC319=TRUE,OR(AND(F319&lt;&gt;"",NOT(ISNUMBER(AA319))),L319&lt;&gt;"",F319="",AU319=""))</f>
        <v>0</v>
      </c>
      <c r="AX319" s="370" t="b">
        <f>AND(AC319=TRUE,NOT(AW319))</f>
        <v>0</v>
      </c>
      <c r="AY319" s="325"/>
      <c r="AZ319" s="373" t="b">
        <f>AND(ISNUMBER(AA319),AU319="")</f>
        <v>0</v>
      </c>
      <c r="BA319" s="399" t="b">
        <f>AND(ISNUMBER(AA319),AU319&lt;&gt;AV319)</f>
        <v>0</v>
      </c>
      <c r="BB319" s="366" t="b">
        <f>AND(E312&lt;&gt;"",F319&lt;&gt;EUconst_NA,AN319=EUconst_NA)</f>
        <v>0</v>
      </c>
      <c r="BC319" s="366" t="b">
        <f>AND(L319&lt;&gt;"",Y319=EUconst_NA)</f>
        <v>0</v>
      </c>
      <c r="BD319" s="325"/>
      <c r="BE319" s="325"/>
      <c r="BF319" s="373" t="s">
        <v>128</v>
      </c>
      <c r="BG319" s="497" t="str">
        <f>IF(COUNTIF(AO320:AO321,TRUE)=0,"",AV317*IF(AO320,1,AV319*AN321)*AV320*AV321*AV324)</f>
        <v/>
      </c>
      <c r="BH319" s="325"/>
      <c r="BI319" s="325"/>
      <c r="BJ319" s="325"/>
      <c r="BK319" s="325"/>
      <c r="BL319" s="325"/>
      <c r="BM319" s="325"/>
      <c r="BN319" s="325"/>
      <c r="BO319" s="325"/>
      <c r="BP319" s="325"/>
      <c r="BQ319" s="325"/>
      <c r="BR319" s="325"/>
      <c r="BS319" s="325"/>
      <c r="BT319" s="325"/>
      <c r="BU319" s="325"/>
      <c r="BV319" s="325"/>
      <c r="BW319" s="325"/>
      <c r="BX319" s="325"/>
      <c r="BY319" s="325"/>
      <c r="BZ319" s="325"/>
      <c r="CA319" s="325"/>
      <c r="CB319" s="325"/>
      <c r="CC319" s="325"/>
      <c r="CD319" s="325"/>
      <c r="CE319" s="325"/>
      <c r="CF319" s="325"/>
      <c r="CG319" s="375" t="b">
        <f>OR(CG317,Y319=EUconst_NA)</f>
        <v>0</v>
      </c>
    </row>
    <row r="320" spans="1:85" ht="12.75" customHeight="1" thickBot="1" x14ac:dyDescent="0.3">
      <c r="A320" s="318"/>
      <c r="B320" s="21"/>
      <c r="C320" s="344"/>
      <c r="D320" s="345" t="str">
        <f>Translations!$B$358</f>
        <v>Päästökerroin (alustava):</v>
      </c>
      <c r="E320" s="350"/>
      <c r="F320" s="624"/>
      <c r="G320" s="1120" t="str">
        <f>IF(OR(ISBLANK(F320),F320=EUconst_NoTier),"",IF(Z320=0,EUconst_NotApplicable,IF(ISERROR(Z320),"",Z320)))</f>
        <v/>
      </c>
      <c r="H320" s="1121"/>
      <c r="I320" s="625" t="str">
        <f>IF(J320&lt;&gt;"","",AI320)</f>
        <v/>
      </c>
      <c r="J320" s="631"/>
      <c r="K320" s="634" t="str">
        <f>IF(L320="",AU320,"")</f>
        <v/>
      </c>
      <c r="L320" s="754"/>
      <c r="M320" s="486" t="str">
        <f>IF(AND(E312&lt;&gt;"",OR(F320="",COUNT(K320:L320)=0),Y320&lt;&gt;EUconst_NA),EUconst_ERR_Incomplete,IF(COUNTIF(BB320:BD320,TRUE)&gt;0,EUconst_ERR_Inconsistent,""))</f>
        <v/>
      </c>
      <c r="N320" s="753"/>
      <c r="O320" s="323"/>
      <c r="P320" s="301"/>
      <c r="Q320" s="23"/>
      <c r="R320" s="23"/>
      <c r="S320" s="325"/>
      <c r="T320" s="374" t="str">
        <f>EUconst_CNTR_EF&amp;E312</f>
        <v>EF_</v>
      </c>
      <c r="U320" s="23"/>
      <c r="V320" s="375" t="str">
        <f>V317</f>
        <v/>
      </c>
      <c r="W320" s="325"/>
      <c r="X320" s="23"/>
      <c r="Y320" s="450" t="str">
        <f>IF(E312="","",IF(OR(F320=EUconst_NA,W320=TRUE),EUconst_NA,INDEX(EUwideConstants!$P$153:$P$180,MATCH(T320,EUwideConstants!$S$153:$S$180,0))))</f>
        <v/>
      </c>
      <c r="Z320" s="472" t="str">
        <f>IF(ISBLANK(F320),"",IF(F320=EUconst_NA,"",INDEX(EUwideConstants!$H:$O,MATCH(T320,EUwideConstants!$S:$S,0),MATCH(F320,CNTR_TierList,0))))</f>
        <v/>
      </c>
      <c r="AA320" s="451" t="str">
        <f>IF(COUNTIF(EUconst_DefaultValues,Z320)&gt;0,MATCH(Z320,EUconst_DefaultValues,0),"")</f>
        <v/>
      </c>
      <c r="AB320" s="325"/>
      <c r="AC320" s="376" t="b">
        <f>AND(AC317,Y320&lt;&gt;EUconst_NA)</f>
        <v>0</v>
      </c>
      <c r="AD320" s="325"/>
      <c r="AE320" s="377" t="str">
        <f>EUconst_CNTR_EF&amp;EUconst_Unit</f>
        <v>EF_Yksikkö</v>
      </c>
      <c r="AF320" s="378" t="str">
        <f>IF(AC320=TRUE, IF(COUNTIF(MSPara_SourceStreamCategory,V320)=0,"",INDEX(MSPara_CalcFactorsMatrix,MATCH(V320,MSPara_SourceStreamCategory,0),MATCH(AE320&amp;"_"&amp;2,MSPara_CalcFactors,0))),"")</f>
        <v/>
      </c>
      <c r="AG320" s="464" t="str">
        <f>IF(AC320=TRUE, IF(COUNTIF(MSPara_SourceStreamCategory,V320)=0,"",INDEX(MSPara_CalcFactorsMatrix,MATCH(V320,MSPara_SourceStreamCategory,0),MATCH(AE320&amp;"_"&amp;1,MSPara_CalcFactors,0))),"")</f>
        <v/>
      </c>
      <c r="AH320" s="376" t="str">
        <f>IF(AA320="","",INDEX(AF320:AG320,3-AA320))</f>
        <v/>
      </c>
      <c r="AI320" s="376" t="str">
        <f>IF(AC320=TRUE,IF(OR(AH320="",AH320=EUconst_NA),EUconst_tCO2&amp;"/"&amp;IF(AN319=EUconst_NA,AN317,IF(AN319=EUconst_GJ,EUconst_TJ,AN319)),AH320),"")</f>
        <v/>
      </c>
      <c r="AJ320" s="376" t="str">
        <f>IF(J320="",AI320,J320)</f>
        <v/>
      </c>
      <c r="AK320" s="375" t="b">
        <f>AND(E312&lt;&gt;"",J320&lt;&gt;"")</f>
        <v>0</v>
      </c>
      <c r="AL320" s="337"/>
      <c r="AM320" s="404" t="s">
        <v>130</v>
      </c>
      <c r="AN320" s="403" t="str">
        <f>IF(COUNTIF(RFAUnits,AN317)=0,EUconst_NA,INDEX(EUwideConstants!$C$139:$H$143,MATCH(AJ320,EFUnits,0),MATCH(AN317,EUwideConstants!$C$138:$H$138,0)))</f>
        <v>ei sovellettavissa</v>
      </c>
      <c r="AO320" s="403" t="b">
        <f>AN320&lt;&gt;EUconst_NA</f>
        <v>0</v>
      </c>
      <c r="AP320" s="337"/>
      <c r="AQ320" s="455" t="str">
        <f>EUconst_CNTR_EF&amp;EUconst_Value</f>
        <v>EF_Arvo</v>
      </c>
      <c r="AR320" s="476" t="str">
        <f>IF(AC320=TRUE,IF(COUNTIF(MSPara_SourceStreamCategory,V320)=0,"",INDEX(MSPara_CalcFactorsMatrix,MATCH(V320,MSPara_SourceStreamCategory,0),MATCH(AQ320&amp;"_"&amp;2,MSPara_CalcFactors,0))),"")</f>
        <v/>
      </c>
      <c r="AS320" s="383" t="str">
        <f>IF(AC320=TRUE,IF(COUNTIF(MSPara_SourceStreamCategory,V320)=0,"",INDEX(MSPara_CalcFactorsMatrix,MATCH(V320,MSPara_SourceStreamCategory,0),MATCH(AQ320&amp;"_"&amp;1,MSPara_CalcFactors,0))),"")</f>
        <v/>
      </c>
      <c r="AT320" s="456" t="b">
        <f>AND(AND(AH320&lt;&gt;"",AJ320&lt;&gt;""),AJ320=AH320)</f>
        <v>0</v>
      </c>
      <c r="AU320" s="334" t="str">
        <f>IF(AND(AA320&lt;&gt;"",AT320=TRUE),IF(OR(INDEX(AR320:AS320,3-AA320)=EUconst_NA,INDEX(AR320:AS320,3-AA320)=0),"",INDEX(AR320:AS320,3-AA320)),"")</f>
        <v/>
      </c>
      <c r="AV320" s="376">
        <f>IF(AC320=TRUE,IF(COUNT(K320:L320)=0,0,IF(L320="",K320,L320)),0)</f>
        <v>0</v>
      </c>
      <c r="AW320" s="375" t="b">
        <f>AND(AC320=TRUE,OR(AND(F320&lt;&gt;"",NOT(ISNUMBER(AA320))),L320&lt;&gt;"",F320="",AU320=""))</f>
        <v>0</v>
      </c>
      <c r="AX320" s="457" t="b">
        <f>AND(AC320=TRUE,NOT(AW320))</f>
        <v>0</v>
      </c>
      <c r="AY320" s="325"/>
      <c r="AZ320" s="379" t="b">
        <f>AND(ISNUMBER(AA320),AU320="")</f>
        <v>0</v>
      </c>
      <c r="BA320" s="380" t="b">
        <f>AND(ISNUMBER(AA320),AU320&lt;&gt;AV320)</f>
        <v>0</v>
      </c>
      <c r="BB320" s="382" t="b">
        <f>AND(E312&lt;&gt;"",COUNTIF(AO320:AO321,TRUE)=0)</f>
        <v>0</v>
      </c>
      <c r="BC320" s="375" t="b">
        <f>AND(L320&lt;&gt;"",Y320=EUconst_NA)</f>
        <v>0</v>
      </c>
      <c r="BD320" s="325"/>
      <c r="BE320" s="325"/>
      <c r="BF320" s="379" t="s">
        <v>131</v>
      </c>
      <c r="BG320" s="498" t="str">
        <f>IF(COUNTIF(AO320:AO321,TRUE)=0,"",AV317*IF(AO320,1,AV319*AN321)*AV320*AV322*AV324)</f>
        <v/>
      </c>
      <c r="BH320" s="325"/>
      <c r="BI320" s="325"/>
      <c r="BJ320" s="325"/>
      <c r="BK320" s="325"/>
      <c r="BL320" s="325"/>
      <c r="BM320" s="325"/>
      <c r="BN320" s="325"/>
      <c r="BO320" s="325"/>
      <c r="BP320" s="325"/>
      <c r="BQ320" s="325"/>
      <c r="BR320" s="325"/>
      <c r="BS320" s="325"/>
      <c r="BT320" s="325"/>
      <c r="BU320" s="325"/>
      <c r="BV320" s="325"/>
      <c r="BW320" s="325"/>
      <c r="BX320" s="325"/>
      <c r="BY320" s="325"/>
      <c r="BZ320" s="325"/>
      <c r="CA320" s="325"/>
      <c r="CB320" s="325"/>
      <c r="CC320" s="325"/>
      <c r="CD320" s="325"/>
      <c r="CE320" s="325"/>
      <c r="CF320" s="325"/>
      <c r="CG320" s="366" t="b">
        <f>OR(CG317,Y320=EUconst_NA)</f>
        <v>0</v>
      </c>
    </row>
    <row r="321" spans="1:85" ht="12.75" customHeight="1" x14ac:dyDescent="0.25">
      <c r="A321" s="318"/>
      <c r="B321" s="21"/>
      <c r="C321" s="344"/>
      <c r="D321" s="345" t="str">
        <f>Translations!$B$362</f>
        <v>Biomassaosuus:</v>
      </c>
      <c r="E321" s="350"/>
      <c r="F321" s="624"/>
      <c r="G321" s="1120" t="str">
        <f>IF(OR(ISBLANK(F321),F321=EUconst_NoTier),"",IF(Z321=0,EUconst_NotApplicable,IF(ISERROR(Z321),"",Z321)))</f>
        <v/>
      </c>
      <c r="H321" s="1122"/>
      <c r="I321" s="626" t="str">
        <f>IF(OR(AC321=FALSE,Y321=EUconst_NA),"","-")</f>
        <v/>
      </c>
      <c r="J321" s="446"/>
      <c r="K321" s="635" t="str">
        <f>IF(L321="",AU321,"")</f>
        <v/>
      </c>
      <c r="L321" s="627"/>
      <c r="M321" s="486" t="str">
        <f>IF(AND(E312&lt;&gt;"",OR(F321="",COUNT(K321:L321)=0),Y321&lt;&gt;EUconst_NA),EUconst_ERR_Incomplete,IF(COUNTIF(BB321:BD321,TRUE)&gt;0,EUconst_ERR_Inconsistent,""))</f>
        <v/>
      </c>
      <c r="O321" s="323"/>
      <c r="P321" s="612"/>
      <c r="Q321" s="354"/>
      <c r="R321" s="354"/>
      <c r="S321" s="325"/>
      <c r="T321" s="374" t="str">
        <f>EUconst_CNTR_BiomassContent&amp;E312</f>
        <v>BioC_</v>
      </c>
      <c r="U321" s="23"/>
      <c r="V321" s="375" t="str">
        <f>V319</f>
        <v/>
      </c>
      <c r="W321" s="366" t="e">
        <f>IF(COUNTIF(MSPara_SourceStreamCategory,V321)=0,"",INDEX(MSPara_IsFossil,MATCH(V321,MSPara_SourceStreamCategory,0)))</f>
        <v>#N/A</v>
      </c>
      <c r="X321" s="23"/>
      <c r="Y321" s="450" t="str">
        <f>IF(E312="","",IF(OR(F321=EUconst_NA,W321=TRUE),EUconst_NA,INDEX(EUwideConstants!$P$153:$P$180,MATCH(T321,EUwideConstants!$S$153:$S$180,0))))</f>
        <v/>
      </c>
      <c r="Z321" s="472" t="str">
        <f>IF(ISBLANK(F321),"",IF(F321=EUconst_NA,"",INDEX(EUwideConstants!$H:$O,MATCH(T321,EUwideConstants!$S:$S,0),MATCH(F321,CNTR_TierList,0))))</f>
        <v/>
      </c>
      <c r="AA321" s="681" t="str">
        <f>IF(F321=1,1,"")</f>
        <v/>
      </c>
      <c r="AB321" s="325"/>
      <c r="AC321" s="376" t="b">
        <f>AND(AC317,Y321&lt;&gt;EUconst_NA)</f>
        <v>0</v>
      </c>
      <c r="AD321" s="325"/>
      <c r="AE321" s="462"/>
      <c r="AF321" s="460"/>
      <c r="AG321" s="465"/>
      <c r="AH321" s="467"/>
      <c r="AI321" s="467"/>
      <c r="AJ321" s="467"/>
      <c r="AK321" s="469"/>
      <c r="AL321" s="337"/>
      <c r="AM321" s="404" t="s">
        <v>132</v>
      </c>
      <c r="AN321" s="403" t="str">
        <f>IF(AN319=EUconst_NA,EUconst_NA,INDEX(EUwideConstants!$C$139:$H$143,MATCH(AJ320,EFUnits,0),MATCH(AN319,EUwideConstants!$C$138:$H$138,0)))</f>
        <v>ei sovellettavissa</v>
      </c>
      <c r="AO321" s="403" t="b">
        <f>AN321&lt;&gt;EUconst_NA</f>
        <v>0</v>
      </c>
      <c r="AP321" s="337"/>
      <c r="AQ321" s="455" t="str">
        <f>EUconst_CNTR_BiomassContent&amp;EUconst_Value</f>
        <v>BioC_Arvo</v>
      </c>
      <c r="AR321" s="462"/>
      <c r="AS321" s="383" t="str">
        <f>IF(AC321=TRUE,IF(COUNTIF(MSPara_SourceStreamCategory,V321)=0,"",INDEX(MSPara_CalcFactorsMatrix,MATCH(V321,MSPara_SourceStreamCategory,0),MATCH(AQ321&amp;"_"&amp;2,MSPara_CalcFactors,0))),"")</f>
        <v/>
      </c>
      <c r="AT321" s="458"/>
      <c r="AU321" s="334" t="str">
        <f>IF(OR(AA321="",AS321=EUconst_NA),"",AS321)</f>
        <v/>
      </c>
      <c r="AV321" s="376">
        <f>IF(AC321=TRUE,IF(COUNT(K321:L321)=0,0,IF(L321="",K321,L321)),0)</f>
        <v>0</v>
      </c>
      <c r="AW321" s="375" t="b">
        <f>AND(AC321=TRUE,OR(AND(F321&lt;&gt;"",NOT(ISNUMBER(AA321))),L321&lt;&gt;"",F321="",AU321=""))</f>
        <v>0</v>
      </c>
      <c r="AX321" s="457" t="b">
        <f>AND(AC321=TRUE,NOT(AW321))</f>
        <v>0</v>
      </c>
      <c r="AY321" s="325"/>
      <c r="AZ321" s="379" t="b">
        <f>AND(ISNUMBER(AA321),AU321="")</f>
        <v>0</v>
      </c>
      <c r="BA321" s="380" t="b">
        <f>AND(ISNUMBER(AA321),AU321&lt;&gt;AV321)</f>
        <v>0</v>
      </c>
      <c r="BB321" s="325"/>
      <c r="BC321" s="375" t="b">
        <f>AND(L321&lt;&gt;"",Y321=EUconst_NA)</f>
        <v>0</v>
      </c>
      <c r="BD321" s="366" t="b">
        <f>OR(AV321&gt;100%,(AV321+AV322)&gt;100%)</f>
        <v>0</v>
      </c>
      <c r="BE321" s="325"/>
      <c r="BF321" s="379" t="s">
        <v>133</v>
      </c>
      <c r="BG321" s="498" t="str">
        <f>IF(AN317=EUconst_TJ,AV317*(1-AV321),IF(AN319=EUconst_GJ,AV317*AV319/1000*(1-AV321),""))</f>
        <v/>
      </c>
      <c r="BH321" s="325"/>
      <c r="BI321" s="325"/>
      <c r="BJ321" s="325"/>
      <c r="BK321" s="325"/>
      <c r="BL321" s="325"/>
      <c r="BM321" s="325"/>
      <c r="BN321" s="325"/>
      <c r="BO321" s="325"/>
      <c r="BP321" s="325"/>
      <c r="BQ321" s="325"/>
      <c r="BR321" s="325"/>
      <c r="BS321" s="325"/>
      <c r="BT321" s="325"/>
      <c r="BU321" s="325"/>
      <c r="BV321" s="325"/>
      <c r="BW321" s="325"/>
      <c r="BX321" s="325"/>
      <c r="BY321" s="325"/>
      <c r="BZ321" s="325"/>
      <c r="CA321" s="325"/>
      <c r="CB321" s="325"/>
      <c r="CC321" s="325"/>
      <c r="CD321" s="325"/>
      <c r="CE321" s="325"/>
      <c r="CF321" s="325"/>
      <c r="CG321" s="375" t="b">
        <f>OR(CG317,Y321=EUconst_NA)</f>
        <v>0</v>
      </c>
    </row>
    <row r="322" spans="1:85" ht="12.75" customHeight="1" thickBot="1" x14ac:dyDescent="0.3">
      <c r="A322" s="318"/>
      <c r="B322" s="21"/>
      <c r="C322" s="344"/>
      <c r="D322" s="345" t="str">
        <f>Translations!$B$368</f>
        <v>Ei kestävä biomassaosuus:</v>
      </c>
      <c r="E322" s="350"/>
      <c r="F322" s="628"/>
      <c r="G322" s="1120" t="str">
        <f>IF(OR(ISBLANK(F322),F322=EUconst_NoTier),"",IF(Z322=0,EUconst_NotApplicable,IF(ISERROR(Z322),"",Z322)))</f>
        <v/>
      </c>
      <c r="H322" s="1122"/>
      <c r="I322" s="629" t="str">
        <f>IF(OR(AC322=FALSE,Y322=EUconst_NA),"","-")</f>
        <v/>
      </c>
      <c r="J322" s="447"/>
      <c r="K322" s="636" t="str">
        <f>IF(L322="",AU322,"")</f>
        <v/>
      </c>
      <c r="L322" s="630"/>
      <c r="M322" s="486" t="str">
        <f>IF(AND(E312&lt;&gt;"",OR(F322="",COUNT(K322:L322)=0),Y322&lt;&gt;EUconst_NA),EUconst_ERR_Incomplete,IF(COUNTIF(BB322:BD322,TRUE)&gt;0,EUconst_ERR_Inconsistent,""))</f>
        <v/>
      </c>
      <c r="N322" s="22"/>
      <c r="O322" s="323"/>
      <c r="P322" s="612"/>
      <c r="Q322" s="354"/>
      <c r="R322" s="354"/>
      <c r="S322" s="325"/>
      <c r="T322" s="384" t="str">
        <f>EUconst_CNTR_BiomassContent&amp;E312</f>
        <v>BioC_</v>
      </c>
      <c r="U322" s="23"/>
      <c r="V322" s="382" t="str">
        <f>V321</f>
        <v/>
      </c>
      <c r="W322" s="382" t="e">
        <f>IF(COUNTIF(MSPara_SourceStreamCategory,V322)=0,"",INDEX(MSPara_IsFossil,MATCH(V322,MSPara_SourceStreamCategory,0)))</f>
        <v>#N/A</v>
      </c>
      <c r="X322" s="23"/>
      <c r="Y322" s="452" t="str">
        <f>IF(E312="","",IF(OR(F322=EUconst_NA,W322=TRUE),EUconst_NA,INDEX(EUwideConstants!$P$153:$P$180,MATCH(T322,EUwideConstants!$S$153:$S$180,0))))</f>
        <v/>
      </c>
      <c r="Z322" s="473" t="str">
        <f>IF(ISBLANK(F322),"",IF(F322=EUconst_NA,"",INDEX(EUwideConstants!$H:$O,MATCH(T322,EUwideConstants!$S:$S,0),MATCH(F322,CNTR_TierList,0))))</f>
        <v/>
      </c>
      <c r="AA322" s="682" t="str">
        <f>IF(F322=1,1,"")</f>
        <v/>
      </c>
      <c r="AB322" s="325"/>
      <c r="AC322" s="453" t="b">
        <f>AND(AC317,Y322&lt;&gt;EUconst_NA)</f>
        <v>0</v>
      </c>
      <c r="AD322" s="325"/>
      <c r="AE322" s="463"/>
      <c r="AF322" s="461"/>
      <c r="AG322" s="466"/>
      <c r="AH322" s="468"/>
      <c r="AI322" s="468"/>
      <c r="AJ322" s="468"/>
      <c r="AK322" s="470"/>
      <c r="AL322" s="337"/>
      <c r="AM322" s="337"/>
      <c r="AN322" s="337"/>
      <c r="AO322" s="337"/>
      <c r="AP322" s="337"/>
      <c r="AQ322" s="474" t="str">
        <f>EUconst_CNTR_BiomassContent&amp;EUconst_Value</f>
        <v>BioC_Arvo</v>
      </c>
      <c r="AR322" s="463"/>
      <c r="AS322" s="385" t="str">
        <f>IF(AC322=TRUE,IF(COUNTIF(MSPara_SourceStreamCategory,V322)=0,"",INDEX(MSPara_CalcFactorsMatrix,MATCH(V322,MSPara_SourceStreamCategory,0),MATCH(AQ322&amp;"_"&amp;2,MSPara_CalcFactors,0))),"")</f>
        <v/>
      </c>
      <c r="AT322" s="459"/>
      <c r="AU322" s="477" t="str">
        <f>IF(OR(AA322="",AS322=EUconst_NA),"",AS322)</f>
        <v/>
      </c>
      <c r="AV322" s="453">
        <f>IF(AC322=TRUE,IF(COUNT(K322:L322)=0,0,IF(L322="",K322,L322)),0)</f>
        <v>0</v>
      </c>
      <c r="AW322" s="382" t="b">
        <f>AND(AC322=TRUE,OR(AND(F322&lt;&gt;"",NOT(ISNUMBER(AA322))),L322&lt;&gt;"",F322="",AU322=""))</f>
        <v>0</v>
      </c>
      <c r="AX322" s="478" t="b">
        <f>AND(AC322=TRUE,NOT(AW322))</f>
        <v>0</v>
      </c>
      <c r="AY322" s="325"/>
      <c r="AZ322" s="386" t="b">
        <f>AND(ISNUMBER(AA322),AU322="")</f>
        <v>0</v>
      </c>
      <c r="BA322" s="387" t="b">
        <f>AND(ISNUMBER(AA322),AU322&lt;&gt;AV322)</f>
        <v>0</v>
      </c>
      <c r="BB322" s="325"/>
      <c r="BC322" s="382" t="b">
        <f>AND(L322&lt;&gt;"",Y322=EUconst_NA)</f>
        <v>0</v>
      </c>
      <c r="BD322" s="382" t="b">
        <f>OR(AV321&gt;100%,(AV321+AV322)&gt;100%)</f>
        <v>0</v>
      </c>
      <c r="BE322" s="325"/>
      <c r="BF322" s="386" t="s">
        <v>134</v>
      </c>
      <c r="BG322" s="499" t="str">
        <f>IF(AN317=EUconst_TJ,AV317*AV321,IF(AN319=EUconst_GJ,AV317*AV319/1000*AV321,""))</f>
        <v/>
      </c>
      <c r="BH322" s="325"/>
      <c r="BI322" s="325"/>
      <c r="BJ322" s="325"/>
      <c r="BK322" s="325"/>
      <c r="BL322" s="325"/>
      <c r="BM322" s="325"/>
      <c r="BN322" s="325"/>
      <c r="BO322" s="325"/>
      <c r="BP322" s="325"/>
      <c r="BQ322" s="325"/>
      <c r="BR322" s="325"/>
      <c r="BS322" s="325"/>
      <c r="BT322" s="325"/>
      <c r="BU322" s="325"/>
      <c r="BV322" s="325"/>
      <c r="BW322" s="325"/>
      <c r="BX322" s="325"/>
      <c r="BY322" s="325"/>
      <c r="BZ322" s="325"/>
      <c r="CA322" s="325"/>
      <c r="CB322" s="325"/>
      <c r="CC322" s="325"/>
      <c r="CD322" s="325"/>
      <c r="CE322" s="325"/>
      <c r="CF322" s="325"/>
      <c r="CG322" s="382" t="b">
        <f>OR(CG317,Y322=EUconst_NA)</f>
        <v>0</v>
      </c>
    </row>
    <row r="323" spans="1:85" ht="5.15" customHeight="1" thickBot="1" x14ac:dyDescent="0.3">
      <c r="A323" s="318"/>
      <c r="B323" s="21"/>
      <c r="C323" s="21"/>
      <c r="D323" s="327"/>
      <c r="E323" s="22"/>
      <c r="F323" s="22"/>
      <c r="G323" s="22"/>
      <c r="H323" s="22"/>
      <c r="I323" s="22"/>
      <c r="J323" s="22"/>
      <c r="K323" s="22"/>
      <c r="L323" s="22"/>
      <c r="M323" s="488"/>
      <c r="N323" s="22"/>
      <c r="O323" s="323"/>
      <c r="P323" s="301"/>
      <c r="Q323" s="23"/>
      <c r="R323" s="23"/>
      <c r="S323" s="325"/>
      <c r="T323" s="325"/>
      <c r="U323" s="325"/>
      <c r="V323" s="325"/>
      <c r="W323" s="325"/>
      <c r="X323" s="325"/>
      <c r="Y323" s="325"/>
      <c r="Z323" s="325"/>
      <c r="AA323" s="325"/>
      <c r="AB323" s="325"/>
      <c r="AC323" s="325"/>
      <c r="AD323" s="325"/>
      <c r="AE323" s="325"/>
      <c r="AF323" s="325"/>
      <c r="AG323" s="325"/>
      <c r="AH323" s="325"/>
      <c r="AI323" s="325"/>
      <c r="AJ323" s="325"/>
      <c r="AK323" s="325"/>
      <c r="AL323" s="325"/>
      <c r="AM323" s="325"/>
      <c r="AN323" s="325"/>
      <c r="AO323" s="325"/>
      <c r="AP323" s="325"/>
      <c r="AQ323" s="325"/>
      <c r="AR323" s="325"/>
      <c r="AS323" s="325"/>
      <c r="AT323" s="325"/>
      <c r="AU323" s="325"/>
      <c r="AV323" s="325"/>
      <c r="AW323" s="325"/>
      <c r="AX323" s="325"/>
      <c r="AY323" s="325"/>
      <c r="AZ323" s="325"/>
      <c r="BA323" s="325"/>
      <c r="BB323" s="325"/>
      <c r="BC323" s="325"/>
      <c r="BD323" s="325"/>
      <c r="BE323" s="325"/>
      <c r="BF323" s="325"/>
      <c r="BG323" s="325"/>
      <c r="BH323" s="325"/>
      <c r="BI323" s="325"/>
      <c r="BJ323" s="325"/>
      <c r="BK323" s="325"/>
      <c r="BL323" s="325"/>
      <c r="BM323" s="325"/>
      <c r="BN323" s="325"/>
      <c r="BO323" s="325"/>
      <c r="BP323" s="325"/>
      <c r="BQ323" s="325"/>
      <c r="BR323" s="325"/>
      <c r="BS323" s="325"/>
      <c r="BT323" s="325"/>
      <c r="BU323" s="325"/>
      <c r="BV323" s="325"/>
      <c r="BW323" s="325"/>
      <c r="BX323" s="325"/>
      <c r="BY323" s="325"/>
      <c r="BZ323" s="325"/>
      <c r="CA323" s="325"/>
      <c r="CB323" s="325"/>
      <c r="CC323" s="325"/>
      <c r="CD323" s="325"/>
      <c r="CE323" s="325"/>
      <c r="CF323" s="325"/>
      <c r="CG323" s="325"/>
    </row>
    <row r="324" spans="1:85" ht="12.75" customHeight="1" thickBot="1" x14ac:dyDescent="0.3">
      <c r="A324" s="318"/>
      <c r="B324" s="21"/>
      <c r="C324" s="344"/>
      <c r="D324" s="345" t="str">
        <f>Translations!$B$398</f>
        <v>Soveltamisalakerroin:</v>
      </c>
      <c r="E324" s="479"/>
      <c r="F324" s="803"/>
      <c r="G324" s="1125"/>
      <c r="H324" s="1126"/>
      <c r="I324" s="492" t="s">
        <v>52</v>
      </c>
      <c r="J324" s="480"/>
      <c r="K324" s="481" t="str">
        <f>IF(L324="",AU324,"")</f>
        <v/>
      </c>
      <c r="L324" s="607"/>
      <c r="M324" s="489" t="str">
        <f>IF(AND(E312&lt;&gt;"",OR(F324="",G324="",COUNT(K324:L324)=0)),EUconst_ERR_Incomplete,IF(COUNTIF(BB324:BD324,TRUE)&gt;0,EUconst_ERR_Inconsistent,""))</f>
        <v/>
      </c>
      <c r="N324" s="22"/>
      <c r="O324" s="323"/>
      <c r="P324" s="301"/>
      <c r="Q324" s="23"/>
      <c r="R324" s="325"/>
      <c r="S324" s="10"/>
      <c r="T324" s="48" t="str">
        <f>EUconst_CNTR_ScopeFactor&amp;E312</f>
        <v>ScopeFactor_</v>
      </c>
      <c r="U324" s="248" t="str">
        <f>IF(F324="","",INDEX(ScopeAddress,MATCH(F324,ScopeTiers,0)))</f>
        <v/>
      </c>
      <c r="V324" s="382" t="str">
        <f>V317</f>
        <v/>
      </c>
      <c r="W324" s="325"/>
      <c r="X324" s="325"/>
      <c r="Y324" s="452" t="str">
        <f>IF(E312="","",IF(F324=EUconst_NA,EUconst_NA,INDEX(EUwideConstants!$P$153:$P$180,MATCH(T324,EUwideConstants!$S$153:$S$180,0))))</f>
        <v/>
      </c>
      <c r="Z324" s="473" t="str">
        <f>IF(ISBLANK(F324),"",IF(F324=EUconst_NA,"",INDEX(EUwideConstants!$H:$O,MATCH(T324,EUwideConstants!$S:$S,0),MATCH(F324,CNTR_TierList,0))))</f>
        <v/>
      </c>
      <c r="AA324" s="339" t="str">
        <f>IF(G324=EUwideConstants!$A$88,1,"")</f>
        <v/>
      </c>
      <c r="AB324" s="325"/>
      <c r="AC324" s="376" t="b">
        <f>AND(AC317,Y324&lt;&gt;EUconst_NA)</f>
        <v>0</v>
      </c>
      <c r="AD324" s="325"/>
      <c r="AE324" s="325"/>
      <c r="AF324" s="325"/>
      <c r="AG324" s="330"/>
      <c r="AH324" s="325"/>
      <c r="AI324" s="325"/>
      <c r="AJ324" s="325"/>
      <c r="AK324" s="325"/>
      <c r="AL324" s="325"/>
      <c r="AM324" s="325"/>
      <c r="AN324" s="325"/>
      <c r="AO324" s="325"/>
      <c r="AP324" s="325"/>
      <c r="AQ324" s="325"/>
      <c r="AR324" s="325"/>
      <c r="AS324" s="338">
        <v>1</v>
      </c>
      <c r="AT324" s="325"/>
      <c r="AU324" s="330" t="str">
        <f>IF(G324=EUwideConstants!$A$88,AS324,"")</f>
        <v/>
      </c>
      <c r="AV324" s="376">
        <f>IF(AC324=TRUE,IF(COUNT(K324:L324)=0,0,IF(L324="",K324,L324)),0)</f>
        <v>0</v>
      </c>
      <c r="AW324" s="375" t="b">
        <f>AND(AC324=TRUE,OR(AND(F324&lt;&gt;"",NOT(ISNUMBER(AA324))),L324&lt;&gt;"",F324="",AU324=""))</f>
        <v>0</v>
      </c>
      <c r="AX324" s="457" t="b">
        <f>AND(AC324=TRUE,NOT(AW324))</f>
        <v>0</v>
      </c>
      <c r="AY324" s="325"/>
      <c r="AZ324" s="379" t="b">
        <f>AND(ISNUMBER(AA324),AU324="")</f>
        <v>0</v>
      </c>
      <c r="BA324" s="380" t="b">
        <f>AND(ISNUMBER(AA324),AU324&lt;&gt;AV324)</f>
        <v>0</v>
      </c>
      <c r="BB324" s="325"/>
      <c r="BC324" s="33" t="b">
        <f>AND(F324&lt;&gt;"",OR(COUNTIF(INDEX(ScopeMethods,F324,),G324)=0,AND(AA324&lt;&gt;"",AU324&lt;&gt;AV324)))</f>
        <v>0</v>
      </c>
      <c r="BD324" s="325"/>
      <c r="BE324" s="325"/>
      <c r="BF324" s="325"/>
      <c r="BG324" s="325"/>
      <c r="BH324" s="325"/>
      <c r="BI324" s="325"/>
      <c r="BJ324" s="325"/>
      <c r="BK324" s="325"/>
      <c r="BL324" s="325"/>
      <c r="BM324" s="325"/>
      <c r="BN324" s="325"/>
      <c r="BO324" s="325"/>
      <c r="BP324" s="325"/>
      <c r="BQ324" s="325"/>
      <c r="BR324" s="325"/>
      <c r="BS324" s="325"/>
      <c r="BT324" s="325"/>
      <c r="BU324" s="325"/>
      <c r="BV324" s="325"/>
      <c r="BW324" s="325"/>
      <c r="BX324" s="325"/>
      <c r="BY324" s="325"/>
      <c r="BZ324" s="325"/>
      <c r="CA324" s="325"/>
      <c r="CB324" s="325"/>
      <c r="CC324" s="325"/>
      <c r="CD324" s="325"/>
      <c r="CE324" s="325"/>
      <c r="CF324" s="325"/>
      <c r="CG324" s="325"/>
    </row>
    <row r="325" spans="1:85" ht="12.75" customHeight="1" x14ac:dyDescent="0.25">
      <c r="A325" s="318"/>
      <c r="B325" s="21"/>
      <c r="C325" s="21"/>
      <c r="D325" s="21"/>
      <c r="E325" s="21"/>
      <c r="F325" s="21"/>
      <c r="G325" s="1130" t="str">
        <f>IF(G324="","",INDEX(ScopeMethodsDetails,MATCH(G324,INDEX(ScopeMethodsDetails,,1),0),2))</f>
        <v/>
      </c>
      <c r="H325" s="1131"/>
      <c r="I325" s="1131"/>
      <c r="J325" s="1131"/>
      <c r="K325" s="1131"/>
      <c r="L325" s="1131"/>
      <c r="M325" s="1132"/>
      <c r="N325" s="22"/>
      <c r="O325" s="323"/>
      <c r="P325" s="301"/>
      <c r="Q325" s="23"/>
      <c r="R325" s="23"/>
      <c r="S325" s="325"/>
      <c r="T325" s="325"/>
      <c r="U325" s="325"/>
      <c r="V325" s="325"/>
      <c r="W325" s="325"/>
      <c r="X325" s="325"/>
      <c r="Y325" s="325"/>
      <c r="Z325" s="325"/>
      <c r="AA325" s="325"/>
      <c r="AB325" s="325"/>
      <c r="AC325" s="325"/>
      <c r="AD325" s="325"/>
      <c r="AE325" s="325"/>
      <c r="AF325" s="325"/>
      <c r="AG325" s="325"/>
      <c r="AH325" s="325"/>
      <c r="AI325" s="325"/>
      <c r="AJ325" s="325"/>
      <c r="AK325" s="325"/>
      <c r="AL325" s="325"/>
      <c r="AM325" s="325"/>
      <c r="AN325" s="325"/>
      <c r="AO325" s="325"/>
      <c r="AP325" s="325"/>
      <c r="AQ325" s="325"/>
      <c r="AR325" s="325"/>
      <c r="AS325" s="325"/>
      <c r="AT325" s="325"/>
      <c r="AU325" s="325"/>
      <c r="AV325" s="325"/>
      <c r="AW325" s="325"/>
      <c r="AX325" s="325"/>
      <c r="AY325" s="325"/>
      <c r="AZ325" s="325"/>
      <c r="BA325" s="325"/>
      <c r="BB325" s="325"/>
      <c r="BC325" s="325"/>
      <c r="BD325" s="325"/>
      <c r="BE325" s="325"/>
      <c r="BF325" s="325"/>
      <c r="BG325" s="325"/>
      <c r="BH325" s="325"/>
      <c r="BI325" s="325"/>
      <c r="BJ325" s="325"/>
      <c r="BK325" s="325"/>
      <c r="BL325" s="325"/>
      <c r="BM325" s="325"/>
      <c r="BN325" s="325"/>
      <c r="BO325" s="325"/>
      <c r="BP325" s="325"/>
      <c r="BQ325" s="325"/>
      <c r="BR325" s="325"/>
      <c r="BS325" s="325"/>
      <c r="BT325" s="325"/>
      <c r="BU325" s="325"/>
      <c r="BV325" s="325"/>
      <c r="BW325" s="325"/>
      <c r="BX325" s="325"/>
      <c r="BY325" s="325"/>
      <c r="BZ325" s="325"/>
      <c r="CA325" s="325"/>
      <c r="CB325" s="325"/>
      <c r="CC325" s="325"/>
      <c r="CD325" s="325"/>
      <c r="CE325" s="325"/>
      <c r="CF325" s="325"/>
      <c r="CG325" s="325"/>
    </row>
    <row r="326" spans="1:85" ht="5.15" customHeight="1" x14ac:dyDescent="0.25">
      <c r="A326" s="318"/>
      <c r="C326" s="22"/>
      <c r="D326" s="22"/>
      <c r="E326" s="22"/>
      <c r="F326" s="22"/>
      <c r="G326" s="22"/>
      <c r="H326" s="22"/>
      <c r="I326" s="22"/>
      <c r="J326" s="22"/>
      <c r="K326" s="22"/>
      <c r="L326" s="22"/>
      <c r="O326" s="323"/>
      <c r="P326" s="301"/>
      <c r="Q326" s="23"/>
      <c r="R326" s="23"/>
      <c r="S326" s="325"/>
      <c r="T326" s="325"/>
      <c r="U326" s="325"/>
      <c r="V326" s="325"/>
      <c r="W326" s="325"/>
      <c r="X326" s="325"/>
      <c r="Y326" s="325"/>
      <c r="Z326" s="325"/>
      <c r="AA326" s="325"/>
      <c r="AB326" s="325"/>
      <c r="AC326" s="325"/>
      <c r="AD326" s="325"/>
      <c r="AE326" s="325"/>
      <c r="AF326" s="325"/>
      <c r="AG326" s="325"/>
      <c r="AH326" s="325"/>
      <c r="AI326" s="325"/>
      <c r="AJ326" s="325"/>
      <c r="AK326" s="325"/>
      <c r="AL326" s="325"/>
      <c r="AM326" s="325"/>
      <c r="AN326" s="325"/>
      <c r="AO326" s="325"/>
      <c r="AP326" s="325"/>
      <c r="AQ326" s="325"/>
      <c r="AR326" s="325"/>
      <c r="AS326" s="325"/>
      <c r="AT326" s="325"/>
      <c r="AU326" s="325"/>
      <c r="AV326" s="325"/>
      <c r="AW326" s="325"/>
      <c r="AX326" s="325"/>
      <c r="AY326" s="325"/>
      <c r="AZ326" s="325"/>
      <c r="BA326" s="325"/>
      <c r="BB326" s="325"/>
      <c r="BC326" s="325"/>
      <c r="BD326" s="325"/>
      <c r="BE326" s="325"/>
      <c r="BF326" s="325"/>
      <c r="BG326" s="325"/>
      <c r="BH326" s="325"/>
      <c r="BI326" s="325"/>
      <c r="BJ326" s="325"/>
      <c r="BK326" s="325"/>
      <c r="BL326" s="325"/>
      <c r="BM326" s="325"/>
      <c r="BN326" s="325"/>
      <c r="BO326" s="325"/>
      <c r="BP326" s="325"/>
      <c r="BQ326" s="325"/>
      <c r="BR326" s="325"/>
      <c r="BS326" s="325"/>
      <c r="BT326" s="325"/>
      <c r="BU326" s="325"/>
      <c r="BV326" s="325"/>
      <c r="BW326" s="325"/>
      <c r="BX326" s="325"/>
      <c r="BY326" s="325"/>
      <c r="BZ326" s="325"/>
      <c r="CA326" s="325"/>
      <c r="CB326" s="325"/>
      <c r="CC326" s="325"/>
      <c r="CD326" s="325"/>
      <c r="CE326" s="325"/>
      <c r="CF326" s="325"/>
      <c r="CG326" s="325"/>
    </row>
    <row r="327" spans="1:85" ht="12.75" customHeight="1" x14ac:dyDescent="0.25">
      <c r="A327" s="318"/>
      <c r="C327" s="22"/>
      <c r="D327" s="22"/>
      <c r="E327" s="22"/>
      <c r="F327" s="22"/>
      <c r="G327" s="1133">
        <v>1</v>
      </c>
      <c r="H327" s="1133"/>
      <c r="I327" s="1133">
        <v>2</v>
      </c>
      <c r="J327" s="1133"/>
      <c r="K327" s="1133">
        <v>3</v>
      </c>
      <c r="L327" s="1133"/>
      <c r="O327" s="323"/>
      <c r="P327" s="301"/>
      <c r="Q327" s="23"/>
      <c r="R327" s="23"/>
      <c r="S327" s="325"/>
      <c r="T327" s="325"/>
      <c r="U327" s="325"/>
      <c r="V327" s="325"/>
      <c r="W327" s="325"/>
      <c r="X327" s="325"/>
      <c r="Y327" s="325"/>
      <c r="Z327" s="325"/>
      <c r="AA327" s="325"/>
      <c r="AB327" s="325"/>
      <c r="AC327" s="325"/>
      <c r="AD327" s="325"/>
      <c r="AE327" s="325"/>
      <c r="AF327" s="325"/>
      <c r="AG327" s="325"/>
      <c r="AH327" s="325"/>
      <c r="AI327" s="325"/>
      <c r="AJ327" s="325"/>
      <c r="AK327" s="325"/>
      <c r="AL327" s="325"/>
      <c r="AM327" s="325"/>
      <c r="AN327" s="325"/>
      <c r="AO327" s="325"/>
      <c r="AP327" s="325"/>
      <c r="AQ327" s="325"/>
      <c r="AR327" s="325"/>
      <c r="AS327" s="325"/>
      <c r="AT327" s="325"/>
      <c r="AU327" s="325"/>
      <c r="AV327" s="325"/>
      <c r="AW327" s="325"/>
      <c r="AX327" s="325"/>
      <c r="AY327" s="325"/>
      <c r="AZ327" s="325"/>
      <c r="BA327" s="325"/>
      <c r="BB327" s="325"/>
      <c r="BC327" s="325"/>
      <c r="BD327" s="325"/>
      <c r="BE327" s="325"/>
      <c r="BF327" s="325"/>
      <c r="BG327" s="325"/>
      <c r="BH327" s="325"/>
      <c r="BI327" s="325"/>
      <c r="BJ327" s="325"/>
      <c r="BK327" s="325"/>
      <c r="BL327" s="325"/>
      <c r="BM327" s="325"/>
      <c r="BN327" s="325"/>
      <c r="BO327" s="325"/>
      <c r="BP327" s="325"/>
      <c r="BQ327" s="325"/>
      <c r="BR327" s="325"/>
      <c r="BS327" s="325"/>
      <c r="BT327" s="325"/>
      <c r="BU327" s="325"/>
      <c r="BV327" s="325"/>
      <c r="BW327" s="325"/>
      <c r="BX327" s="325"/>
      <c r="BY327" s="325"/>
      <c r="BZ327" s="325"/>
      <c r="CA327" s="325"/>
      <c r="CB327" s="325"/>
      <c r="CC327" s="325"/>
      <c r="CD327" s="325"/>
      <c r="CE327" s="325"/>
      <c r="CF327" s="325"/>
      <c r="CG327" s="325"/>
    </row>
    <row r="328" spans="1:85" ht="12.75" customHeight="1" x14ac:dyDescent="0.25">
      <c r="A328" s="389"/>
      <c r="B328" s="22"/>
      <c r="C328" s="22"/>
      <c r="D328" s="1134" t="str">
        <f>Translations!$B$372</f>
        <v>CRF-luokka</v>
      </c>
      <c r="E328" s="1134"/>
      <c r="F328" s="1135"/>
      <c r="G328" s="1123"/>
      <c r="H328" s="1124"/>
      <c r="I328" s="1123"/>
      <c r="J328" s="1124"/>
      <c r="K328" s="1123"/>
      <c r="L328" s="1124"/>
      <c r="M328" s="623" t="str">
        <f>IF(AND(E311&lt;&gt;"",COUNTA(G328:L328)=0,AX328=FALSE),EUconst_ERR_Incomplete,"")</f>
        <v/>
      </c>
      <c r="N328" s="22"/>
      <c r="O328" s="323"/>
      <c r="P328" s="301"/>
      <c r="Q328" s="23"/>
      <c r="R328" s="23"/>
      <c r="S328" s="325"/>
      <c r="T328" s="325"/>
      <c r="U328" s="325"/>
      <c r="V328" s="325"/>
      <c r="W328" s="325"/>
      <c r="X328" s="325"/>
      <c r="Y328" s="325"/>
      <c r="Z328" s="325"/>
      <c r="AA328" s="325"/>
      <c r="AB328" s="325"/>
      <c r="AC328" s="325"/>
      <c r="AD328" s="325"/>
      <c r="AE328" s="325"/>
      <c r="AF328" s="325"/>
      <c r="AG328" s="325"/>
      <c r="AH328" s="325"/>
      <c r="AI328" s="325"/>
      <c r="AJ328" s="325"/>
      <c r="AK328" s="325"/>
      <c r="AL328" s="325"/>
      <c r="AM328" s="325"/>
      <c r="AN328" s="325"/>
      <c r="AO328" s="325"/>
      <c r="AP328" s="325"/>
      <c r="AQ328" s="325"/>
      <c r="AR328" s="325"/>
      <c r="AS328" s="325"/>
      <c r="AT328" s="325"/>
      <c r="AU328" s="325"/>
      <c r="AV328" s="325"/>
      <c r="AW328" s="325"/>
      <c r="AX328" s="33" t="b">
        <f>AND(AV324&lt;&gt;"",SUM(AV324=1))</f>
        <v>0</v>
      </c>
      <c r="AY328" s="325"/>
      <c r="AZ328" s="325"/>
      <c r="BA328" s="325"/>
      <c r="BB328" s="325"/>
      <c r="BC328" s="325"/>
      <c r="BD328" s="325"/>
      <c r="BE328" s="325"/>
      <c r="BF328" s="325"/>
      <c r="BG328" s="325"/>
      <c r="BH328" s="325"/>
      <c r="BI328" s="325"/>
      <c r="BJ328" s="325"/>
      <c r="BK328" s="325"/>
      <c r="BL328" s="325"/>
      <c r="BM328" s="325"/>
      <c r="BN328" s="325"/>
      <c r="BO328" s="325"/>
      <c r="BP328" s="325"/>
      <c r="BQ328" s="325"/>
      <c r="BR328" s="325"/>
      <c r="BS328" s="325"/>
      <c r="BT328" s="325"/>
      <c r="BU328" s="325"/>
      <c r="BV328" s="325"/>
      <c r="BW328" s="325"/>
      <c r="BX328" s="325"/>
      <c r="BY328" s="325"/>
      <c r="BZ328" s="325"/>
      <c r="CA328" s="325"/>
      <c r="CB328" s="325"/>
      <c r="CC328" s="325"/>
      <c r="CD328" s="325"/>
      <c r="CE328" s="325"/>
      <c r="CF328" s="325"/>
      <c r="CG328" s="325"/>
    </row>
    <row r="329" spans="1:85" ht="5.15" customHeight="1" x14ac:dyDescent="0.25">
      <c r="A329" s="318"/>
      <c r="B329" s="21"/>
      <c r="C329" s="21"/>
      <c r="D329" s="21"/>
      <c r="E329" s="21"/>
      <c r="F329" s="21"/>
      <c r="G329" s="22"/>
      <c r="H329" s="22"/>
      <c r="I329" s="22"/>
      <c r="J329" s="22"/>
      <c r="K329" s="22"/>
      <c r="L329" s="22"/>
      <c r="M329" s="22"/>
      <c r="N329" s="22"/>
      <c r="O329" s="323"/>
      <c r="P329" s="301"/>
      <c r="Q329" s="23"/>
      <c r="R329" s="23"/>
      <c r="S329" s="325"/>
      <c r="T329" s="325"/>
      <c r="U329" s="325"/>
      <c r="V329" s="325"/>
      <c r="W329" s="325"/>
      <c r="X329" s="325"/>
      <c r="Y329" s="325"/>
      <c r="Z329" s="325"/>
      <c r="AA329" s="325"/>
      <c r="AB329" s="325"/>
      <c r="AC329" s="325"/>
      <c r="AD329" s="325"/>
      <c r="AE329" s="325"/>
      <c r="AF329" s="325"/>
      <c r="AG329" s="325"/>
      <c r="AH329" s="325"/>
      <c r="AI329" s="325"/>
      <c r="AJ329" s="325"/>
      <c r="AK329" s="325"/>
      <c r="AL329" s="325"/>
      <c r="AM329" s="325"/>
      <c r="AN329" s="325"/>
      <c r="AO329" s="325"/>
      <c r="AP329" s="325"/>
      <c r="AQ329" s="325"/>
      <c r="AR329" s="325"/>
      <c r="AS329" s="325"/>
      <c r="AT329" s="325"/>
      <c r="AU329" s="325"/>
      <c r="AV329" s="325"/>
      <c r="AW329" s="325"/>
      <c r="AX329" s="325"/>
      <c r="AY329" s="325"/>
      <c r="AZ329" s="325"/>
      <c r="BA329" s="325"/>
      <c r="BB329" s="325"/>
      <c r="BC329" s="325"/>
      <c r="BD329" s="325"/>
      <c r="BE329" s="325"/>
      <c r="BF329" s="325"/>
      <c r="BG329" s="325"/>
      <c r="BH329" s="325"/>
      <c r="BI329" s="325"/>
      <c r="BJ329" s="325"/>
      <c r="BK329" s="325"/>
      <c r="BL329" s="325"/>
      <c r="BM329" s="325"/>
      <c r="BN329" s="325"/>
      <c r="BO329" s="325"/>
      <c r="BP329" s="325"/>
      <c r="BQ329" s="325"/>
      <c r="BR329" s="325"/>
      <c r="BS329" s="325"/>
      <c r="BT329" s="325"/>
      <c r="BU329" s="325"/>
      <c r="BV329" s="325"/>
      <c r="BW329" s="325"/>
      <c r="BX329" s="325"/>
      <c r="BY329" s="325"/>
      <c r="BZ329" s="325"/>
      <c r="CA329" s="325"/>
      <c r="CB329" s="325"/>
      <c r="CC329" s="325"/>
      <c r="CD329" s="325"/>
      <c r="CE329" s="325"/>
      <c r="CF329" s="325"/>
      <c r="CG329" s="325"/>
    </row>
    <row r="330" spans="1:85" ht="7" customHeight="1" x14ac:dyDescent="0.25">
      <c r="A330" s="318"/>
      <c r="B330" s="21"/>
      <c r="C330" s="21"/>
      <c r="D330" s="1145"/>
      <c r="E330" s="1145"/>
      <c r="F330" s="1145"/>
      <c r="G330" s="806"/>
      <c r="H330" s="807"/>
      <c r="I330" s="806"/>
      <c r="J330" s="236"/>
      <c r="K330" s="236"/>
      <c r="L330" s="236"/>
      <c r="M330" s="807"/>
      <c r="N330" s="808"/>
      <c r="O330" s="323"/>
      <c r="P330" s="301"/>
      <c r="Q330" s="23"/>
      <c r="R330" s="23"/>
      <c r="S330" s="388"/>
      <c r="T330" s="325"/>
      <c r="U330" s="325"/>
      <c r="V330" s="325"/>
      <c r="W330" s="325"/>
      <c r="X330" s="325"/>
      <c r="Y330" s="325"/>
      <c r="Z330" s="325"/>
      <c r="AA330" s="325"/>
      <c r="AB330" s="325"/>
      <c r="AC330" s="325"/>
      <c r="AD330" s="325"/>
      <c r="AE330" s="325"/>
      <c r="AF330" s="325"/>
      <c r="AG330" s="325"/>
      <c r="AH330" s="325"/>
      <c r="AI330" s="325"/>
      <c r="AJ330" s="325"/>
      <c r="AK330" s="325"/>
      <c r="AL330" s="325"/>
      <c r="AM330" s="325"/>
      <c r="AN330" s="325"/>
      <c r="AO330" s="325"/>
      <c r="AP330" s="325"/>
      <c r="AQ330" s="325"/>
      <c r="AR330" s="325"/>
      <c r="AS330" s="325"/>
      <c r="AT330" s="325"/>
      <c r="AU330" s="325"/>
      <c r="AV330" s="325"/>
      <c r="AW330" s="325"/>
      <c r="AX330" s="325"/>
      <c r="AY330" s="325"/>
      <c r="AZ330" s="325"/>
      <c r="BA330" s="325"/>
      <c r="BB330" s="325"/>
      <c r="BC330" s="325"/>
      <c r="BD330" s="325"/>
      <c r="BE330" s="325"/>
      <c r="BF330" s="325"/>
      <c r="BG330" s="325"/>
      <c r="BH330" s="325"/>
      <c r="BI330" s="325"/>
      <c r="BJ330" s="325"/>
      <c r="BK330" s="325"/>
      <c r="BL330" s="325"/>
      <c r="BM330" s="325"/>
      <c r="BN330" s="325"/>
      <c r="BO330" s="325"/>
      <c r="BP330" s="325"/>
      <c r="BQ330" s="325"/>
      <c r="BR330" s="325"/>
      <c r="BS330" s="325"/>
      <c r="BT330" s="325"/>
      <c r="BU330" s="325"/>
      <c r="BV330" s="325"/>
      <c r="BW330" s="325"/>
      <c r="BX330" s="325"/>
      <c r="BY330" s="325"/>
      <c r="BZ330" s="325"/>
      <c r="CA330" s="325"/>
      <c r="CB330" s="325"/>
      <c r="CC330" s="325"/>
      <c r="CD330" s="325"/>
      <c r="CE330" s="325"/>
      <c r="CF330" s="325"/>
      <c r="CG330" s="33" t="b">
        <f>CG317</f>
        <v>0</v>
      </c>
    </row>
    <row r="331" spans="1:85" ht="5.15" customHeight="1" x14ac:dyDescent="0.25">
      <c r="A331" s="389"/>
      <c r="B331" s="22"/>
      <c r="C331" s="22"/>
      <c r="D331" s="22"/>
      <c r="E331" s="1116" t="str">
        <f>Translations!$B$304</f>
        <v xml:space="preserve">Lisätiedot: 
tapa, jolla biomassan kestävyys on osoitettu; 
muut polttoainevirtaa koskevat lisätiedot. </v>
      </c>
      <c r="F331" s="1116"/>
      <c r="G331" s="22"/>
      <c r="H331" s="22"/>
      <c r="I331" s="22"/>
      <c r="J331" s="22"/>
      <c r="K331" s="22"/>
      <c r="L331" s="22"/>
      <c r="M331" s="22"/>
      <c r="N331" s="22"/>
      <c r="O331" s="323"/>
      <c r="P331" s="301"/>
      <c r="Q331" s="23"/>
      <c r="R331" s="23"/>
      <c r="S331" s="325"/>
      <c r="T331" s="325"/>
      <c r="U331" s="325"/>
      <c r="V331" s="325"/>
      <c r="W331" s="325"/>
      <c r="X331" s="325"/>
      <c r="Y331" s="325"/>
      <c r="Z331" s="325"/>
      <c r="AA331" s="325"/>
      <c r="AB331" s="325"/>
      <c r="AC331" s="325"/>
      <c r="AD331" s="325"/>
      <c r="AE331" s="325"/>
      <c r="AF331" s="325"/>
      <c r="AG331" s="325"/>
      <c r="AH331" s="325"/>
      <c r="AI331" s="325"/>
      <c r="AJ331" s="325"/>
      <c r="AK331" s="325"/>
      <c r="AL331" s="325"/>
      <c r="AM331" s="325"/>
      <c r="AN331" s="325"/>
      <c r="AO331" s="325"/>
      <c r="AP331" s="325"/>
      <c r="AQ331" s="325"/>
      <c r="AR331" s="325"/>
      <c r="AS331" s="325"/>
      <c r="AT331" s="325"/>
      <c r="AU331" s="325"/>
      <c r="AV331" s="325"/>
      <c r="AW331" s="325"/>
      <c r="AX331" s="325"/>
      <c r="AY331" s="325"/>
      <c r="AZ331" s="325"/>
      <c r="BA331" s="325"/>
      <c r="BB331" s="325"/>
      <c r="BC331" s="325"/>
      <c r="BD331" s="325"/>
      <c r="BE331" s="325"/>
      <c r="BF331" s="325"/>
      <c r="BG331" s="325"/>
      <c r="BH331" s="325"/>
      <c r="BI331" s="325"/>
      <c r="BJ331" s="325"/>
      <c r="BK331" s="325"/>
      <c r="BL331" s="325"/>
      <c r="BM331" s="325"/>
      <c r="BN331" s="325"/>
      <c r="BO331" s="325"/>
      <c r="BP331" s="325"/>
      <c r="BQ331" s="325"/>
      <c r="BR331" s="325"/>
      <c r="BS331" s="325"/>
      <c r="BT331" s="325"/>
      <c r="BU331" s="325"/>
      <c r="BV331" s="325"/>
      <c r="BW331" s="325"/>
      <c r="BX331" s="325"/>
      <c r="BY331" s="325"/>
      <c r="BZ331" s="325"/>
      <c r="CA331" s="325"/>
      <c r="CB331" s="325"/>
      <c r="CC331" s="325"/>
      <c r="CD331" s="325"/>
      <c r="CE331" s="325"/>
      <c r="CF331" s="325"/>
      <c r="CG331" s="325"/>
    </row>
    <row r="332" spans="1:85" ht="41.5" customHeight="1" x14ac:dyDescent="0.25">
      <c r="A332" s="389"/>
      <c r="B332" s="22"/>
      <c r="C332" s="22"/>
      <c r="D332" s="4"/>
      <c r="E332" s="1116"/>
      <c r="F332" s="1116"/>
      <c r="G332" s="1146"/>
      <c r="H332" s="1147"/>
      <c r="I332" s="1147"/>
      <c r="J332" s="1147"/>
      <c r="K332" s="1147"/>
      <c r="L332" s="1147"/>
      <c r="M332" s="1147"/>
      <c r="N332" s="1148"/>
      <c r="O332" s="323"/>
      <c r="P332" s="301"/>
      <c r="Q332" s="23"/>
      <c r="R332" s="23"/>
      <c r="S332" s="325"/>
      <c r="T332" s="325"/>
      <c r="U332" s="325"/>
      <c r="V332" s="325"/>
      <c r="W332" s="325"/>
      <c r="X332" s="325"/>
      <c r="Y332" s="325"/>
      <c r="Z332" s="325"/>
      <c r="AA332" s="325"/>
      <c r="AB332" s="325"/>
      <c r="AC332" s="325"/>
      <c r="AD332" s="325"/>
      <c r="AE332" s="325"/>
      <c r="AF332" s="325"/>
      <c r="AG332" s="325"/>
      <c r="AH332" s="325"/>
      <c r="AI332" s="325"/>
      <c r="AJ332" s="325"/>
      <c r="AK332" s="325"/>
      <c r="AL332" s="325"/>
      <c r="AM332" s="325"/>
      <c r="AN332" s="325"/>
      <c r="AO332" s="325"/>
      <c r="AP332" s="325"/>
      <c r="AQ332" s="325"/>
      <c r="AR332" s="325"/>
      <c r="AS332" s="325"/>
      <c r="AT332" s="325"/>
      <c r="AU332" s="325"/>
      <c r="AV332" s="325"/>
      <c r="AW332" s="325"/>
      <c r="AX332" s="325"/>
      <c r="AY332" s="325"/>
      <c r="AZ332" s="325"/>
      <c r="BA332" s="325"/>
      <c r="BB332" s="325"/>
      <c r="BC332" s="325"/>
      <c r="BD332" s="325"/>
      <c r="BE332" s="325"/>
      <c r="BF332" s="325"/>
      <c r="BG332" s="325"/>
      <c r="BH332" s="325"/>
      <c r="BI332" s="325"/>
      <c r="BJ332" s="325"/>
      <c r="BK332" s="325"/>
      <c r="BL332" s="325"/>
      <c r="BM332" s="325"/>
      <c r="BN332" s="325"/>
      <c r="BO332" s="325"/>
      <c r="BP332" s="325"/>
      <c r="BQ332" s="325"/>
      <c r="BR332" s="325"/>
      <c r="BS332" s="325"/>
      <c r="BT332" s="325"/>
      <c r="BU332" s="325"/>
      <c r="BV332" s="325"/>
      <c r="BW332" s="325"/>
      <c r="BX332" s="325"/>
      <c r="BY332" s="325"/>
      <c r="BZ332" s="325"/>
      <c r="CA332" s="325"/>
      <c r="CB332" s="325"/>
      <c r="CC332" s="325"/>
      <c r="CD332" s="325"/>
      <c r="CE332" s="325"/>
      <c r="CF332" s="325"/>
      <c r="CG332" s="33" t="b">
        <f>CG330</f>
        <v>0</v>
      </c>
    </row>
    <row r="333" spans="1:85" ht="12.75" customHeight="1" thickBot="1" x14ac:dyDescent="0.3">
      <c r="A333" s="318"/>
      <c r="B333" s="22"/>
      <c r="C333" s="319"/>
      <c r="D333" s="320"/>
      <c r="E333" s="321"/>
      <c r="F333" s="319"/>
      <c r="G333" s="322"/>
      <c r="H333" s="322"/>
      <c r="I333" s="322"/>
      <c r="J333" s="322"/>
      <c r="K333" s="322"/>
      <c r="L333" s="322"/>
      <c r="M333" s="322"/>
      <c r="N333" s="322"/>
      <c r="O333" s="323"/>
      <c r="P333" s="301"/>
      <c r="Q333" s="23"/>
      <c r="R333" s="23"/>
      <c r="S333" s="41"/>
      <c r="T333" s="41"/>
      <c r="U333" s="324"/>
      <c r="V333" s="41"/>
      <c r="W333" s="41"/>
      <c r="X333" s="324"/>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41"/>
      <c r="BM333" s="325"/>
      <c r="BN333" s="325"/>
      <c r="BO333" s="325"/>
      <c r="BP333" s="325"/>
      <c r="BQ333" s="325"/>
      <c r="BR333" s="325"/>
      <c r="BS333" s="325"/>
      <c r="BT333" s="325"/>
      <c r="BU333" s="41"/>
      <c r="BV333" s="41"/>
      <c r="BW333" s="41"/>
      <c r="BX333" s="41"/>
      <c r="BY333" s="41"/>
      <c r="BZ333" s="41"/>
      <c r="CA333" s="41"/>
      <c r="CB333" s="41"/>
      <c r="CC333" s="41"/>
      <c r="CD333" s="41"/>
      <c r="CE333" s="41"/>
      <c r="CF333" s="41"/>
      <c r="CG333" s="41"/>
    </row>
    <row r="334" spans="1:85" ht="12.75" customHeight="1" thickBot="1" x14ac:dyDescent="0.3">
      <c r="A334" s="326"/>
      <c r="B334" s="22"/>
      <c r="C334" s="22"/>
      <c r="D334" s="327"/>
      <c r="E334" s="328"/>
      <c r="F334" s="22"/>
      <c r="G334" s="1"/>
      <c r="H334" s="1"/>
      <c r="I334" s="1"/>
      <c r="J334" s="1"/>
      <c r="K334" s="22"/>
      <c r="L334" s="1"/>
      <c r="M334" s="1"/>
      <c r="N334" s="1"/>
      <c r="O334" s="323"/>
      <c r="P334" s="301"/>
      <c r="Q334" s="23"/>
      <c r="R334" s="23"/>
      <c r="S334" s="2"/>
      <c r="T334" s="20" t="str">
        <f>IF(ISBLANK(E335),"",MATCH(E335,CNTR_SourceStreamNames,0))</f>
        <v/>
      </c>
      <c r="U334" s="329" t="str">
        <f>IF(ISBLANK(E335),"",INDEX('B_Polttoainevirtojen tiedot'!$D$67:$D$91,MATCH(E335,CNTR_SourceStreamNames,0)))</f>
        <v/>
      </c>
      <c r="V334" s="60"/>
      <c r="W334" s="37"/>
      <c r="X334" s="37"/>
      <c r="Y334" s="37"/>
      <c r="Z334" s="41"/>
      <c r="AA334" s="41"/>
      <c r="AB334" s="41"/>
      <c r="AC334" s="41"/>
      <c r="AD334" s="41"/>
      <c r="AE334" s="41"/>
      <c r="AF334" s="41"/>
      <c r="AG334" s="41"/>
      <c r="AH334" s="41"/>
      <c r="AI334" s="41"/>
      <c r="AJ334" s="41"/>
      <c r="AK334" s="23"/>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37"/>
      <c r="BK334" s="37"/>
      <c r="BL334" s="37"/>
      <c r="BM334" s="37"/>
      <c r="BN334" s="37"/>
      <c r="BO334" s="37"/>
      <c r="BP334" s="37"/>
      <c r="BQ334" s="37"/>
      <c r="BR334" s="37"/>
      <c r="BS334" s="37"/>
      <c r="BT334" s="37"/>
      <c r="BU334" s="37"/>
      <c r="BV334" s="37"/>
      <c r="BW334" s="37"/>
      <c r="BX334" s="37"/>
      <c r="BY334" s="37"/>
      <c r="BZ334" s="37"/>
      <c r="CA334" s="37"/>
      <c r="CB334" s="37"/>
      <c r="CC334" s="37"/>
      <c r="CD334" s="37"/>
      <c r="CE334" s="37"/>
      <c r="CF334" s="37"/>
      <c r="CG334" s="330" t="s">
        <v>94</v>
      </c>
    </row>
    <row r="335" spans="1:85" ht="15" customHeight="1" thickBot="1" x14ac:dyDescent="0.3">
      <c r="A335" s="331">
        <f>C335</f>
        <v>13</v>
      </c>
      <c r="B335" s="21"/>
      <c r="C335" s="332">
        <f>C311+1</f>
        <v>13</v>
      </c>
      <c r="D335" s="21"/>
      <c r="E335" s="1117"/>
      <c r="F335" s="1118"/>
      <c r="G335" s="1118"/>
      <c r="H335" s="1118"/>
      <c r="I335" s="1118"/>
      <c r="J335" s="1119"/>
      <c r="K335" s="1138" t="str">
        <f>IF(INDEX('B_Polttoainevirtojen tiedot'!$K$100:$K$124,MATCH(U334,'B_Polttoainevirtojen tiedot'!$D$100:$D$124,0))&gt;0,INDEX('B_Polttoainevirtojen tiedot'!$K$100:$K$124,MATCH(U334,'B_Polttoainevirtojen tiedot'!$D$100:$D$124,0)),"")</f>
        <v/>
      </c>
      <c r="L335" s="1139"/>
      <c r="M335" s="328" t="str">
        <f>Translations!$B$374</f>
        <v>CO2 fossiilinen:</v>
      </c>
      <c r="N335" s="401" t="str">
        <f>IF(E336="","",BG341)</f>
        <v/>
      </c>
      <c r="O335" s="333" t="str">
        <f>EUconst_tCO2</f>
        <v>tCO2</v>
      </c>
      <c r="P335" s="610" t="str">
        <f>IF(AND(E335&lt;&gt;"",COUNTIF(P336:$P$811,"PRINT")=0),"PRINT","")</f>
        <v/>
      </c>
      <c r="Q335" s="335" t="str">
        <f>EUconst_SumCO2</f>
        <v>SUM_CO2</v>
      </c>
      <c r="R335" s="23"/>
      <c r="S335" s="2"/>
      <c r="T335" s="2"/>
      <c r="U335" s="2"/>
      <c r="V335" s="60"/>
      <c r="W335" s="37"/>
      <c r="X335" s="41"/>
      <c r="Y335" s="41"/>
      <c r="Z335" s="41"/>
      <c r="AA335" s="41"/>
      <c r="AB335" s="41"/>
      <c r="AC335" s="41"/>
      <c r="AD335" s="41"/>
      <c r="AE335" s="41"/>
      <c r="AF335" s="41"/>
      <c r="AG335" s="41"/>
      <c r="AH335" s="41"/>
      <c r="AI335" s="337"/>
      <c r="AJ335" s="337"/>
      <c r="AK335" s="337"/>
      <c r="AL335" s="337"/>
      <c r="AM335" s="337"/>
      <c r="AN335" s="337"/>
      <c r="AO335" s="337"/>
      <c r="AP335" s="337"/>
      <c r="AQ335" s="337"/>
      <c r="AR335" s="337"/>
      <c r="AS335" s="337"/>
      <c r="AT335" s="337"/>
      <c r="AU335" s="337"/>
      <c r="AV335" s="337"/>
      <c r="AW335" s="337"/>
      <c r="AX335" s="337"/>
      <c r="AY335" s="337"/>
      <c r="AZ335" s="337"/>
      <c r="BA335" s="337"/>
      <c r="BB335" s="337"/>
      <c r="BC335" s="337"/>
      <c r="BD335" s="337"/>
      <c r="BE335" s="337"/>
      <c r="BF335" s="337"/>
      <c r="BG335" s="337"/>
      <c r="BH335" s="337"/>
      <c r="BI335" s="483" t="str">
        <f>IF(E335="","",E335)</f>
        <v/>
      </c>
      <c r="BJ335" s="338" t="str">
        <f>IF(F341="","",F341)</f>
        <v/>
      </c>
      <c r="BK335" s="485">
        <f>AV341</f>
        <v>0</v>
      </c>
      <c r="BL335" s="485">
        <f>IF(BK335="","",BK335*(1-BP335))</f>
        <v>0</v>
      </c>
      <c r="BM335" s="338" t="str">
        <f>AJ341</f>
        <v/>
      </c>
      <c r="BN335" s="338" t="str">
        <f>IF(F348="","",F348)</f>
        <v/>
      </c>
      <c r="BO335" s="483" t="str">
        <f>IF(G348="","",G348)</f>
        <v/>
      </c>
      <c r="BP335" s="484">
        <f>AV348</f>
        <v>0</v>
      </c>
      <c r="BQ335" s="338" t="str">
        <f>IF(F344="","",F344)</f>
        <v/>
      </c>
      <c r="BR335" s="484">
        <f>AV344</f>
        <v>0</v>
      </c>
      <c r="BS335" s="484" t="str">
        <f>AJ344</f>
        <v/>
      </c>
      <c r="BT335" s="338" t="str">
        <f>IF(F343="","",F343)</f>
        <v/>
      </c>
      <c r="BU335" s="484">
        <f>IF(F343=EUconst_NA,"",AV343)</f>
        <v>0</v>
      </c>
      <c r="BV335" s="484" t="str">
        <f>AJ343</f>
        <v/>
      </c>
      <c r="BW335" s="338" t="str">
        <f>IF(F345="","",F345)</f>
        <v/>
      </c>
      <c r="BX335" s="484">
        <f>AV345</f>
        <v>0</v>
      </c>
      <c r="BY335" s="338" t="str">
        <f>IF(F346="","",F346)</f>
        <v/>
      </c>
      <c r="BZ335" s="484">
        <f>AV346</f>
        <v>0</v>
      </c>
      <c r="CA335" s="485" t="str">
        <f>N335</f>
        <v/>
      </c>
      <c r="CB335" s="485" t="str">
        <f>N336</f>
        <v/>
      </c>
      <c r="CC335" s="485" t="str">
        <f>R338</f>
        <v/>
      </c>
      <c r="CD335" s="485" t="str">
        <f>R340</f>
        <v/>
      </c>
      <c r="CE335" s="485" t="str">
        <f>R341</f>
        <v/>
      </c>
      <c r="CF335" s="37"/>
      <c r="CG335" s="339" t="b">
        <v>0</v>
      </c>
    </row>
    <row r="336" spans="1:85" ht="15" customHeight="1" thickBot="1" x14ac:dyDescent="0.3">
      <c r="A336" s="318"/>
      <c r="B336" s="21"/>
      <c r="C336" s="21"/>
      <c r="D336" s="21"/>
      <c r="E336" s="1127" t="str">
        <f>IF(ISBLANK(E335),"",IF(INDEX('B_Polttoainevirtojen tiedot'!$E$67:$E$91,MATCH(U334,'B_Polttoainevirtojen tiedot'!$D$67:$D$91,0))&gt;0,INDEX('B_Polttoainevirtojen tiedot'!$E$67:$E$91,MATCH(U334,'B_Polttoainevirtojen tiedot'!$D$67:$D$91,0)),""))</f>
        <v/>
      </c>
      <c r="F336" s="1128"/>
      <c r="G336" s="1128"/>
      <c r="H336" s="1128"/>
      <c r="I336" s="1128"/>
      <c r="J336" s="1129"/>
      <c r="K336" s="1138" t="str">
        <f>IF(INDEX('B_Polttoainevirtojen tiedot'!$M$100:$M$124,MATCH(U334,'B_Polttoainevirtojen tiedot'!$D$100:$D$124,0))&gt;0,INDEX('B_Polttoainevirtojen tiedot'!$M$100:$M$124,MATCH(U334,'B_Polttoainevirtojen tiedot'!$D$100:$D$124,0)),"")</f>
        <v/>
      </c>
      <c r="L336" s="1139"/>
      <c r="M336" s="340" t="str">
        <f>Translations!$B$375</f>
        <v>CO2 bio:</v>
      </c>
      <c r="N336" s="482" t="str">
        <f>IF(E336="","",BG343)</f>
        <v/>
      </c>
      <c r="O336" s="341" t="str">
        <f>EUconst_tCO2</f>
        <v>tCO2</v>
      </c>
      <c r="P336" s="301"/>
      <c r="Q336" s="335" t="str">
        <f>EUconst_SumBioCO2</f>
        <v>SUM_bioCO2</v>
      </c>
      <c r="R336" s="23"/>
      <c r="S336" s="2"/>
      <c r="T336" s="2"/>
      <c r="U336" s="2"/>
      <c r="V336" s="60"/>
      <c r="W336" s="37"/>
      <c r="X336" s="41"/>
      <c r="Y336" s="20" t="str">
        <f>Translations!$B$143</f>
        <v>Määrittämistasot</v>
      </c>
      <c r="Z336" s="325"/>
      <c r="AA336" s="325"/>
      <c r="AB336" s="325"/>
      <c r="AC336" s="325"/>
      <c r="AD336" s="325"/>
      <c r="AE336" s="20" t="s">
        <v>95</v>
      </c>
      <c r="AF336" s="41"/>
      <c r="AG336" s="342"/>
      <c r="AH336" s="325"/>
      <c r="AI336" s="325"/>
      <c r="AJ336" s="342"/>
      <c r="AK336" s="342"/>
      <c r="AL336" s="337"/>
      <c r="AM336" s="337"/>
      <c r="AN336" s="337"/>
      <c r="AO336" s="337"/>
      <c r="AP336" s="337"/>
      <c r="AQ336" s="20" t="s">
        <v>96</v>
      </c>
      <c r="AR336" s="343"/>
      <c r="AS336" s="343"/>
      <c r="AT336" s="325"/>
      <c r="AU336" s="325"/>
      <c r="AV336" s="325"/>
      <c r="AW336" s="325"/>
      <c r="AX336" s="325"/>
      <c r="AY336" s="325"/>
      <c r="AZ336" s="20" t="s">
        <v>97</v>
      </c>
      <c r="BA336" s="325"/>
      <c r="BB336" s="325"/>
      <c r="BC336" s="325"/>
      <c r="BD336" s="325"/>
      <c r="BE336" s="325"/>
      <c r="BF336" s="20" t="s">
        <v>98</v>
      </c>
      <c r="BG336" s="325"/>
      <c r="BH336" s="325"/>
      <c r="BI336" s="20" t="s">
        <v>99</v>
      </c>
      <c r="BJ336" s="338" t="str">
        <f>Translations!$B$376</f>
        <v>RFA-määrittämistaso</v>
      </c>
      <c r="BK336" s="338" t="str">
        <f>Translations!$B$377</f>
        <v>RFA</v>
      </c>
      <c r="BL336" s="338" t="str">
        <f>Translations!$B$378</f>
        <v>RFA (SF:n jälkeen)</v>
      </c>
      <c r="BM336" s="338" t="str">
        <f>Translations!$B$379</f>
        <v>RFA-yksikkö</v>
      </c>
      <c r="BN336" s="338" t="str">
        <f>Translations!$B$380</f>
        <v>SF-määrittämistaso</v>
      </c>
      <c r="BO336" s="338" t="str">
        <f>Translations!$B$380</f>
        <v>SF-määrittämistaso</v>
      </c>
      <c r="BP336" s="338" t="str">
        <f>Translations!$B$381</f>
        <v>SF</v>
      </c>
      <c r="BQ336" s="338" t="str">
        <f>Translations!$B$382</f>
        <v>EF-määrittämistaso</v>
      </c>
      <c r="BR336" s="338" t="str">
        <f>Translations!$B$383</f>
        <v>EF</v>
      </c>
      <c r="BS336" s="338" t="str">
        <f>Translations!$B$384</f>
        <v>EF-yksikkö</v>
      </c>
      <c r="BT336" s="338" t="str">
        <f>Translations!$B$385</f>
        <v>UCF-määrittämistaso</v>
      </c>
      <c r="BU336" s="338" t="str">
        <f>Translations!$B$386</f>
        <v>UCF</v>
      </c>
      <c r="BV336" s="338" t="str">
        <f>Translations!$B$387</f>
        <v>UCF-yksikkö</v>
      </c>
      <c r="BW336" s="338" t="str">
        <f>Translations!$B$388</f>
        <v>Bio-määrittämistaso</v>
      </c>
      <c r="BX336" s="338" t="s">
        <v>100</v>
      </c>
      <c r="BY336" s="338" t="str">
        <f>Translations!$B$389</f>
        <v>NonSustBio-määrittämistaso</v>
      </c>
      <c r="BZ336" s="338" t="s">
        <v>101</v>
      </c>
      <c r="CA336" s="338" t="str">
        <f>Translations!$B$390</f>
        <v>CO2 fossil</v>
      </c>
      <c r="CB336" s="338" t="str">
        <f>Translations!$B$391</f>
        <v>CO2 bio</v>
      </c>
      <c r="CC336" s="338" t="str">
        <f>Translations!$B$392</f>
        <v>CO2 non-sust</v>
      </c>
      <c r="CD336" s="338" t="s">
        <v>102</v>
      </c>
      <c r="CE336" s="338" t="s">
        <v>103</v>
      </c>
      <c r="CF336" s="325"/>
      <c r="CG336" s="325"/>
    </row>
    <row r="337" spans="1:85" ht="5.15" customHeight="1" thickBot="1" x14ac:dyDescent="0.3">
      <c r="A337" s="318"/>
      <c r="B337" s="21"/>
      <c r="C337" s="21"/>
      <c r="D337" s="21"/>
      <c r="E337" s="21"/>
      <c r="F337" s="21"/>
      <c r="G337" s="21"/>
      <c r="H337" s="22"/>
      <c r="I337" s="22"/>
      <c r="J337" s="22"/>
      <c r="K337" s="22"/>
      <c r="L337" s="22"/>
      <c r="M337" s="22"/>
      <c r="N337" s="22"/>
      <c r="O337" s="323"/>
      <c r="P337" s="301"/>
      <c r="Q337" s="23"/>
      <c r="R337" s="23"/>
      <c r="S337" s="2"/>
      <c r="T337" s="2"/>
      <c r="U337" s="2"/>
      <c r="V337" s="60"/>
      <c r="W337" s="325"/>
      <c r="X337" s="325"/>
      <c r="Y337" s="23"/>
      <c r="Z337" s="325"/>
      <c r="AA337" s="325"/>
      <c r="AB337" s="325"/>
      <c r="AC337" s="325"/>
      <c r="AD337" s="325"/>
      <c r="AE337" s="325"/>
      <c r="AF337" s="41"/>
      <c r="AG337" s="325"/>
      <c r="AH337" s="325"/>
      <c r="AI337" s="325"/>
      <c r="AJ337" s="342"/>
      <c r="AK337" s="342"/>
      <c r="AL337" s="337"/>
      <c r="AM337" s="337"/>
      <c r="AN337" s="337"/>
      <c r="AO337" s="337"/>
      <c r="AP337" s="337"/>
      <c r="AQ337" s="325"/>
      <c r="AR337" s="325"/>
      <c r="AS337" s="325"/>
      <c r="AT337" s="325"/>
      <c r="AU337" s="325"/>
      <c r="AV337" s="325"/>
      <c r="AW337" s="325"/>
      <c r="AX337" s="325"/>
      <c r="AY337" s="325"/>
      <c r="AZ337" s="325"/>
      <c r="BA337" s="325"/>
      <c r="BB337" s="325"/>
      <c r="BC337" s="325"/>
      <c r="BD337" s="325"/>
      <c r="BE337" s="325"/>
      <c r="BF337" s="325"/>
      <c r="BG337" s="325"/>
      <c r="BH337" s="325"/>
      <c r="BI337" s="325"/>
      <c r="BJ337" s="325"/>
      <c r="BK337" s="325"/>
      <c r="BL337" s="325"/>
      <c r="BM337" s="325"/>
      <c r="BN337" s="325"/>
      <c r="BO337" s="325"/>
      <c r="BP337" s="325"/>
      <c r="BQ337" s="325"/>
      <c r="BR337" s="325"/>
      <c r="BS337" s="325"/>
      <c r="BT337" s="325"/>
      <c r="BU337" s="325"/>
      <c r="BV337" s="325"/>
      <c r="BW337" s="325"/>
      <c r="BX337" s="325"/>
      <c r="BY337" s="325"/>
      <c r="BZ337" s="325"/>
      <c r="CA337" s="325"/>
      <c r="CB337" s="325"/>
      <c r="CC337" s="325"/>
      <c r="CD337" s="325"/>
      <c r="CE337" s="325"/>
      <c r="CF337" s="325"/>
      <c r="CG337" s="325"/>
    </row>
    <row r="338" spans="1:85" ht="12.75" customHeight="1" thickBot="1" x14ac:dyDescent="0.3">
      <c r="A338" s="318"/>
      <c r="B338" s="21"/>
      <c r="C338" s="21"/>
      <c r="D338" s="21"/>
      <c r="E338" s="1140" t="str">
        <f>IF(E335="","",HYPERLINK("#JUMP_E_Top",EUconst_FurtherGuidancePoint1))</f>
        <v/>
      </c>
      <c r="F338" s="1140"/>
      <c r="G338" s="1140"/>
      <c r="H338" s="1140"/>
      <c r="I338" s="1140"/>
      <c r="J338" s="1140"/>
      <c r="K338" s="1140"/>
      <c r="L338" s="1140"/>
      <c r="M338" s="1140"/>
      <c r="N338" s="22"/>
      <c r="O338" s="323"/>
      <c r="P338" s="301"/>
      <c r="Q338" s="335" t="str">
        <f>EUconst_SumNonSustBioCO2</f>
        <v>SUM_bioNonSustCO2</v>
      </c>
      <c r="R338" s="500" t="str">
        <f>IF(E336="","",BG344)</f>
        <v/>
      </c>
      <c r="S338" s="2"/>
      <c r="T338" s="2"/>
      <c r="U338" s="2"/>
      <c r="V338" s="325"/>
      <c r="W338" s="325"/>
      <c r="X338" s="325"/>
      <c r="Y338" s="41"/>
      <c r="Z338" s="325"/>
      <c r="AA338" s="325"/>
      <c r="AB338" s="325"/>
      <c r="AC338" s="325"/>
      <c r="AD338" s="325"/>
      <c r="AE338" s="325"/>
      <c r="AF338" s="41"/>
      <c r="AG338" s="325"/>
      <c r="AH338" s="325"/>
      <c r="AI338" s="325"/>
      <c r="AJ338" s="342"/>
      <c r="AK338" s="342"/>
      <c r="AL338" s="337"/>
      <c r="AM338" s="337"/>
      <c r="AN338" s="337"/>
      <c r="AO338" s="337"/>
      <c r="AP338" s="337"/>
      <c r="AQ338" s="325"/>
      <c r="AR338" s="325"/>
      <c r="AS338" s="325"/>
      <c r="AT338" s="325"/>
      <c r="AU338" s="325"/>
      <c r="AV338" s="325"/>
      <c r="AW338" s="325"/>
      <c r="AX338" s="325"/>
      <c r="AY338" s="325"/>
      <c r="AZ338" s="325"/>
      <c r="BA338" s="325"/>
      <c r="BB338" s="325"/>
      <c r="BC338" s="325"/>
      <c r="BD338" s="325"/>
      <c r="BE338" s="325"/>
      <c r="BF338" s="325"/>
      <c r="BG338" s="325"/>
      <c r="BH338" s="325"/>
      <c r="BI338" s="20" t="s">
        <v>104</v>
      </c>
      <c r="BJ338" s="343"/>
      <c r="BK338" s="483" t="str">
        <f>IF(G352="","",G352)</f>
        <v/>
      </c>
      <c r="BL338" s="483" t="str">
        <f>IF(I352="","",I352)</f>
        <v/>
      </c>
      <c r="BM338" s="483" t="str">
        <f>IF(K352="","",K352)</f>
        <v/>
      </c>
      <c r="BN338" s="325"/>
      <c r="BO338" s="325"/>
      <c r="BP338" s="325"/>
      <c r="BQ338" s="325"/>
      <c r="BR338" s="325"/>
      <c r="BS338" s="325"/>
      <c r="BT338" s="330"/>
      <c r="BU338" s="325"/>
      <c r="BV338" s="325"/>
      <c r="BW338" s="325"/>
      <c r="BX338" s="325"/>
      <c r="BY338" s="325"/>
      <c r="BZ338" s="325"/>
      <c r="CA338" s="325"/>
      <c r="CB338" s="325"/>
      <c r="CC338" s="325"/>
      <c r="CD338" s="325"/>
      <c r="CE338" s="325"/>
      <c r="CF338" s="325"/>
      <c r="CG338" s="325"/>
    </row>
    <row r="339" spans="1:85" ht="5.15" customHeight="1" thickBot="1" x14ac:dyDescent="0.3">
      <c r="A339" s="318"/>
      <c r="B339" s="21"/>
      <c r="C339" s="21"/>
      <c r="D339" s="21"/>
      <c r="E339" s="21"/>
      <c r="F339" s="21"/>
      <c r="G339" s="21"/>
      <c r="H339" s="22"/>
      <c r="I339" s="22"/>
      <c r="J339" s="22"/>
      <c r="K339" s="22"/>
      <c r="L339" s="22"/>
      <c r="M339" s="22"/>
      <c r="N339" s="22"/>
      <c r="O339" s="323"/>
      <c r="P339" s="259"/>
      <c r="Q339" s="2"/>
      <c r="R339" s="259"/>
      <c r="S339" s="2"/>
      <c r="T339" s="2"/>
      <c r="U339" s="2"/>
      <c r="V339" s="325"/>
      <c r="W339" s="325"/>
      <c r="X339" s="325"/>
      <c r="Y339" s="23"/>
      <c r="Z339" s="325"/>
      <c r="AA339" s="325"/>
      <c r="AB339" s="325"/>
      <c r="AC339" s="325"/>
      <c r="AD339" s="325"/>
      <c r="AE339" s="325"/>
      <c r="AF339" s="41"/>
      <c r="AG339" s="325"/>
      <c r="AH339" s="325"/>
      <c r="AI339" s="325"/>
      <c r="AJ339" s="342"/>
      <c r="AK339" s="342"/>
      <c r="AL339" s="337"/>
      <c r="AM339" s="337"/>
      <c r="AN339" s="337"/>
      <c r="AO339" s="337"/>
      <c r="AP339" s="337"/>
      <c r="AQ339" s="325"/>
      <c r="AR339" s="325"/>
      <c r="AS339" s="325"/>
      <c r="AT339" s="325"/>
      <c r="AU339" s="325"/>
      <c r="AV339" s="325"/>
      <c r="AW339" s="325"/>
      <c r="AX339" s="325"/>
      <c r="AY339" s="325"/>
      <c r="AZ339" s="325"/>
      <c r="BA339" s="325"/>
      <c r="BB339" s="325"/>
      <c r="BC339" s="325"/>
      <c r="BD339" s="325"/>
      <c r="BE339" s="325"/>
      <c r="BF339" s="325"/>
      <c r="BG339" s="325"/>
      <c r="BH339" s="325"/>
      <c r="BI339" s="325"/>
      <c r="BJ339" s="325"/>
      <c r="BK339" s="325"/>
      <c r="BL339" s="325"/>
      <c r="BM339" s="325"/>
      <c r="BN339" s="325"/>
      <c r="BO339" s="325"/>
      <c r="BP339" s="325"/>
      <c r="BQ339" s="325"/>
      <c r="BR339" s="325"/>
      <c r="BS339" s="325"/>
      <c r="BT339" s="325"/>
      <c r="BU339" s="325"/>
      <c r="BV339" s="325"/>
      <c r="BW339" s="325"/>
      <c r="BX339" s="325"/>
      <c r="BY339" s="325"/>
      <c r="BZ339" s="325"/>
      <c r="CA339" s="325"/>
      <c r="CB339" s="325"/>
      <c r="CC339" s="325"/>
      <c r="CD339" s="325"/>
      <c r="CE339" s="325"/>
      <c r="CF339" s="325"/>
      <c r="CG339" s="325"/>
    </row>
    <row r="340" spans="1:85" ht="12.75" customHeight="1" thickBot="1" x14ac:dyDescent="0.3">
      <c r="A340" s="318"/>
      <c r="B340" s="21"/>
      <c r="C340" s="21"/>
      <c r="D340" s="21"/>
      <c r="E340" s="21"/>
      <c r="F340" s="347" t="str">
        <f>Translations!$B$127</f>
        <v>Määrittämistaso</v>
      </c>
      <c r="G340" s="1141" t="str">
        <f>Translations!$B$393</f>
        <v>määrittämistason kuvaus</v>
      </c>
      <c r="H340" s="1141"/>
      <c r="I340" s="1142" t="str">
        <f>Translations!$B$394</f>
        <v>Yksikkö</v>
      </c>
      <c r="J340" s="1142"/>
      <c r="K340" s="1142" t="str">
        <f>Translations!$B$395</f>
        <v>Arvo</v>
      </c>
      <c r="L340" s="1142"/>
      <c r="M340" s="327" t="str">
        <f>Translations!$B$396</f>
        <v>virhe</v>
      </c>
      <c r="N340" s="22"/>
      <c r="O340" s="323"/>
      <c r="P340" s="611"/>
      <c r="Q340" s="335" t="str">
        <f>EUconst_SumEnergyIN</f>
        <v>SUM_EnergyIN</v>
      </c>
      <c r="R340" s="501" t="str">
        <f>IF(E336="","",BG345)</f>
        <v/>
      </c>
      <c r="S340" s="325"/>
      <c r="T340" s="325"/>
      <c r="U340" s="325"/>
      <c r="V340" s="336" t="s">
        <v>105</v>
      </c>
      <c r="W340" s="325"/>
      <c r="X340" s="325"/>
      <c r="Y340" s="23" t="s">
        <v>106</v>
      </c>
      <c r="Z340" s="23" t="s">
        <v>107</v>
      </c>
      <c r="AA340" s="325"/>
      <c r="AB340" s="325"/>
      <c r="AC340" s="343" t="s">
        <v>108</v>
      </c>
      <c r="AD340" s="325"/>
      <c r="AE340" s="325"/>
      <c r="AF340" s="325" t="s">
        <v>109</v>
      </c>
      <c r="AG340" s="325" t="s">
        <v>110</v>
      </c>
      <c r="AH340" s="23" t="s">
        <v>111</v>
      </c>
      <c r="AI340" s="342" t="s">
        <v>112</v>
      </c>
      <c r="AJ340" s="342" t="s">
        <v>113</v>
      </c>
      <c r="AK340" s="348" t="s">
        <v>114</v>
      </c>
      <c r="AL340" s="337"/>
      <c r="AM340" s="337"/>
      <c r="AN340" s="337"/>
      <c r="AO340" s="337"/>
      <c r="AP340" s="337"/>
      <c r="AQ340" s="325"/>
      <c r="AR340" s="325" t="s">
        <v>109</v>
      </c>
      <c r="AS340" s="325" t="s">
        <v>110</v>
      </c>
      <c r="AT340" s="349" t="s">
        <v>115</v>
      </c>
      <c r="AU340" s="342" t="s">
        <v>116</v>
      </c>
      <c r="AV340" s="342" t="s">
        <v>117</v>
      </c>
      <c r="AW340" s="348" t="s">
        <v>114</v>
      </c>
      <c r="AX340" s="348" t="s">
        <v>114</v>
      </c>
      <c r="AY340" s="325"/>
      <c r="AZ340" s="325"/>
      <c r="BA340" s="325"/>
      <c r="BB340" s="325" t="s">
        <v>118</v>
      </c>
      <c r="BC340" s="325"/>
      <c r="BD340" s="325"/>
      <c r="BE340" s="325"/>
      <c r="BF340" s="325"/>
      <c r="BG340" s="330" t="str">
        <f>EUconst_Fuel</f>
        <v>Poltto</v>
      </c>
      <c r="BH340" s="325"/>
      <c r="BI340" s="325"/>
      <c r="BJ340" s="325"/>
      <c r="BK340" s="325"/>
      <c r="BL340" s="325"/>
      <c r="BM340" s="325"/>
      <c r="BN340" s="325"/>
      <c r="BO340" s="325"/>
      <c r="BP340" s="325"/>
      <c r="BQ340" s="325"/>
      <c r="BR340" s="325"/>
      <c r="BS340" s="325"/>
      <c r="BT340" s="325"/>
      <c r="BU340" s="325"/>
      <c r="BV340" s="325"/>
      <c r="BW340" s="325"/>
      <c r="BX340" s="325"/>
      <c r="BY340" s="325"/>
      <c r="BZ340" s="325"/>
      <c r="CA340" s="325"/>
      <c r="CB340" s="325"/>
      <c r="CC340" s="325"/>
      <c r="CD340" s="325"/>
      <c r="CE340" s="325"/>
      <c r="CF340" s="325"/>
      <c r="CG340" s="330" t="s">
        <v>94</v>
      </c>
    </row>
    <row r="341" spans="1:85" ht="12.75" customHeight="1" thickBot="1" x14ac:dyDescent="0.3">
      <c r="A341" s="318"/>
      <c r="B341" s="21"/>
      <c r="C341" s="344"/>
      <c r="D341" s="345" t="str">
        <f>Translations!$B$356</f>
        <v>Polttoaineen määrä:</v>
      </c>
      <c r="E341" s="350"/>
      <c r="F341" s="351"/>
      <c r="G341" s="1120" t="str">
        <f>IF(OR(ISBLANK(F341),F341=EUconst_NoTier),"",IF(Z341=0,EUconst_NA,IF(ISERROR(Z341),"",Z341)))</f>
        <v/>
      </c>
      <c r="H341" s="1122"/>
      <c r="I341" s="352" t="str">
        <f>IF(J341&lt;&gt;"","",AI341)</f>
        <v/>
      </c>
      <c r="J341" s="353"/>
      <c r="K341" s="1143"/>
      <c r="L341" s="1144"/>
      <c r="M341" s="486" t="str">
        <f>IF(AND(E336&lt;&gt;"",OR(F341="",COUNT(K341)=0),Y341&lt;&gt;EUconst_NA),EUconst_ERR_Incomplete,"")</f>
        <v/>
      </c>
      <c r="N341" s="22"/>
      <c r="O341" s="323"/>
      <c r="P341" s="612"/>
      <c r="Q341" s="335" t="str">
        <f>EUconst_SumBioEnergyIN</f>
        <v>SUM_BioEnergyIN</v>
      </c>
      <c r="R341" s="501" t="str">
        <f>IF(E336="","",BG346)</f>
        <v/>
      </c>
      <c r="S341" s="325"/>
      <c r="T341" s="355" t="str">
        <f>EUconst_CNTR_ActivityData&amp;E336</f>
        <v>ActivityData_</v>
      </c>
      <c r="U341" s="23"/>
      <c r="V341" s="355" t="str">
        <f>IF(E335="","",INDEX('B_Polttoainevirtojen tiedot'!$I$67:$I$91,MATCH(U334,'B_Polttoainevirtojen tiedot'!$D$67:$D$91,0)))</f>
        <v/>
      </c>
      <c r="W341" s="342" t="s">
        <v>121</v>
      </c>
      <c r="X341" s="23"/>
      <c r="Y341" s="356" t="str">
        <f>IF(E336="","",INDEX(EUwideConstants!$P$153:$P$180,MATCH(T341,EUwideConstants!$S$153:$S$180,0)))</f>
        <v/>
      </c>
      <c r="Z341" s="357" t="str">
        <f>IF(ISBLANK(F341),"",IF(F341=EUconst_NA,"",INDEX(EUwideConstants!$H:$O,MATCH(T341,EUwideConstants!$S:$S,0),MATCH(F341,CNTR_TierList,0))))</f>
        <v/>
      </c>
      <c r="AA341" s="358" t="s">
        <v>111</v>
      </c>
      <c r="AB341" s="342"/>
      <c r="AC341" s="339" t="b">
        <f>E335&lt;&gt;""</f>
        <v>0</v>
      </c>
      <c r="AD341" s="325"/>
      <c r="AE341" s="359" t="str">
        <f>EUconst_CNTR_ActivityData&amp;EUconst_Unit</f>
        <v>ActivityData_Yksikkö</v>
      </c>
      <c r="AF341" s="360" t="str">
        <f>IF(AC341=TRUE, IF(COUNTIF(MSPara_SourceStreamCategory,V341)=0,"",INDEX(MSPara_CalcFactorsMatrix,MATCH(V341,MSPara_SourceStreamCategory,0),MATCH(AE341&amp;"_"&amp;2,MSPara_CalcFactors,0))),"")</f>
        <v/>
      </c>
      <c r="AG341" s="361" t="str">
        <f>IF(AC341=TRUE, IF(COUNTIF(MSPara_SourceStreamCategory,V341)=0,"",INDEX(MSPara_CalcFactorsMatrix,MATCH(V341,MSPara_SourceStreamCategory,0),MATCH(AE341&amp;"_"&amp;1,MSPara_CalcFactors,0))),"")</f>
        <v/>
      </c>
      <c r="AH341" s="339" t="str">
        <f>IF(OR(AF341="",AF341=EUconst_NA),IF(OR(AG341=EUconst_NA,AG341=""),"",AG341),AF341)</f>
        <v/>
      </c>
      <c r="AI341" s="356" t="str">
        <f>IF(AC341=TRUE,IF(AH341="",EUconst_t,AH341),"")</f>
        <v/>
      </c>
      <c r="AJ341" s="362" t="str">
        <f>IF(J341="",AI341,J341)</f>
        <v/>
      </c>
      <c r="AK341" s="363" t="b">
        <f>AND(E335&lt;&gt;"",J341&lt;&gt;"")</f>
        <v>0</v>
      </c>
      <c r="AL341" s="337"/>
      <c r="AM341" s="404" t="s">
        <v>122</v>
      </c>
      <c r="AN341" s="403" t="str">
        <f>AJ341</f>
        <v/>
      </c>
      <c r="AO341" s="337"/>
      <c r="AP341" s="337"/>
      <c r="AQ341" s="355" t="str">
        <f>EUconst_CNTR_ActivityData&amp;EUconst_Value</f>
        <v>ActivityData_Arvo</v>
      </c>
      <c r="AR341" s="343"/>
      <c r="AS341" s="343"/>
      <c r="AT341" s="339" t="b">
        <f>AND(AND(AH341&lt;&gt;"",AJ341&lt;&gt;""),AJ341=AH341)</f>
        <v>0</v>
      </c>
      <c r="AU341" s="325"/>
      <c r="AV341" s="339">
        <f>IF(Y341=EUconst_NA,0,IF(COUNT(K341:K341)=0,0,IF(K341="",#REF!,K341)))</f>
        <v>0</v>
      </c>
      <c r="AW341" s="346" t="b">
        <f>AND(AC341=TRUE,OR(K341&lt;&gt;"",AU341=""))</f>
        <v>0</v>
      </c>
      <c r="AX341" s="346" t="b">
        <f>AND(AC341=TRUE,NOT(AW341))</f>
        <v>0</v>
      </c>
      <c r="AY341" s="325"/>
      <c r="AZ341" s="325" t="s">
        <v>123</v>
      </c>
      <c r="BA341" s="325" t="s">
        <v>124</v>
      </c>
      <c r="BB341" s="346"/>
      <c r="BC341" s="325" t="s">
        <v>125</v>
      </c>
      <c r="BD341" s="325"/>
      <c r="BE341" s="325"/>
      <c r="BF341" s="400" t="str">
        <f>Translations!$B$390</f>
        <v>CO2 fossil</v>
      </c>
      <c r="BG341" s="495" t="str">
        <f>IF(COUNTIF(AO344:AO345,TRUE)=0,"",AV341*IF(AO344,1,AV343*AN345)*AV344*(1-AV345)*AV348)</f>
        <v/>
      </c>
      <c r="BH341" s="325"/>
      <c r="BI341" s="325"/>
      <c r="BJ341" s="325"/>
      <c r="BK341" s="325"/>
      <c r="BL341" s="325"/>
      <c r="BM341" s="325"/>
      <c r="BN341" s="325"/>
      <c r="BO341" s="325"/>
      <c r="BP341" s="325"/>
      <c r="BQ341" s="325"/>
      <c r="BR341" s="325"/>
      <c r="BS341" s="325"/>
      <c r="BT341" s="325"/>
      <c r="BU341" s="325"/>
      <c r="BV341" s="325"/>
      <c r="BW341" s="325"/>
      <c r="BX341" s="325"/>
      <c r="BY341" s="325"/>
      <c r="BZ341" s="325"/>
      <c r="CA341" s="325"/>
      <c r="CB341" s="325"/>
      <c r="CC341" s="325"/>
      <c r="CD341" s="325"/>
      <c r="CE341" s="325"/>
      <c r="CF341" s="325"/>
      <c r="CG341" s="346" t="b">
        <v>0</v>
      </c>
    </row>
    <row r="342" spans="1:85" ht="5.15" customHeight="1" thickBot="1" x14ac:dyDescent="0.3">
      <c r="A342" s="318"/>
      <c r="B342" s="21"/>
      <c r="C342" s="344"/>
      <c r="D342" s="188"/>
      <c r="E342" s="22"/>
      <c r="F342" s="22"/>
      <c r="G342" s="22"/>
      <c r="H342" s="22" t="str">
        <f>Translations!$B$397</f>
        <v xml:space="preserve"> </v>
      </c>
      <c r="I342" s="364"/>
      <c r="J342" s="364"/>
      <c r="K342" s="22"/>
      <c r="L342" s="22"/>
      <c r="M342" s="487"/>
      <c r="N342" s="22"/>
      <c r="O342" s="323"/>
      <c r="P342" s="301"/>
      <c r="Q342" s="23"/>
      <c r="R342" s="23"/>
      <c r="S342" s="325"/>
      <c r="T342" s="277"/>
      <c r="U342" s="23"/>
      <c r="V342" s="325"/>
      <c r="W342" s="325"/>
      <c r="X342" s="23"/>
      <c r="Y342" s="330"/>
      <c r="Z342" s="325"/>
      <c r="AA342" s="325"/>
      <c r="AB342" s="325"/>
      <c r="AC342" s="325"/>
      <c r="AD342" s="325"/>
      <c r="AE342" s="325"/>
      <c r="AF342" s="325"/>
      <c r="AG342" s="325"/>
      <c r="AH342" s="325"/>
      <c r="AI342" s="325"/>
      <c r="AJ342" s="325"/>
      <c r="AK342" s="325"/>
      <c r="AL342" s="337"/>
      <c r="AM342" s="337"/>
      <c r="AN342" s="337"/>
      <c r="AO342" s="337"/>
      <c r="AP342" s="337"/>
      <c r="AQ342" s="325"/>
      <c r="AR342" s="325"/>
      <c r="AS342" s="325"/>
      <c r="AT342" s="325"/>
      <c r="AU342" s="325"/>
      <c r="AV342" s="325"/>
      <c r="AW342" s="325"/>
      <c r="AX342" s="325"/>
      <c r="AY342" s="325"/>
      <c r="AZ342" s="325"/>
      <c r="BA342" s="325"/>
      <c r="BB342" s="325"/>
      <c r="BC342" s="325"/>
      <c r="BD342" s="325"/>
      <c r="BE342" s="325"/>
      <c r="BF342" s="325"/>
      <c r="BG342" s="496"/>
      <c r="BH342" s="325"/>
      <c r="BI342" s="325"/>
      <c r="BJ342" s="325"/>
      <c r="BK342" s="325"/>
      <c r="BL342" s="325"/>
      <c r="BM342" s="325"/>
      <c r="BN342" s="325"/>
      <c r="BO342" s="325"/>
      <c r="BP342" s="325"/>
      <c r="BQ342" s="325"/>
      <c r="BR342" s="325"/>
      <c r="BS342" s="325"/>
      <c r="BT342" s="325"/>
      <c r="BU342" s="325"/>
      <c r="BV342" s="325"/>
      <c r="BW342" s="325"/>
      <c r="BX342" s="325"/>
      <c r="BY342" s="325"/>
      <c r="BZ342" s="325"/>
      <c r="CA342" s="325"/>
      <c r="CB342" s="325"/>
      <c r="CC342" s="325"/>
      <c r="CD342" s="325"/>
      <c r="CE342" s="325"/>
      <c r="CF342" s="325"/>
      <c r="CG342" s="330"/>
    </row>
    <row r="343" spans="1:85" ht="12.75" customHeight="1" thickBot="1" x14ac:dyDescent="0.3">
      <c r="A343" s="318"/>
      <c r="B343" s="21"/>
      <c r="C343" s="344"/>
      <c r="D343" s="345" t="str">
        <f>Translations!$B$360</f>
        <v>Yksikön muuntokerroin:</v>
      </c>
      <c r="E343" s="350"/>
      <c r="F343" s="443"/>
      <c r="G343" s="1120" t="str">
        <f>IF(OR(ISBLANK(F343),F343=EUconst_NoTier),"",IF(Z343=0,EUconst_NotApplicable,IF(ISERROR(Z343),"",Z343)))</f>
        <v/>
      </c>
      <c r="H343" s="1122"/>
      <c r="I343" s="444" t="str">
        <f>IF(J343&lt;&gt;"","",AI343)</f>
        <v/>
      </c>
      <c r="J343" s="445"/>
      <c r="K343" s="632" t="str">
        <f>IF(L343="",AU343,"")</f>
        <v/>
      </c>
      <c r="L343" s="633"/>
      <c r="M343" s="486" t="str">
        <f>IF(AND(E336&lt;&gt;"",OR(F343="",COUNT(K343:L343)=0),Y343&lt;&gt;EUconst_NA),EUconst_ERR_Incomplete,IF(COUNTIF(BB343:BD343,TRUE)&gt;0,EUconst_ERR_Inconsistent,""))</f>
        <v/>
      </c>
      <c r="N343" s="752"/>
      <c r="O343" s="323"/>
      <c r="P343" s="301"/>
      <c r="Q343" s="23"/>
      <c r="R343" s="23"/>
      <c r="S343" s="325"/>
      <c r="T343" s="365" t="str">
        <f>EUconst_CNTR_UCF&amp;E336</f>
        <v>UCF_</v>
      </c>
      <c r="U343" s="23"/>
      <c r="V343" s="366" t="str">
        <f>V344</f>
        <v/>
      </c>
      <c r="W343" s="325"/>
      <c r="X343" s="23"/>
      <c r="Y343" s="448" t="str">
        <f>IF(E336="","",IF(OR(F343=EUconst_NA,W343=TRUE),EUconst_NA,INDEX(EUwideConstants!$P$153:$P$180,MATCH(T343,EUwideConstants!$S$153:$S$180,0))))</f>
        <v/>
      </c>
      <c r="Z343" s="471" t="str">
        <f>IF(ISBLANK(F343),"",IF(F343=EUconst_NA,"",INDEX(EUwideConstants!$H:$O,MATCH(T343,EUwideConstants!$S:$S,0),MATCH(F343,CNTR_TierList,0))))</f>
        <v/>
      </c>
      <c r="AA343" s="449" t="str">
        <f>IF(COUNTIF(EUconst_DefaultValues,Z343)&gt;0,MATCH(Z343,EUconst_DefaultValues,0),"")</f>
        <v/>
      </c>
      <c r="AB343" s="325"/>
      <c r="AC343" s="367" t="b">
        <f>AND(AC341,Y343&lt;&gt;EUconst_NA)</f>
        <v>0</v>
      </c>
      <c r="AD343" s="325"/>
      <c r="AE343" s="359" t="str">
        <f>EUconst_CNTR_UCF&amp;EUconst_Unit</f>
        <v>UCF_Yksikkö</v>
      </c>
      <c r="AF343" s="368" t="str">
        <f>IF(AC343=TRUE, IF(COUNTIF(MSPara_SourceStreamCategory,V343)=0,"",INDEX(MSPara_CalcFactorsMatrix,MATCH(V343,MSPara_SourceStreamCategory,0),MATCH(AE343&amp;"_"&amp;2,MSPara_CalcFactors,0))),"")</f>
        <v/>
      </c>
      <c r="AG343" s="372" t="str">
        <f>IF(AC343=TRUE, IF(COUNTIF(MSPara_SourceStreamCategory,V343)=0,"",INDEX(MSPara_CalcFactorsMatrix,MATCH(V343,MSPara_SourceStreamCategory,0),MATCH(AE343&amp;"_"&amp;1,MSPara_CalcFactors,0))),"")</f>
        <v/>
      </c>
      <c r="AH343" s="367" t="str">
        <f>IF(AA343="","",INDEX(AF343:AG343,3-AA343))</f>
        <v/>
      </c>
      <c r="AI343" s="367" t="str">
        <f>IF(AC343=TRUE,IF(OR(AH343="",AH343=EUconst_NA),EUconst_GJ&amp;"/"&amp;AJ341,AH343),"")</f>
        <v/>
      </c>
      <c r="AJ343" s="367" t="str">
        <f>IF(J343="",AI343,J343)</f>
        <v/>
      </c>
      <c r="AK343" s="366" t="b">
        <f>AND(E335&lt;&gt;"",J343&lt;&gt;"")</f>
        <v>0</v>
      </c>
      <c r="AL343" s="337"/>
      <c r="AM343" s="404" t="s">
        <v>127</v>
      </c>
      <c r="AN343" s="403" t="str">
        <f>IF(AJ343="",EUconst_NA,IF(AN341=EUconst_TJ,EUconst_TJ,INDEX(EUwideConstants!$C$124:$G$128,MATCH(AN341,RFAUnits,0),MATCH(AJ343,UCFUnits,0))))</f>
        <v>ei sovellettavissa</v>
      </c>
      <c r="AO343" s="337"/>
      <c r="AP343" s="337"/>
      <c r="AQ343" s="454" t="str">
        <f>EUconst_CNTR_UCF&amp;EUconst_Value</f>
        <v>UCF_Arvo</v>
      </c>
      <c r="AR343" s="475" t="str">
        <f>IF(AC343=TRUE,IF(COUNTIF(MSPara_SourceStreamCategory,V343)=0,"",INDEX(MSPara_CalcFactorsMatrix,MATCH(V343,MSPara_SourceStreamCategory,0),MATCH(AQ343&amp;"_"&amp;2,MSPara_CalcFactors,0))),"")</f>
        <v/>
      </c>
      <c r="AS343" s="371" t="str">
        <f>IF(AC343=TRUE,IF(COUNTIF(MSPara_SourceStreamCategory,V343)=0,"",INDEX(MSPara_CalcFactorsMatrix,MATCH(V343,MSPara_SourceStreamCategory,0),MATCH(AQ343&amp;"_"&amp;1,MSPara_CalcFactors,0))),"")</f>
        <v/>
      </c>
      <c r="AT343" s="369" t="b">
        <f>AND(AND(AH343&lt;&gt;"",AJ343&lt;&gt;""),AJ343=AH343)</f>
        <v>0</v>
      </c>
      <c r="AU343" s="381" t="str">
        <f>IF(AND(AA343&lt;&gt;"",AT343=TRUE),IF(OR(INDEX(AR343:AS343,3-AA343)=EUconst_NA,INDEX(AR343:AS343,3-AA343)=0),"",INDEX(AR343:AS343,3-AA343)),"")</f>
        <v/>
      </c>
      <c r="AV343" s="367">
        <f>IF(AC343=TRUE,IF(COUNT(K343:L343)=0,0,IF(L343="",K343,L343)),0)</f>
        <v>0</v>
      </c>
      <c r="AW343" s="366" t="b">
        <f>AND(AC343=TRUE,OR(AND(F343&lt;&gt;"",NOT(ISNUMBER(AA343))),L343&lt;&gt;"",F343="",AU343=""))</f>
        <v>0</v>
      </c>
      <c r="AX343" s="370" t="b">
        <f>AND(AC343=TRUE,NOT(AW343))</f>
        <v>0</v>
      </c>
      <c r="AY343" s="325"/>
      <c r="AZ343" s="373" t="b">
        <f>AND(ISNUMBER(AA343),AU343="")</f>
        <v>0</v>
      </c>
      <c r="BA343" s="399" t="b">
        <f>AND(ISNUMBER(AA343),AU343&lt;&gt;AV343)</f>
        <v>0</v>
      </c>
      <c r="BB343" s="366" t="b">
        <f>AND(E336&lt;&gt;"",F343&lt;&gt;EUconst_NA,AN343=EUconst_NA)</f>
        <v>0</v>
      </c>
      <c r="BC343" s="366" t="b">
        <f>AND(L343&lt;&gt;"",Y343=EUconst_NA)</f>
        <v>0</v>
      </c>
      <c r="BD343" s="325"/>
      <c r="BE343" s="325"/>
      <c r="BF343" s="373" t="s">
        <v>128</v>
      </c>
      <c r="BG343" s="497" t="str">
        <f>IF(COUNTIF(AO344:AO345,TRUE)=0,"",AV341*IF(AO344,1,AV343*AN345)*AV344*AV345*AV348)</f>
        <v/>
      </c>
      <c r="BH343" s="325"/>
      <c r="BI343" s="325"/>
      <c r="BJ343" s="325"/>
      <c r="BK343" s="325"/>
      <c r="BL343" s="325"/>
      <c r="BM343" s="325"/>
      <c r="BN343" s="325"/>
      <c r="BO343" s="325"/>
      <c r="BP343" s="325"/>
      <c r="BQ343" s="325"/>
      <c r="BR343" s="325"/>
      <c r="BS343" s="325"/>
      <c r="BT343" s="325"/>
      <c r="BU343" s="325"/>
      <c r="BV343" s="325"/>
      <c r="BW343" s="325"/>
      <c r="BX343" s="325"/>
      <c r="BY343" s="325"/>
      <c r="BZ343" s="325"/>
      <c r="CA343" s="325"/>
      <c r="CB343" s="325"/>
      <c r="CC343" s="325"/>
      <c r="CD343" s="325"/>
      <c r="CE343" s="325"/>
      <c r="CF343" s="325"/>
      <c r="CG343" s="375" t="b">
        <f>OR(CG341,Y343=EUconst_NA)</f>
        <v>0</v>
      </c>
    </row>
    <row r="344" spans="1:85" ht="12.75" customHeight="1" thickBot="1" x14ac:dyDescent="0.3">
      <c r="A344" s="318"/>
      <c r="B344" s="21"/>
      <c r="C344" s="344"/>
      <c r="D344" s="345" t="str">
        <f>Translations!$B$358</f>
        <v>Päästökerroin (alustava):</v>
      </c>
      <c r="E344" s="350"/>
      <c r="F344" s="624"/>
      <c r="G344" s="1120" t="str">
        <f>IF(OR(ISBLANK(F344),F344=EUconst_NoTier),"",IF(Z344=0,EUconst_NotApplicable,IF(ISERROR(Z344),"",Z344)))</f>
        <v/>
      </c>
      <c r="H344" s="1121"/>
      <c r="I344" s="625" t="str">
        <f>IF(J344&lt;&gt;"","",AI344)</f>
        <v/>
      </c>
      <c r="J344" s="631"/>
      <c r="K344" s="634" t="str">
        <f>IF(L344="",AU344,"")</f>
        <v/>
      </c>
      <c r="L344" s="754"/>
      <c r="M344" s="486" t="str">
        <f>IF(AND(E336&lt;&gt;"",OR(F344="",COUNT(K344:L344)=0),Y344&lt;&gt;EUconst_NA),EUconst_ERR_Incomplete,IF(COUNTIF(BB344:BD344,TRUE)&gt;0,EUconst_ERR_Inconsistent,""))</f>
        <v/>
      </c>
      <c r="N344" s="753"/>
      <c r="O344" s="323"/>
      <c r="P344" s="301"/>
      <c r="Q344" s="23"/>
      <c r="R344" s="23"/>
      <c r="S344" s="325"/>
      <c r="T344" s="374" t="str">
        <f>EUconst_CNTR_EF&amp;E336</f>
        <v>EF_</v>
      </c>
      <c r="U344" s="23"/>
      <c r="V344" s="375" t="str">
        <f>V341</f>
        <v/>
      </c>
      <c r="W344" s="325"/>
      <c r="X344" s="23"/>
      <c r="Y344" s="450" t="str">
        <f>IF(E336="","",IF(OR(F344=EUconst_NA,W344=TRUE),EUconst_NA,INDEX(EUwideConstants!$P$153:$P$180,MATCH(T344,EUwideConstants!$S$153:$S$180,0))))</f>
        <v/>
      </c>
      <c r="Z344" s="472" t="str">
        <f>IF(ISBLANK(F344),"",IF(F344=EUconst_NA,"",INDEX(EUwideConstants!$H:$O,MATCH(T344,EUwideConstants!$S:$S,0),MATCH(F344,CNTR_TierList,0))))</f>
        <v/>
      </c>
      <c r="AA344" s="451" t="str">
        <f>IF(COUNTIF(EUconst_DefaultValues,Z344)&gt;0,MATCH(Z344,EUconst_DefaultValues,0),"")</f>
        <v/>
      </c>
      <c r="AB344" s="325"/>
      <c r="AC344" s="376" t="b">
        <f>AND(AC341,Y344&lt;&gt;EUconst_NA)</f>
        <v>0</v>
      </c>
      <c r="AD344" s="325"/>
      <c r="AE344" s="377" t="str">
        <f>EUconst_CNTR_EF&amp;EUconst_Unit</f>
        <v>EF_Yksikkö</v>
      </c>
      <c r="AF344" s="378" t="str">
        <f>IF(AC344=TRUE, IF(COUNTIF(MSPara_SourceStreamCategory,V344)=0,"",INDEX(MSPara_CalcFactorsMatrix,MATCH(V344,MSPara_SourceStreamCategory,0),MATCH(AE344&amp;"_"&amp;2,MSPara_CalcFactors,0))),"")</f>
        <v/>
      </c>
      <c r="AG344" s="464" t="str">
        <f>IF(AC344=TRUE, IF(COUNTIF(MSPara_SourceStreamCategory,V344)=0,"",INDEX(MSPara_CalcFactorsMatrix,MATCH(V344,MSPara_SourceStreamCategory,0),MATCH(AE344&amp;"_"&amp;1,MSPara_CalcFactors,0))),"")</f>
        <v/>
      </c>
      <c r="AH344" s="376" t="str">
        <f>IF(AA344="","",INDEX(AF344:AG344,3-AA344))</f>
        <v/>
      </c>
      <c r="AI344" s="376" t="str">
        <f>IF(AC344=TRUE,IF(OR(AH344="",AH344=EUconst_NA),EUconst_tCO2&amp;"/"&amp;IF(AN343=EUconst_NA,AN341,IF(AN343=EUconst_GJ,EUconst_TJ,AN343)),AH344),"")</f>
        <v/>
      </c>
      <c r="AJ344" s="376" t="str">
        <f>IF(J344="",AI344,J344)</f>
        <v/>
      </c>
      <c r="AK344" s="375" t="b">
        <f>AND(E336&lt;&gt;"",J344&lt;&gt;"")</f>
        <v>0</v>
      </c>
      <c r="AL344" s="337"/>
      <c r="AM344" s="404" t="s">
        <v>130</v>
      </c>
      <c r="AN344" s="403" t="str">
        <f>IF(COUNTIF(RFAUnits,AN341)=0,EUconst_NA,INDEX(EUwideConstants!$C$139:$H$143,MATCH(AJ344,EFUnits,0),MATCH(AN341,EUwideConstants!$C$138:$H$138,0)))</f>
        <v>ei sovellettavissa</v>
      </c>
      <c r="AO344" s="403" t="b">
        <f>AN344&lt;&gt;EUconst_NA</f>
        <v>0</v>
      </c>
      <c r="AP344" s="337"/>
      <c r="AQ344" s="455" t="str">
        <f>EUconst_CNTR_EF&amp;EUconst_Value</f>
        <v>EF_Arvo</v>
      </c>
      <c r="AR344" s="476" t="str">
        <f>IF(AC344=TRUE,IF(COUNTIF(MSPara_SourceStreamCategory,V344)=0,"",INDEX(MSPara_CalcFactorsMatrix,MATCH(V344,MSPara_SourceStreamCategory,0),MATCH(AQ344&amp;"_"&amp;2,MSPara_CalcFactors,0))),"")</f>
        <v/>
      </c>
      <c r="AS344" s="383" t="str">
        <f>IF(AC344=TRUE,IF(COUNTIF(MSPara_SourceStreamCategory,V344)=0,"",INDEX(MSPara_CalcFactorsMatrix,MATCH(V344,MSPara_SourceStreamCategory,0),MATCH(AQ344&amp;"_"&amp;1,MSPara_CalcFactors,0))),"")</f>
        <v/>
      </c>
      <c r="AT344" s="456" t="b">
        <f>AND(AND(AH344&lt;&gt;"",AJ344&lt;&gt;""),AJ344=AH344)</f>
        <v>0</v>
      </c>
      <c r="AU344" s="334" t="str">
        <f>IF(AND(AA344&lt;&gt;"",AT344=TRUE),IF(OR(INDEX(AR344:AS344,3-AA344)=EUconst_NA,INDEX(AR344:AS344,3-AA344)=0),"",INDEX(AR344:AS344,3-AA344)),"")</f>
        <v/>
      </c>
      <c r="AV344" s="376">
        <f>IF(AC344=TRUE,IF(COUNT(K344:L344)=0,0,IF(L344="",K344,L344)),0)</f>
        <v>0</v>
      </c>
      <c r="AW344" s="375" t="b">
        <f>AND(AC344=TRUE,OR(AND(F344&lt;&gt;"",NOT(ISNUMBER(AA344))),L344&lt;&gt;"",F344="",AU344=""))</f>
        <v>0</v>
      </c>
      <c r="AX344" s="457" t="b">
        <f>AND(AC344=TRUE,NOT(AW344))</f>
        <v>0</v>
      </c>
      <c r="AY344" s="325"/>
      <c r="AZ344" s="379" t="b">
        <f>AND(ISNUMBER(AA344),AU344="")</f>
        <v>0</v>
      </c>
      <c r="BA344" s="380" t="b">
        <f>AND(ISNUMBER(AA344),AU344&lt;&gt;AV344)</f>
        <v>0</v>
      </c>
      <c r="BB344" s="382" t="b">
        <f>AND(E336&lt;&gt;"",COUNTIF(AO344:AO345,TRUE)=0)</f>
        <v>0</v>
      </c>
      <c r="BC344" s="375" t="b">
        <f>AND(L344&lt;&gt;"",Y344=EUconst_NA)</f>
        <v>0</v>
      </c>
      <c r="BD344" s="325"/>
      <c r="BE344" s="325"/>
      <c r="BF344" s="379" t="s">
        <v>131</v>
      </c>
      <c r="BG344" s="498" t="str">
        <f>IF(COUNTIF(AO344:AO345,TRUE)=0,"",AV341*IF(AO344,1,AV343*AN345)*AV344*AV346*AV348)</f>
        <v/>
      </c>
      <c r="BH344" s="325"/>
      <c r="BI344" s="325"/>
      <c r="BJ344" s="325"/>
      <c r="BK344" s="325"/>
      <c r="BL344" s="325"/>
      <c r="BM344" s="325"/>
      <c r="BN344" s="325"/>
      <c r="BO344" s="325"/>
      <c r="BP344" s="325"/>
      <c r="BQ344" s="325"/>
      <c r="BR344" s="325"/>
      <c r="BS344" s="325"/>
      <c r="BT344" s="325"/>
      <c r="BU344" s="325"/>
      <c r="BV344" s="325"/>
      <c r="BW344" s="325"/>
      <c r="BX344" s="325"/>
      <c r="BY344" s="325"/>
      <c r="BZ344" s="325"/>
      <c r="CA344" s="325"/>
      <c r="CB344" s="325"/>
      <c r="CC344" s="325"/>
      <c r="CD344" s="325"/>
      <c r="CE344" s="325"/>
      <c r="CF344" s="325"/>
      <c r="CG344" s="366" t="b">
        <f>OR(CG341,Y344=EUconst_NA)</f>
        <v>0</v>
      </c>
    </row>
    <row r="345" spans="1:85" ht="12.75" customHeight="1" x14ac:dyDescent="0.25">
      <c r="A345" s="318"/>
      <c r="B345" s="21"/>
      <c r="C345" s="344"/>
      <c r="D345" s="345" t="str">
        <f>Translations!$B$362</f>
        <v>Biomassaosuus:</v>
      </c>
      <c r="E345" s="350"/>
      <c r="F345" s="624"/>
      <c r="G345" s="1120" t="str">
        <f>IF(OR(ISBLANK(F345),F345=EUconst_NoTier),"",IF(Z345=0,EUconst_NotApplicable,IF(ISERROR(Z345),"",Z345)))</f>
        <v/>
      </c>
      <c r="H345" s="1122"/>
      <c r="I345" s="626" t="str">
        <f>IF(OR(AC345=FALSE,Y345=EUconst_NA),"","-")</f>
        <v/>
      </c>
      <c r="J345" s="446"/>
      <c r="K345" s="635" t="str">
        <f>IF(L345="",AU345,"")</f>
        <v/>
      </c>
      <c r="L345" s="627"/>
      <c r="M345" s="486" t="str">
        <f>IF(AND(E336&lt;&gt;"",OR(F345="",COUNT(K345:L345)=0),Y345&lt;&gt;EUconst_NA),EUconst_ERR_Incomplete,IF(COUNTIF(BB345:BD345,TRUE)&gt;0,EUconst_ERR_Inconsistent,""))</f>
        <v/>
      </c>
      <c r="O345" s="323"/>
      <c r="P345" s="612"/>
      <c r="Q345" s="354"/>
      <c r="R345" s="354"/>
      <c r="S345" s="325"/>
      <c r="T345" s="374" t="str">
        <f>EUconst_CNTR_BiomassContent&amp;E336</f>
        <v>BioC_</v>
      </c>
      <c r="U345" s="23"/>
      <c r="V345" s="375" t="str">
        <f>V343</f>
        <v/>
      </c>
      <c r="W345" s="366" t="e">
        <f>IF(COUNTIF(MSPara_SourceStreamCategory,V345)=0,"",INDEX(MSPara_IsFossil,MATCH(V345,MSPara_SourceStreamCategory,0)))</f>
        <v>#N/A</v>
      </c>
      <c r="X345" s="23"/>
      <c r="Y345" s="450" t="str">
        <f>IF(E336="","",IF(OR(F345=EUconst_NA,W345=TRUE),EUconst_NA,INDEX(EUwideConstants!$P$153:$P$180,MATCH(T345,EUwideConstants!$S$153:$S$180,0))))</f>
        <v/>
      </c>
      <c r="Z345" s="472" t="str">
        <f>IF(ISBLANK(F345),"",IF(F345=EUconst_NA,"",INDEX(EUwideConstants!$H:$O,MATCH(T345,EUwideConstants!$S:$S,0),MATCH(F345,CNTR_TierList,0))))</f>
        <v/>
      </c>
      <c r="AA345" s="681" t="str">
        <f>IF(F345=1,1,"")</f>
        <v/>
      </c>
      <c r="AB345" s="325"/>
      <c r="AC345" s="376" t="b">
        <f>AND(AC341,Y345&lt;&gt;EUconst_NA)</f>
        <v>0</v>
      </c>
      <c r="AD345" s="325"/>
      <c r="AE345" s="462"/>
      <c r="AF345" s="460"/>
      <c r="AG345" s="465"/>
      <c r="AH345" s="467"/>
      <c r="AI345" s="467"/>
      <c r="AJ345" s="467"/>
      <c r="AK345" s="469"/>
      <c r="AL345" s="337"/>
      <c r="AM345" s="404" t="s">
        <v>132</v>
      </c>
      <c r="AN345" s="403" t="str">
        <f>IF(AN343=EUconst_NA,EUconst_NA,INDEX(EUwideConstants!$C$139:$H$143,MATCH(AJ344,EFUnits,0),MATCH(AN343,EUwideConstants!$C$138:$H$138,0)))</f>
        <v>ei sovellettavissa</v>
      </c>
      <c r="AO345" s="403" t="b">
        <f>AN345&lt;&gt;EUconst_NA</f>
        <v>0</v>
      </c>
      <c r="AP345" s="337"/>
      <c r="AQ345" s="455" t="str">
        <f>EUconst_CNTR_BiomassContent&amp;EUconst_Value</f>
        <v>BioC_Arvo</v>
      </c>
      <c r="AR345" s="462"/>
      <c r="AS345" s="383" t="str">
        <f>IF(AC345=TRUE,IF(COUNTIF(MSPara_SourceStreamCategory,V345)=0,"",INDEX(MSPara_CalcFactorsMatrix,MATCH(V345,MSPara_SourceStreamCategory,0),MATCH(AQ345&amp;"_"&amp;2,MSPara_CalcFactors,0))),"")</f>
        <v/>
      </c>
      <c r="AT345" s="458"/>
      <c r="AU345" s="334" t="str">
        <f>IF(OR(AA345="",AS345=EUconst_NA),"",AS345)</f>
        <v/>
      </c>
      <c r="AV345" s="376">
        <f>IF(AC345=TRUE,IF(COUNT(K345:L345)=0,0,IF(L345="",K345,L345)),0)</f>
        <v>0</v>
      </c>
      <c r="AW345" s="375" t="b">
        <f>AND(AC345=TRUE,OR(AND(F345&lt;&gt;"",NOT(ISNUMBER(AA345))),L345&lt;&gt;"",F345="",AU345=""))</f>
        <v>0</v>
      </c>
      <c r="AX345" s="457" t="b">
        <f>AND(AC345=TRUE,NOT(AW345))</f>
        <v>0</v>
      </c>
      <c r="AY345" s="325"/>
      <c r="AZ345" s="379" t="b">
        <f>AND(ISNUMBER(AA345),AU345="")</f>
        <v>0</v>
      </c>
      <c r="BA345" s="380" t="b">
        <f>AND(ISNUMBER(AA345),AU345&lt;&gt;AV345)</f>
        <v>0</v>
      </c>
      <c r="BB345" s="325"/>
      <c r="BC345" s="375" t="b">
        <f>AND(L345&lt;&gt;"",Y345=EUconst_NA)</f>
        <v>0</v>
      </c>
      <c r="BD345" s="366" t="b">
        <f>OR(AV345&gt;100%,(AV345+AV346)&gt;100%)</f>
        <v>0</v>
      </c>
      <c r="BE345" s="325"/>
      <c r="BF345" s="379" t="s">
        <v>133</v>
      </c>
      <c r="BG345" s="498" t="str">
        <f>IF(AN341=EUconst_TJ,AV341*(1-AV345),IF(AN343=EUconst_GJ,AV341*AV343/1000*(1-AV345),""))</f>
        <v/>
      </c>
      <c r="BH345" s="325"/>
      <c r="BI345" s="325"/>
      <c r="BJ345" s="325"/>
      <c r="BK345" s="325"/>
      <c r="BL345" s="325"/>
      <c r="BM345" s="325"/>
      <c r="BN345" s="325"/>
      <c r="BO345" s="325"/>
      <c r="BP345" s="325"/>
      <c r="BQ345" s="325"/>
      <c r="BR345" s="325"/>
      <c r="BS345" s="325"/>
      <c r="BT345" s="325"/>
      <c r="BU345" s="325"/>
      <c r="BV345" s="325"/>
      <c r="BW345" s="325"/>
      <c r="BX345" s="325"/>
      <c r="BY345" s="325"/>
      <c r="BZ345" s="325"/>
      <c r="CA345" s="325"/>
      <c r="CB345" s="325"/>
      <c r="CC345" s="325"/>
      <c r="CD345" s="325"/>
      <c r="CE345" s="325"/>
      <c r="CF345" s="325"/>
      <c r="CG345" s="375" t="b">
        <f>OR(CG341,Y345=EUconst_NA)</f>
        <v>0</v>
      </c>
    </row>
    <row r="346" spans="1:85" ht="12.75" customHeight="1" thickBot="1" x14ac:dyDescent="0.3">
      <c r="A346" s="318"/>
      <c r="B346" s="21"/>
      <c r="C346" s="344"/>
      <c r="D346" s="345" t="str">
        <f>Translations!$B$368</f>
        <v>Ei kestävä biomassaosuus:</v>
      </c>
      <c r="E346" s="350"/>
      <c r="F346" s="628"/>
      <c r="G346" s="1120" t="str">
        <f>IF(OR(ISBLANK(F346),F346=EUconst_NoTier),"",IF(Z346=0,EUconst_NotApplicable,IF(ISERROR(Z346),"",Z346)))</f>
        <v/>
      </c>
      <c r="H346" s="1122"/>
      <c r="I346" s="629" t="str">
        <f>IF(OR(AC346=FALSE,Y346=EUconst_NA),"","-")</f>
        <v/>
      </c>
      <c r="J346" s="447"/>
      <c r="K346" s="636" t="str">
        <f>IF(L346="",AU346,"")</f>
        <v/>
      </c>
      <c r="L346" s="630"/>
      <c r="M346" s="486" t="str">
        <f>IF(AND(E336&lt;&gt;"",OR(F346="",COUNT(K346:L346)=0),Y346&lt;&gt;EUconst_NA),EUconst_ERR_Incomplete,IF(COUNTIF(BB346:BD346,TRUE)&gt;0,EUconst_ERR_Inconsistent,""))</f>
        <v/>
      </c>
      <c r="N346" s="22"/>
      <c r="O346" s="323"/>
      <c r="P346" s="612"/>
      <c r="Q346" s="354"/>
      <c r="R346" s="354"/>
      <c r="S346" s="325"/>
      <c r="T346" s="384" t="str">
        <f>EUconst_CNTR_BiomassContent&amp;E336</f>
        <v>BioC_</v>
      </c>
      <c r="U346" s="23"/>
      <c r="V346" s="382" t="str">
        <f>V345</f>
        <v/>
      </c>
      <c r="W346" s="382" t="e">
        <f>IF(COUNTIF(MSPara_SourceStreamCategory,V346)=0,"",INDEX(MSPara_IsFossil,MATCH(V346,MSPara_SourceStreamCategory,0)))</f>
        <v>#N/A</v>
      </c>
      <c r="X346" s="23"/>
      <c r="Y346" s="452" t="str">
        <f>IF(E336="","",IF(OR(F346=EUconst_NA,W346=TRUE),EUconst_NA,INDEX(EUwideConstants!$P$153:$P$180,MATCH(T346,EUwideConstants!$S$153:$S$180,0))))</f>
        <v/>
      </c>
      <c r="Z346" s="473" t="str">
        <f>IF(ISBLANK(F346),"",IF(F346=EUconst_NA,"",INDEX(EUwideConstants!$H:$O,MATCH(T346,EUwideConstants!$S:$S,0),MATCH(F346,CNTR_TierList,0))))</f>
        <v/>
      </c>
      <c r="AA346" s="682" t="str">
        <f>IF(F346=1,1,"")</f>
        <v/>
      </c>
      <c r="AB346" s="325"/>
      <c r="AC346" s="453" t="b">
        <f>AND(AC341,Y346&lt;&gt;EUconst_NA)</f>
        <v>0</v>
      </c>
      <c r="AD346" s="325"/>
      <c r="AE346" s="463"/>
      <c r="AF346" s="461"/>
      <c r="AG346" s="466"/>
      <c r="AH346" s="468"/>
      <c r="AI346" s="468"/>
      <c r="AJ346" s="468"/>
      <c r="AK346" s="470"/>
      <c r="AL346" s="337"/>
      <c r="AM346" s="337"/>
      <c r="AN346" s="337"/>
      <c r="AO346" s="337"/>
      <c r="AP346" s="337"/>
      <c r="AQ346" s="474" t="str">
        <f>EUconst_CNTR_BiomassContent&amp;EUconst_Value</f>
        <v>BioC_Arvo</v>
      </c>
      <c r="AR346" s="463"/>
      <c r="AS346" s="385" t="str">
        <f>IF(AC346=TRUE,IF(COUNTIF(MSPara_SourceStreamCategory,V346)=0,"",INDEX(MSPara_CalcFactorsMatrix,MATCH(V346,MSPara_SourceStreamCategory,0),MATCH(AQ346&amp;"_"&amp;2,MSPara_CalcFactors,0))),"")</f>
        <v/>
      </c>
      <c r="AT346" s="459"/>
      <c r="AU346" s="477" t="str">
        <f>IF(OR(AA346="",AS346=EUconst_NA),"",AS346)</f>
        <v/>
      </c>
      <c r="AV346" s="453">
        <f>IF(AC346=TRUE,IF(COUNT(K346:L346)=0,0,IF(L346="",K346,L346)),0)</f>
        <v>0</v>
      </c>
      <c r="AW346" s="382" t="b">
        <f>AND(AC346=TRUE,OR(AND(F346&lt;&gt;"",NOT(ISNUMBER(AA346))),L346&lt;&gt;"",F346="",AU346=""))</f>
        <v>0</v>
      </c>
      <c r="AX346" s="478" t="b">
        <f>AND(AC346=TRUE,NOT(AW346))</f>
        <v>0</v>
      </c>
      <c r="AY346" s="325"/>
      <c r="AZ346" s="386" t="b">
        <f>AND(ISNUMBER(AA346),AU346="")</f>
        <v>0</v>
      </c>
      <c r="BA346" s="387" t="b">
        <f>AND(ISNUMBER(AA346),AU346&lt;&gt;AV346)</f>
        <v>0</v>
      </c>
      <c r="BB346" s="325"/>
      <c r="BC346" s="382" t="b">
        <f>AND(L346&lt;&gt;"",Y346=EUconst_NA)</f>
        <v>0</v>
      </c>
      <c r="BD346" s="382" t="b">
        <f>OR(AV345&gt;100%,(AV345+AV346)&gt;100%)</f>
        <v>0</v>
      </c>
      <c r="BE346" s="325"/>
      <c r="BF346" s="386" t="s">
        <v>134</v>
      </c>
      <c r="BG346" s="499" t="str">
        <f>IF(AN341=EUconst_TJ,AV341*AV345,IF(AN343=EUconst_GJ,AV341*AV343/1000*AV345,""))</f>
        <v/>
      </c>
      <c r="BH346" s="325"/>
      <c r="BI346" s="325"/>
      <c r="BJ346" s="325"/>
      <c r="BK346" s="325"/>
      <c r="BL346" s="325"/>
      <c r="BM346" s="325"/>
      <c r="BN346" s="325"/>
      <c r="BO346" s="325"/>
      <c r="BP346" s="325"/>
      <c r="BQ346" s="325"/>
      <c r="BR346" s="325"/>
      <c r="BS346" s="325"/>
      <c r="BT346" s="325"/>
      <c r="BU346" s="325"/>
      <c r="BV346" s="325"/>
      <c r="BW346" s="325"/>
      <c r="BX346" s="325"/>
      <c r="BY346" s="325"/>
      <c r="BZ346" s="325"/>
      <c r="CA346" s="325"/>
      <c r="CB346" s="325"/>
      <c r="CC346" s="325"/>
      <c r="CD346" s="325"/>
      <c r="CE346" s="325"/>
      <c r="CF346" s="325"/>
      <c r="CG346" s="382" t="b">
        <f>OR(CG341,Y346=EUconst_NA)</f>
        <v>0</v>
      </c>
    </row>
    <row r="347" spans="1:85" ht="5.15" customHeight="1" thickBot="1" x14ac:dyDescent="0.3">
      <c r="A347" s="318"/>
      <c r="B347" s="21"/>
      <c r="C347" s="21"/>
      <c r="D347" s="327"/>
      <c r="E347" s="22"/>
      <c r="F347" s="22"/>
      <c r="G347" s="22"/>
      <c r="H347" s="22"/>
      <c r="I347" s="22"/>
      <c r="J347" s="22"/>
      <c r="K347" s="22"/>
      <c r="L347" s="22"/>
      <c r="M347" s="488"/>
      <c r="N347" s="22"/>
      <c r="O347" s="323"/>
      <c r="P347" s="301"/>
      <c r="Q347" s="23"/>
      <c r="R347" s="23"/>
      <c r="S347" s="325"/>
      <c r="T347" s="325"/>
      <c r="U347" s="325"/>
      <c r="V347" s="325"/>
      <c r="W347" s="325"/>
      <c r="X347" s="325"/>
      <c r="Y347" s="325"/>
      <c r="Z347" s="325"/>
      <c r="AA347" s="325"/>
      <c r="AB347" s="325"/>
      <c r="AC347" s="325"/>
      <c r="AD347" s="325"/>
      <c r="AE347" s="325"/>
      <c r="AF347" s="325"/>
      <c r="AG347" s="325"/>
      <c r="AH347" s="325"/>
      <c r="AI347" s="325"/>
      <c r="AJ347" s="325"/>
      <c r="AK347" s="325"/>
      <c r="AL347" s="325"/>
      <c r="AM347" s="325"/>
      <c r="AN347" s="325"/>
      <c r="AO347" s="325"/>
      <c r="AP347" s="325"/>
      <c r="AQ347" s="325"/>
      <c r="AR347" s="325"/>
      <c r="AS347" s="325"/>
      <c r="AT347" s="325"/>
      <c r="AU347" s="325"/>
      <c r="AV347" s="325"/>
      <c r="AW347" s="325"/>
      <c r="AX347" s="325"/>
      <c r="AY347" s="325"/>
      <c r="AZ347" s="325"/>
      <c r="BA347" s="325"/>
      <c r="BB347" s="325"/>
      <c r="BC347" s="325"/>
      <c r="BD347" s="325"/>
      <c r="BE347" s="325"/>
      <c r="BF347" s="325"/>
      <c r="BG347" s="325"/>
      <c r="BH347" s="325"/>
      <c r="BI347" s="325"/>
      <c r="BJ347" s="325"/>
      <c r="BK347" s="325"/>
      <c r="BL347" s="325"/>
      <c r="BM347" s="325"/>
      <c r="BN347" s="325"/>
      <c r="BO347" s="325"/>
      <c r="BP347" s="325"/>
      <c r="BQ347" s="325"/>
      <c r="BR347" s="325"/>
      <c r="BS347" s="325"/>
      <c r="BT347" s="325"/>
      <c r="BU347" s="325"/>
      <c r="BV347" s="325"/>
      <c r="BW347" s="325"/>
      <c r="BX347" s="325"/>
      <c r="BY347" s="325"/>
      <c r="BZ347" s="325"/>
      <c r="CA347" s="325"/>
      <c r="CB347" s="325"/>
      <c r="CC347" s="325"/>
      <c r="CD347" s="325"/>
      <c r="CE347" s="325"/>
      <c r="CF347" s="325"/>
      <c r="CG347" s="325"/>
    </row>
    <row r="348" spans="1:85" ht="12.75" customHeight="1" thickBot="1" x14ac:dyDescent="0.3">
      <c r="A348" s="318"/>
      <c r="B348" s="21"/>
      <c r="C348" s="344"/>
      <c r="D348" s="345" t="str">
        <f>Translations!$B$398</f>
        <v>Soveltamisalakerroin:</v>
      </c>
      <c r="E348" s="479"/>
      <c r="F348" s="803"/>
      <c r="G348" s="1125"/>
      <c r="H348" s="1126"/>
      <c r="I348" s="492" t="s">
        <v>52</v>
      </c>
      <c r="J348" s="480"/>
      <c r="K348" s="481" t="str">
        <f>IF(L348="",AU348,"")</f>
        <v/>
      </c>
      <c r="L348" s="607"/>
      <c r="M348" s="489" t="str">
        <f>IF(AND(E336&lt;&gt;"",OR(F348="",G348="",COUNT(K348:L348)=0)),EUconst_ERR_Incomplete,IF(COUNTIF(BB348:BD348,TRUE)&gt;0,EUconst_ERR_Inconsistent,""))</f>
        <v/>
      </c>
      <c r="N348" s="22"/>
      <c r="O348" s="323"/>
      <c r="P348" s="301"/>
      <c r="Q348" s="23"/>
      <c r="R348" s="325"/>
      <c r="S348" s="10"/>
      <c r="T348" s="48" t="str">
        <f>EUconst_CNTR_ScopeFactor&amp;E336</f>
        <v>ScopeFactor_</v>
      </c>
      <c r="U348" s="248" t="str">
        <f>IF(F348="","",INDEX(ScopeAddress,MATCH(F348,ScopeTiers,0)))</f>
        <v/>
      </c>
      <c r="V348" s="382" t="str">
        <f>V341</f>
        <v/>
      </c>
      <c r="W348" s="325"/>
      <c r="X348" s="325"/>
      <c r="Y348" s="452" t="str">
        <f>IF(E336="","",IF(F348=EUconst_NA,EUconst_NA,INDEX(EUwideConstants!$P$153:$P$180,MATCH(T348,EUwideConstants!$S$153:$S$180,0))))</f>
        <v/>
      </c>
      <c r="Z348" s="473" t="str">
        <f>IF(ISBLANK(F348),"",IF(F348=EUconst_NA,"",INDEX(EUwideConstants!$H:$O,MATCH(T348,EUwideConstants!$S:$S,0),MATCH(F348,CNTR_TierList,0))))</f>
        <v/>
      </c>
      <c r="AA348" s="339" t="str">
        <f>IF(G348=EUwideConstants!$A$88,1,"")</f>
        <v/>
      </c>
      <c r="AB348" s="325"/>
      <c r="AC348" s="376" t="b">
        <f>AND(AC341,Y348&lt;&gt;EUconst_NA)</f>
        <v>0</v>
      </c>
      <c r="AD348" s="325"/>
      <c r="AE348" s="325"/>
      <c r="AF348" s="325"/>
      <c r="AG348" s="330"/>
      <c r="AH348" s="325"/>
      <c r="AI348" s="325"/>
      <c r="AJ348" s="325"/>
      <c r="AK348" s="325"/>
      <c r="AL348" s="325"/>
      <c r="AM348" s="325"/>
      <c r="AN348" s="325"/>
      <c r="AO348" s="325"/>
      <c r="AP348" s="325"/>
      <c r="AQ348" s="325"/>
      <c r="AR348" s="325"/>
      <c r="AS348" s="338">
        <v>1</v>
      </c>
      <c r="AT348" s="325"/>
      <c r="AU348" s="330" t="str">
        <f>IF(G348=EUwideConstants!$A$88,AS348,"")</f>
        <v/>
      </c>
      <c r="AV348" s="376">
        <f>IF(AC348=TRUE,IF(COUNT(K348:L348)=0,0,IF(L348="",K348,L348)),0)</f>
        <v>0</v>
      </c>
      <c r="AW348" s="375" t="b">
        <f>AND(AC348=TRUE,OR(AND(F348&lt;&gt;"",NOT(ISNUMBER(AA348))),L348&lt;&gt;"",F348="",AU348=""))</f>
        <v>0</v>
      </c>
      <c r="AX348" s="457" t="b">
        <f>AND(AC348=TRUE,NOT(AW348))</f>
        <v>0</v>
      </c>
      <c r="AY348" s="325"/>
      <c r="AZ348" s="379" t="b">
        <f>AND(ISNUMBER(AA348),AU348="")</f>
        <v>0</v>
      </c>
      <c r="BA348" s="380" t="b">
        <f>AND(ISNUMBER(AA348),AU348&lt;&gt;AV348)</f>
        <v>0</v>
      </c>
      <c r="BB348" s="325"/>
      <c r="BC348" s="33" t="b">
        <f>AND(F348&lt;&gt;"",OR(COUNTIF(INDEX(ScopeMethods,F348,),G348)=0,AND(AA348&lt;&gt;"",AU348&lt;&gt;AV348)))</f>
        <v>0</v>
      </c>
      <c r="BD348" s="325"/>
      <c r="BE348" s="325"/>
      <c r="BF348" s="325"/>
      <c r="BG348" s="325"/>
      <c r="BH348" s="325"/>
      <c r="BI348" s="325"/>
      <c r="BJ348" s="325"/>
      <c r="BK348" s="325"/>
      <c r="BL348" s="325"/>
      <c r="BM348" s="325"/>
      <c r="BN348" s="325"/>
      <c r="BO348" s="325"/>
      <c r="BP348" s="325"/>
      <c r="BQ348" s="325"/>
      <c r="BR348" s="325"/>
      <c r="BS348" s="325"/>
      <c r="BT348" s="325"/>
      <c r="BU348" s="325"/>
      <c r="BV348" s="325"/>
      <c r="BW348" s="325"/>
      <c r="BX348" s="325"/>
      <c r="BY348" s="325"/>
      <c r="BZ348" s="325"/>
      <c r="CA348" s="325"/>
      <c r="CB348" s="325"/>
      <c r="CC348" s="325"/>
      <c r="CD348" s="325"/>
      <c r="CE348" s="325"/>
      <c r="CF348" s="325"/>
      <c r="CG348" s="325"/>
    </row>
    <row r="349" spans="1:85" ht="12.75" customHeight="1" x14ac:dyDescent="0.25">
      <c r="A349" s="318"/>
      <c r="B349" s="21"/>
      <c r="C349" s="21"/>
      <c r="D349" s="21"/>
      <c r="E349" s="21"/>
      <c r="F349" s="21"/>
      <c r="G349" s="1130" t="str">
        <f>IF(G348="","",INDEX(ScopeMethodsDetails,MATCH(G348,INDEX(ScopeMethodsDetails,,1),0),2))</f>
        <v/>
      </c>
      <c r="H349" s="1131"/>
      <c r="I349" s="1131"/>
      <c r="J349" s="1131"/>
      <c r="K349" s="1131"/>
      <c r="L349" s="1131"/>
      <c r="M349" s="1132"/>
      <c r="N349" s="22"/>
      <c r="O349" s="323"/>
      <c r="P349" s="301"/>
      <c r="Q349" s="23"/>
      <c r="R349" s="23"/>
      <c r="S349" s="325"/>
      <c r="T349" s="325"/>
      <c r="U349" s="325"/>
      <c r="V349" s="325"/>
      <c r="W349" s="325"/>
      <c r="X349" s="325"/>
      <c r="Y349" s="325"/>
      <c r="Z349" s="325"/>
      <c r="AA349" s="325"/>
      <c r="AB349" s="325"/>
      <c r="AC349" s="325"/>
      <c r="AD349" s="325"/>
      <c r="AE349" s="325"/>
      <c r="AF349" s="325"/>
      <c r="AG349" s="325"/>
      <c r="AH349" s="325"/>
      <c r="AI349" s="325"/>
      <c r="AJ349" s="325"/>
      <c r="AK349" s="325"/>
      <c r="AL349" s="325"/>
      <c r="AM349" s="325"/>
      <c r="AN349" s="325"/>
      <c r="AO349" s="325"/>
      <c r="AP349" s="325"/>
      <c r="AQ349" s="325"/>
      <c r="AR349" s="325"/>
      <c r="AS349" s="325"/>
      <c r="AT349" s="325"/>
      <c r="AU349" s="325"/>
      <c r="AV349" s="325"/>
      <c r="AW349" s="325"/>
      <c r="AX349" s="325"/>
      <c r="AY349" s="325"/>
      <c r="AZ349" s="325"/>
      <c r="BA349" s="325"/>
      <c r="BB349" s="325"/>
      <c r="BC349" s="325"/>
      <c r="BD349" s="325"/>
      <c r="BE349" s="325"/>
      <c r="BF349" s="325"/>
      <c r="BG349" s="325"/>
      <c r="BH349" s="325"/>
      <c r="BI349" s="325"/>
      <c r="BJ349" s="325"/>
      <c r="BK349" s="325"/>
      <c r="BL349" s="325"/>
      <c r="BM349" s="325"/>
      <c r="BN349" s="325"/>
      <c r="BO349" s="325"/>
      <c r="BP349" s="325"/>
      <c r="BQ349" s="325"/>
      <c r="BR349" s="325"/>
      <c r="BS349" s="325"/>
      <c r="BT349" s="325"/>
      <c r="BU349" s="325"/>
      <c r="BV349" s="325"/>
      <c r="BW349" s="325"/>
      <c r="BX349" s="325"/>
      <c r="BY349" s="325"/>
      <c r="BZ349" s="325"/>
      <c r="CA349" s="325"/>
      <c r="CB349" s="325"/>
      <c r="CC349" s="325"/>
      <c r="CD349" s="325"/>
      <c r="CE349" s="325"/>
      <c r="CF349" s="325"/>
      <c r="CG349" s="325"/>
    </row>
    <row r="350" spans="1:85" ht="5.15" customHeight="1" x14ac:dyDescent="0.25">
      <c r="A350" s="318"/>
      <c r="C350" s="22"/>
      <c r="D350" s="22"/>
      <c r="E350" s="22"/>
      <c r="F350" s="22"/>
      <c r="G350" s="22"/>
      <c r="H350" s="22"/>
      <c r="I350" s="22"/>
      <c r="J350" s="22"/>
      <c r="K350" s="22"/>
      <c r="L350" s="22"/>
      <c r="O350" s="323"/>
      <c r="P350" s="301"/>
      <c r="Q350" s="23"/>
      <c r="R350" s="23"/>
      <c r="S350" s="325"/>
      <c r="T350" s="325"/>
      <c r="U350" s="325"/>
      <c r="V350" s="325"/>
      <c r="W350" s="325"/>
      <c r="X350" s="325"/>
      <c r="Y350" s="325"/>
      <c r="Z350" s="325"/>
      <c r="AA350" s="325"/>
      <c r="AB350" s="325"/>
      <c r="AC350" s="325"/>
      <c r="AD350" s="325"/>
      <c r="AE350" s="325"/>
      <c r="AF350" s="325"/>
      <c r="AG350" s="325"/>
      <c r="AH350" s="325"/>
      <c r="AI350" s="325"/>
      <c r="AJ350" s="325"/>
      <c r="AK350" s="325"/>
      <c r="AL350" s="325"/>
      <c r="AM350" s="325"/>
      <c r="AN350" s="325"/>
      <c r="AO350" s="325"/>
      <c r="AP350" s="325"/>
      <c r="AQ350" s="325"/>
      <c r="AR350" s="325"/>
      <c r="AS350" s="325"/>
      <c r="AT350" s="325"/>
      <c r="AU350" s="325"/>
      <c r="AV350" s="325"/>
      <c r="AW350" s="325"/>
      <c r="AX350" s="325"/>
      <c r="AY350" s="325"/>
      <c r="AZ350" s="325"/>
      <c r="BA350" s="325"/>
      <c r="BB350" s="325"/>
      <c r="BC350" s="325"/>
      <c r="BD350" s="325"/>
      <c r="BE350" s="325"/>
      <c r="BF350" s="325"/>
      <c r="BG350" s="325"/>
      <c r="BH350" s="325"/>
      <c r="BI350" s="325"/>
      <c r="BJ350" s="325"/>
      <c r="BK350" s="325"/>
      <c r="BL350" s="325"/>
      <c r="BM350" s="325"/>
      <c r="BN350" s="325"/>
      <c r="BO350" s="325"/>
      <c r="BP350" s="325"/>
      <c r="BQ350" s="325"/>
      <c r="BR350" s="325"/>
      <c r="BS350" s="325"/>
      <c r="BT350" s="325"/>
      <c r="BU350" s="325"/>
      <c r="BV350" s="325"/>
      <c r="BW350" s="325"/>
      <c r="BX350" s="325"/>
      <c r="BY350" s="325"/>
      <c r="BZ350" s="325"/>
      <c r="CA350" s="325"/>
      <c r="CB350" s="325"/>
      <c r="CC350" s="325"/>
      <c r="CD350" s="325"/>
      <c r="CE350" s="325"/>
      <c r="CF350" s="325"/>
      <c r="CG350" s="325"/>
    </row>
    <row r="351" spans="1:85" ht="12.75" customHeight="1" x14ac:dyDescent="0.25">
      <c r="A351" s="318"/>
      <c r="C351" s="22"/>
      <c r="D351" s="22"/>
      <c r="E351" s="22"/>
      <c r="F351" s="22"/>
      <c r="G351" s="1133">
        <v>1</v>
      </c>
      <c r="H351" s="1133"/>
      <c r="I351" s="1133">
        <v>2</v>
      </c>
      <c r="J351" s="1133"/>
      <c r="K351" s="1133">
        <v>3</v>
      </c>
      <c r="L351" s="1133"/>
      <c r="O351" s="323"/>
      <c r="P351" s="301"/>
      <c r="Q351" s="23"/>
      <c r="R351" s="23"/>
      <c r="S351" s="325"/>
      <c r="T351" s="325"/>
      <c r="U351" s="325"/>
      <c r="V351" s="325"/>
      <c r="W351" s="325"/>
      <c r="X351" s="325"/>
      <c r="Y351" s="325"/>
      <c r="Z351" s="325"/>
      <c r="AA351" s="325"/>
      <c r="AB351" s="325"/>
      <c r="AC351" s="325"/>
      <c r="AD351" s="325"/>
      <c r="AE351" s="325"/>
      <c r="AF351" s="325"/>
      <c r="AG351" s="325"/>
      <c r="AH351" s="325"/>
      <c r="AI351" s="325"/>
      <c r="AJ351" s="325"/>
      <c r="AK351" s="325"/>
      <c r="AL351" s="325"/>
      <c r="AM351" s="325"/>
      <c r="AN351" s="325"/>
      <c r="AO351" s="325"/>
      <c r="AP351" s="325"/>
      <c r="AQ351" s="325"/>
      <c r="AR351" s="325"/>
      <c r="AS351" s="325"/>
      <c r="AT351" s="325"/>
      <c r="AU351" s="325"/>
      <c r="AV351" s="325"/>
      <c r="AW351" s="325"/>
      <c r="AX351" s="325"/>
      <c r="AY351" s="325"/>
      <c r="AZ351" s="325"/>
      <c r="BA351" s="325"/>
      <c r="BB351" s="325"/>
      <c r="BC351" s="325"/>
      <c r="BD351" s="325"/>
      <c r="BE351" s="325"/>
      <c r="BF351" s="325"/>
      <c r="BG351" s="325"/>
      <c r="BH351" s="325"/>
      <c r="BI351" s="325"/>
      <c r="BJ351" s="325"/>
      <c r="BK351" s="325"/>
      <c r="BL351" s="325"/>
      <c r="BM351" s="325"/>
      <c r="BN351" s="325"/>
      <c r="BO351" s="325"/>
      <c r="BP351" s="325"/>
      <c r="BQ351" s="325"/>
      <c r="BR351" s="325"/>
      <c r="BS351" s="325"/>
      <c r="BT351" s="325"/>
      <c r="BU351" s="325"/>
      <c r="BV351" s="325"/>
      <c r="BW351" s="325"/>
      <c r="BX351" s="325"/>
      <c r="BY351" s="325"/>
      <c r="BZ351" s="325"/>
      <c r="CA351" s="325"/>
      <c r="CB351" s="325"/>
      <c r="CC351" s="325"/>
      <c r="CD351" s="325"/>
      <c r="CE351" s="325"/>
      <c r="CF351" s="325"/>
      <c r="CG351" s="325"/>
    </row>
    <row r="352" spans="1:85" ht="12.75" customHeight="1" x14ac:dyDescent="0.25">
      <c r="A352" s="389"/>
      <c r="B352" s="22"/>
      <c r="C352" s="22"/>
      <c r="D352" s="1134" t="str">
        <f>Translations!$B$372</f>
        <v>CRF-luokka</v>
      </c>
      <c r="E352" s="1134"/>
      <c r="F352" s="1135"/>
      <c r="G352" s="1123"/>
      <c r="H352" s="1124"/>
      <c r="I352" s="1123"/>
      <c r="J352" s="1124"/>
      <c r="K352" s="1123"/>
      <c r="L352" s="1124"/>
      <c r="M352" s="623" t="str">
        <f>IF(AND(E335&lt;&gt;"",COUNTA(G352:L352)=0,AX352=FALSE),EUconst_ERR_Incomplete,"")</f>
        <v/>
      </c>
      <c r="N352" s="22"/>
      <c r="O352" s="323"/>
      <c r="P352" s="301"/>
      <c r="Q352" s="23"/>
      <c r="R352" s="23"/>
      <c r="S352" s="325"/>
      <c r="T352" s="325"/>
      <c r="U352" s="325"/>
      <c r="V352" s="325"/>
      <c r="W352" s="325"/>
      <c r="X352" s="325"/>
      <c r="Y352" s="325"/>
      <c r="Z352" s="325"/>
      <c r="AA352" s="325"/>
      <c r="AB352" s="325"/>
      <c r="AC352" s="325"/>
      <c r="AD352" s="325"/>
      <c r="AE352" s="325"/>
      <c r="AF352" s="325"/>
      <c r="AG352" s="325"/>
      <c r="AH352" s="325"/>
      <c r="AI352" s="325"/>
      <c r="AJ352" s="325"/>
      <c r="AK352" s="325"/>
      <c r="AL352" s="325"/>
      <c r="AM352" s="325"/>
      <c r="AN352" s="325"/>
      <c r="AO352" s="325"/>
      <c r="AP352" s="325"/>
      <c r="AQ352" s="325"/>
      <c r="AR352" s="325"/>
      <c r="AS352" s="325"/>
      <c r="AT352" s="325"/>
      <c r="AU352" s="325"/>
      <c r="AV352" s="325"/>
      <c r="AW352" s="325"/>
      <c r="AX352" s="33" t="b">
        <f>AND(AV348&lt;&gt;"",SUM(AV348=1))</f>
        <v>0</v>
      </c>
      <c r="AY352" s="325"/>
      <c r="AZ352" s="325"/>
      <c r="BA352" s="325"/>
      <c r="BB352" s="325"/>
      <c r="BC352" s="325"/>
      <c r="BD352" s="325"/>
      <c r="BE352" s="325"/>
      <c r="BF352" s="325"/>
      <c r="BG352" s="325"/>
      <c r="BH352" s="325"/>
      <c r="BI352" s="325"/>
      <c r="BJ352" s="325"/>
      <c r="BK352" s="325"/>
      <c r="BL352" s="325"/>
      <c r="BM352" s="325"/>
      <c r="BN352" s="325"/>
      <c r="BO352" s="325"/>
      <c r="BP352" s="325"/>
      <c r="BQ352" s="325"/>
      <c r="BR352" s="325"/>
      <c r="BS352" s="325"/>
      <c r="BT352" s="325"/>
      <c r="BU352" s="325"/>
      <c r="BV352" s="325"/>
      <c r="BW352" s="325"/>
      <c r="BX352" s="325"/>
      <c r="BY352" s="325"/>
      <c r="BZ352" s="325"/>
      <c r="CA352" s="325"/>
      <c r="CB352" s="325"/>
      <c r="CC352" s="325"/>
      <c r="CD352" s="325"/>
      <c r="CE352" s="325"/>
      <c r="CF352" s="325"/>
      <c r="CG352" s="325"/>
    </row>
    <row r="353" spans="1:85" ht="5.15" customHeight="1" x14ac:dyDescent="0.25">
      <c r="A353" s="318"/>
      <c r="B353" s="21"/>
      <c r="C353" s="21"/>
      <c r="D353" s="21"/>
      <c r="E353" s="21"/>
      <c r="F353" s="21"/>
      <c r="G353" s="22"/>
      <c r="H353" s="22"/>
      <c r="I353" s="22"/>
      <c r="J353" s="22"/>
      <c r="K353" s="22"/>
      <c r="L353" s="22"/>
      <c r="M353" s="22"/>
      <c r="N353" s="22"/>
      <c r="O353" s="323"/>
      <c r="P353" s="301"/>
      <c r="Q353" s="23"/>
      <c r="R353" s="23"/>
      <c r="S353" s="325"/>
      <c r="T353" s="325"/>
      <c r="U353" s="325"/>
      <c r="V353" s="325"/>
      <c r="W353" s="325"/>
      <c r="X353" s="325"/>
      <c r="Y353" s="325"/>
      <c r="Z353" s="325"/>
      <c r="AA353" s="325"/>
      <c r="AB353" s="325"/>
      <c r="AC353" s="325"/>
      <c r="AD353" s="325"/>
      <c r="AE353" s="325"/>
      <c r="AF353" s="325"/>
      <c r="AG353" s="325"/>
      <c r="AH353" s="325"/>
      <c r="AI353" s="325"/>
      <c r="AJ353" s="325"/>
      <c r="AK353" s="325"/>
      <c r="AL353" s="325"/>
      <c r="AM353" s="325"/>
      <c r="AN353" s="325"/>
      <c r="AO353" s="325"/>
      <c r="AP353" s="325"/>
      <c r="AQ353" s="325"/>
      <c r="AR353" s="325"/>
      <c r="AS353" s="325"/>
      <c r="AT353" s="325"/>
      <c r="AU353" s="325"/>
      <c r="AV353" s="325"/>
      <c r="AW353" s="325"/>
      <c r="AX353" s="325"/>
      <c r="AY353" s="325"/>
      <c r="AZ353" s="325"/>
      <c r="BA353" s="325"/>
      <c r="BB353" s="325"/>
      <c r="BC353" s="325"/>
      <c r="BD353" s="325"/>
      <c r="BE353" s="325"/>
      <c r="BF353" s="325"/>
      <c r="BG353" s="325"/>
      <c r="BH353" s="325"/>
      <c r="BI353" s="325"/>
      <c r="BJ353" s="325"/>
      <c r="BK353" s="325"/>
      <c r="BL353" s="325"/>
      <c r="BM353" s="325"/>
      <c r="BN353" s="325"/>
      <c r="BO353" s="325"/>
      <c r="BP353" s="325"/>
      <c r="BQ353" s="325"/>
      <c r="BR353" s="325"/>
      <c r="BS353" s="325"/>
      <c r="BT353" s="325"/>
      <c r="BU353" s="325"/>
      <c r="BV353" s="325"/>
      <c r="BW353" s="325"/>
      <c r="BX353" s="325"/>
      <c r="BY353" s="325"/>
      <c r="BZ353" s="325"/>
      <c r="CA353" s="325"/>
      <c r="CB353" s="325"/>
      <c r="CC353" s="325"/>
      <c r="CD353" s="325"/>
      <c r="CE353" s="325"/>
      <c r="CF353" s="325"/>
      <c r="CG353" s="325"/>
    </row>
    <row r="354" spans="1:85" ht="7" customHeight="1" x14ac:dyDescent="0.25">
      <c r="A354" s="318"/>
      <c r="B354" s="21"/>
      <c r="C354" s="21"/>
      <c r="D354" s="1145"/>
      <c r="E354" s="1145"/>
      <c r="F354" s="1145"/>
      <c r="G354" s="806"/>
      <c r="H354" s="807"/>
      <c r="I354" s="806"/>
      <c r="J354" s="236"/>
      <c r="K354" s="236"/>
      <c r="L354" s="236"/>
      <c r="M354" s="807"/>
      <c r="N354" s="808"/>
      <c r="O354" s="323"/>
      <c r="P354" s="301"/>
      <c r="Q354" s="23"/>
      <c r="R354" s="23"/>
      <c r="S354" s="388"/>
      <c r="T354" s="325"/>
      <c r="U354" s="325"/>
      <c r="V354" s="325"/>
      <c r="W354" s="325"/>
      <c r="X354" s="325"/>
      <c r="Y354" s="325"/>
      <c r="Z354" s="325"/>
      <c r="AA354" s="325"/>
      <c r="AB354" s="325"/>
      <c r="AC354" s="325"/>
      <c r="AD354" s="325"/>
      <c r="AE354" s="325"/>
      <c r="AF354" s="325"/>
      <c r="AG354" s="325"/>
      <c r="AH354" s="325"/>
      <c r="AI354" s="325"/>
      <c r="AJ354" s="325"/>
      <c r="AK354" s="325"/>
      <c r="AL354" s="325"/>
      <c r="AM354" s="325"/>
      <c r="AN354" s="325"/>
      <c r="AO354" s="325"/>
      <c r="AP354" s="325"/>
      <c r="AQ354" s="325"/>
      <c r="AR354" s="325"/>
      <c r="AS354" s="325"/>
      <c r="AT354" s="325"/>
      <c r="AU354" s="325"/>
      <c r="AV354" s="325"/>
      <c r="AW354" s="325"/>
      <c r="AX354" s="325"/>
      <c r="AY354" s="325"/>
      <c r="AZ354" s="325"/>
      <c r="BA354" s="325"/>
      <c r="BB354" s="325"/>
      <c r="BC354" s="325"/>
      <c r="BD354" s="325"/>
      <c r="BE354" s="325"/>
      <c r="BF354" s="325"/>
      <c r="BG354" s="325"/>
      <c r="BH354" s="325"/>
      <c r="BI354" s="325"/>
      <c r="BJ354" s="325"/>
      <c r="BK354" s="325"/>
      <c r="BL354" s="325"/>
      <c r="BM354" s="325"/>
      <c r="BN354" s="325"/>
      <c r="BO354" s="325"/>
      <c r="BP354" s="325"/>
      <c r="BQ354" s="325"/>
      <c r="BR354" s="325"/>
      <c r="BS354" s="325"/>
      <c r="BT354" s="325"/>
      <c r="BU354" s="325"/>
      <c r="BV354" s="325"/>
      <c r="BW354" s="325"/>
      <c r="BX354" s="325"/>
      <c r="BY354" s="325"/>
      <c r="BZ354" s="325"/>
      <c r="CA354" s="325"/>
      <c r="CB354" s="325"/>
      <c r="CC354" s="325"/>
      <c r="CD354" s="325"/>
      <c r="CE354" s="325"/>
      <c r="CF354" s="325"/>
      <c r="CG354" s="33" t="b">
        <f>CG341</f>
        <v>0</v>
      </c>
    </row>
    <row r="355" spans="1:85" ht="5.15" customHeight="1" x14ac:dyDescent="0.25">
      <c r="A355" s="389"/>
      <c r="B355" s="22"/>
      <c r="C355" s="22"/>
      <c r="D355" s="22"/>
      <c r="E355" s="1116" t="str">
        <f>Translations!$B$304</f>
        <v xml:space="preserve">Lisätiedot: 
tapa, jolla biomassan kestävyys on osoitettu; 
muut polttoainevirtaa koskevat lisätiedot. </v>
      </c>
      <c r="F355" s="1116"/>
      <c r="G355" s="22"/>
      <c r="H355" s="22"/>
      <c r="I355" s="22"/>
      <c r="J355" s="22"/>
      <c r="K355" s="22"/>
      <c r="L355" s="22"/>
      <c r="M355" s="22"/>
      <c r="N355" s="22"/>
      <c r="O355" s="323"/>
      <c r="P355" s="301"/>
      <c r="Q355" s="23"/>
      <c r="R355" s="23"/>
      <c r="S355" s="325"/>
      <c r="T355" s="325"/>
      <c r="U355" s="325"/>
      <c r="V355" s="325"/>
      <c r="W355" s="325"/>
      <c r="X355" s="325"/>
      <c r="Y355" s="325"/>
      <c r="Z355" s="325"/>
      <c r="AA355" s="325"/>
      <c r="AB355" s="325"/>
      <c r="AC355" s="325"/>
      <c r="AD355" s="325"/>
      <c r="AE355" s="325"/>
      <c r="AF355" s="325"/>
      <c r="AG355" s="325"/>
      <c r="AH355" s="325"/>
      <c r="AI355" s="325"/>
      <c r="AJ355" s="325"/>
      <c r="AK355" s="325"/>
      <c r="AL355" s="325"/>
      <c r="AM355" s="325"/>
      <c r="AN355" s="325"/>
      <c r="AO355" s="325"/>
      <c r="AP355" s="325"/>
      <c r="AQ355" s="325"/>
      <c r="AR355" s="325"/>
      <c r="AS355" s="325"/>
      <c r="AT355" s="325"/>
      <c r="AU355" s="325"/>
      <c r="AV355" s="325"/>
      <c r="AW355" s="325"/>
      <c r="AX355" s="325"/>
      <c r="AY355" s="325"/>
      <c r="AZ355" s="325"/>
      <c r="BA355" s="325"/>
      <c r="BB355" s="325"/>
      <c r="BC355" s="325"/>
      <c r="BD355" s="325"/>
      <c r="BE355" s="325"/>
      <c r="BF355" s="325"/>
      <c r="BG355" s="325"/>
      <c r="BH355" s="325"/>
      <c r="BI355" s="325"/>
      <c r="BJ355" s="325"/>
      <c r="BK355" s="325"/>
      <c r="BL355" s="325"/>
      <c r="BM355" s="325"/>
      <c r="BN355" s="325"/>
      <c r="BO355" s="325"/>
      <c r="BP355" s="325"/>
      <c r="BQ355" s="325"/>
      <c r="BR355" s="325"/>
      <c r="BS355" s="325"/>
      <c r="BT355" s="325"/>
      <c r="BU355" s="325"/>
      <c r="BV355" s="325"/>
      <c r="BW355" s="325"/>
      <c r="BX355" s="325"/>
      <c r="BY355" s="325"/>
      <c r="BZ355" s="325"/>
      <c r="CA355" s="325"/>
      <c r="CB355" s="325"/>
      <c r="CC355" s="325"/>
      <c r="CD355" s="325"/>
      <c r="CE355" s="325"/>
      <c r="CF355" s="325"/>
      <c r="CG355" s="325"/>
    </row>
    <row r="356" spans="1:85" ht="34.5" customHeight="1" x14ac:dyDescent="0.25">
      <c r="A356" s="389"/>
      <c r="B356" s="22"/>
      <c r="C356" s="22"/>
      <c r="D356" s="4"/>
      <c r="E356" s="1116"/>
      <c r="F356" s="1116"/>
      <c r="G356" s="1146"/>
      <c r="H356" s="1147"/>
      <c r="I356" s="1147"/>
      <c r="J356" s="1147"/>
      <c r="K356" s="1147"/>
      <c r="L356" s="1147"/>
      <c r="M356" s="1147"/>
      <c r="N356" s="1148"/>
      <c r="O356" s="323"/>
      <c r="P356" s="301"/>
      <c r="Q356" s="23"/>
      <c r="R356" s="23"/>
      <c r="S356" s="325"/>
      <c r="T356" s="325"/>
      <c r="U356" s="325"/>
      <c r="V356" s="325"/>
      <c r="W356" s="325"/>
      <c r="X356" s="325"/>
      <c r="Y356" s="325"/>
      <c r="Z356" s="325"/>
      <c r="AA356" s="325"/>
      <c r="AB356" s="325"/>
      <c r="AC356" s="325"/>
      <c r="AD356" s="325"/>
      <c r="AE356" s="325"/>
      <c r="AF356" s="325"/>
      <c r="AG356" s="325"/>
      <c r="AH356" s="325"/>
      <c r="AI356" s="325"/>
      <c r="AJ356" s="325"/>
      <c r="AK356" s="325"/>
      <c r="AL356" s="325"/>
      <c r="AM356" s="325"/>
      <c r="AN356" s="325"/>
      <c r="AO356" s="325"/>
      <c r="AP356" s="325"/>
      <c r="AQ356" s="325"/>
      <c r="AR356" s="325"/>
      <c r="AS356" s="325"/>
      <c r="AT356" s="325"/>
      <c r="AU356" s="325"/>
      <c r="AV356" s="325"/>
      <c r="AW356" s="325"/>
      <c r="AX356" s="325"/>
      <c r="AY356" s="325"/>
      <c r="AZ356" s="325"/>
      <c r="BA356" s="325"/>
      <c r="BB356" s="325"/>
      <c r="BC356" s="325"/>
      <c r="BD356" s="325"/>
      <c r="BE356" s="325"/>
      <c r="BF356" s="325"/>
      <c r="BG356" s="325"/>
      <c r="BH356" s="325"/>
      <c r="BI356" s="325"/>
      <c r="BJ356" s="325"/>
      <c r="BK356" s="325"/>
      <c r="BL356" s="325"/>
      <c r="BM356" s="325"/>
      <c r="BN356" s="325"/>
      <c r="BO356" s="325"/>
      <c r="BP356" s="325"/>
      <c r="BQ356" s="325"/>
      <c r="BR356" s="325"/>
      <c r="BS356" s="325"/>
      <c r="BT356" s="325"/>
      <c r="BU356" s="325"/>
      <c r="BV356" s="325"/>
      <c r="BW356" s="325"/>
      <c r="BX356" s="325"/>
      <c r="BY356" s="325"/>
      <c r="BZ356" s="325"/>
      <c r="CA356" s="325"/>
      <c r="CB356" s="325"/>
      <c r="CC356" s="325"/>
      <c r="CD356" s="325"/>
      <c r="CE356" s="325"/>
      <c r="CF356" s="325"/>
      <c r="CG356" s="33" t="b">
        <f>CG354</f>
        <v>0</v>
      </c>
    </row>
    <row r="357" spans="1:85" ht="12.75" customHeight="1" thickBot="1" x14ac:dyDescent="0.3">
      <c r="A357" s="318"/>
      <c r="B357" s="22"/>
      <c r="C357" s="319"/>
      <c r="D357" s="320"/>
      <c r="E357" s="321"/>
      <c r="F357" s="319"/>
      <c r="G357" s="322"/>
      <c r="H357" s="322"/>
      <c r="I357" s="322"/>
      <c r="J357" s="322"/>
      <c r="K357" s="322"/>
      <c r="L357" s="322"/>
      <c r="M357" s="322"/>
      <c r="N357" s="322"/>
      <c r="O357" s="323"/>
      <c r="P357" s="301"/>
      <c r="Q357" s="23"/>
      <c r="R357" s="23"/>
      <c r="S357" s="41"/>
      <c r="T357" s="41"/>
      <c r="U357" s="324"/>
      <c r="V357" s="41"/>
      <c r="W357" s="41"/>
      <c r="X357" s="324"/>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41"/>
      <c r="BM357" s="325"/>
      <c r="BN357" s="325"/>
      <c r="BO357" s="325"/>
      <c r="BP357" s="325"/>
      <c r="BQ357" s="325"/>
      <c r="BR357" s="325"/>
      <c r="BS357" s="325"/>
      <c r="BT357" s="325"/>
      <c r="BU357" s="41"/>
      <c r="BV357" s="41"/>
      <c r="BW357" s="41"/>
      <c r="BX357" s="41"/>
      <c r="BY357" s="41"/>
      <c r="BZ357" s="41"/>
      <c r="CA357" s="41"/>
      <c r="CB357" s="41"/>
      <c r="CC357" s="41"/>
      <c r="CD357" s="41"/>
      <c r="CE357" s="41"/>
      <c r="CF357" s="41"/>
      <c r="CG357" s="41"/>
    </row>
    <row r="358" spans="1:85" ht="12.75" customHeight="1" thickBot="1" x14ac:dyDescent="0.3">
      <c r="A358" s="326"/>
      <c r="B358" s="22"/>
      <c r="C358" s="22"/>
      <c r="D358" s="327"/>
      <c r="E358" s="328"/>
      <c r="F358" s="22"/>
      <c r="G358" s="1"/>
      <c r="H358" s="1"/>
      <c r="I358" s="1"/>
      <c r="J358" s="1"/>
      <c r="K358" s="22"/>
      <c r="L358" s="1"/>
      <c r="M358" s="1"/>
      <c r="N358" s="1"/>
      <c r="O358" s="323"/>
      <c r="P358" s="301"/>
      <c r="Q358" s="23"/>
      <c r="R358" s="23"/>
      <c r="S358" s="2"/>
      <c r="T358" s="20" t="str">
        <f>IF(ISBLANK(E359),"",MATCH(E359,CNTR_SourceStreamNames,0))</f>
        <v/>
      </c>
      <c r="U358" s="329" t="str">
        <f>IF(ISBLANK(E359),"",INDEX('B_Polttoainevirtojen tiedot'!$D$67:$D$91,MATCH(E359,CNTR_SourceStreamNames,0)))</f>
        <v/>
      </c>
      <c r="V358" s="60"/>
      <c r="W358" s="37"/>
      <c r="X358" s="37"/>
      <c r="Y358" s="37"/>
      <c r="Z358" s="41"/>
      <c r="AA358" s="41"/>
      <c r="AB358" s="41"/>
      <c r="AC358" s="41"/>
      <c r="AD358" s="41"/>
      <c r="AE358" s="41"/>
      <c r="AF358" s="41"/>
      <c r="AG358" s="41"/>
      <c r="AH358" s="41"/>
      <c r="AI358" s="41"/>
      <c r="AJ358" s="41"/>
      <c r="AK358" s="23"/>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37"/>
      <c r="BK358" s="37"/>
      <c r="BL358" s="37"/>
      <c r="BM358" s="37"/>
      <c r="BN358" s="37"/>
      <c r="BO358" s="37"/>
      <c r="BP358" s="37"/>
      <c r="BQ358" s="37"/>
      <c r="BR358" s="37"/>
      <c r="BS358" s="37"/>
      <c r="BT358" s="37"/>
      <c r="BU358" s="37"/>
      <c r="BV358" s="37"/>
      <c r="BW358" s="37"/>
      <c r="BX358" s="37"/>
      <c r="BY358" s="37"/>
      <c r="BZ358" s="37"/>
      <c r="CA358" s="37"/>
      <c r="CB358" s="37"/>
      <c r="CC358" s="37"/>
      <c r="CD358" s="37"/>
      <c r="CE358" s="37"/>
      <c r="CF358" s="37"/>
      <c r="CG358" s="330" t="s">
        <v>94</v>
      </c>
    </row>
    <row r="359" spans="1:85" ht="15" customHeight="1" thickBot="1" x14ac:dyDescent="0.3">
      <c r="A359" s="331">
        <f>C359</f>
        <v>14</v>
      </c>
      <c r="B359" s="21"/>
      <c r="C359" s="332">
        <f>C335+1</f>
        <v>14</v>
      </c>
      <c r="D359" s="21"/>
      <c r="E359" s="1117"/>
      <c r="F359" s="1118"/>
      <c r="G359" s="1118"/>
      <c r="H359" s="1118"/>
      <c r="I359" s="1118"/>
      <c r="J359" s="1119"/>
      <c r="K359" s="1138" t="str">
        <f>IF(INDEX('B_Polttoainevirtojen tiedot'!$K$100:$K$124,MATCH(U358,'B_Polttoainevirtojen tiedot'!$D$100:$D$124,0))&gt;0,INDEX('B_Polttoainevirtojen tiedot'!$K$100:$K$124,MATCH(U358,'B_Polttoainevirtojen tiedot'!$D$100:$D$124,0)),"")</f>
        <v/>
      </c>
      <c r="L359" s="1139"/>
      <c r="M359" s="328" t="str">
        <f>Translations!$B$374</f>
        <v>CO2 fossiilinen:</v>
      </c>
      <c r="N359" s="401" t="str">
        <f>IF(E360="","",BG365)</f>
        <v/>
      </c>
      <c r="O359" s="333" t="str">
        <f>EUconst_tCO2</f>
        <v>tCO2</v>
      </c>
      <c r="P359" s="610" t="str">
        <f>IF(AND(E359&lt;&gt;"",COUNTIF(P360:$P$811,"PRINT")=0),"PRINT","")</f>
        <v/>
      </c>
      <c r="Q359" s="335" t="str">
        <f>EUconst_SumCO2</f>
        <v>SUM_CO2</v>
      </c>
      <c r="R359" s="23"/>
      <c r="S359" s="2"/>
      <c r="T359" s="2"/>
      <c r="U359" s="2"/>
      <c r="V359" s="60"/>
      <c r="W359" s="37"/>
      <c r="X359" s="41"/>
      <c r="Y359" s="41"/>
      <c r="Z359" s="41"/>
      <c r="AA359" s="41"/>
      <c r="AB359" s="41"/>
      <c r="AC359" s="41"/>
      <c r="AD359" s="41"/>
      <c r="AE359" s="41"/>
      <c r="AF359" s="41"/>
      <c r="AG359" s="41"/>
      <c r="AH359" s="41"/>
      <c r="AI359" s="337"/>
      <c r="AJ359" s="337"/>
      <c r="AK359" s="337"/>
      <c r="AL359" s="337"/>
      <c r="AM359" s="337"/>
      <c r="AN359" s="337"/>
      <c r="AO359" s="337"/>
      <c r="AP359" s="337"/>
      <c r="AQ359" s="337"/>
      <c r="AR359" s="337"/>
      <c r="AS359" s="337"/>
      <c r="AT359" s="337"/>
      <c r="AU359" s="337"/>
      <c r="AV359" s="337"/>
      <c r="AW359" s="337"/>
      <c r="AX359" s="337"/>
      <c r="AY359" s="337"/>
      <c r="AZ359" s="337"/>
      <c r="BA359" s="337"/>
      <c r="BB359" s="337"/>
      <c r="BC359" s="337"/>
      <c r="BD359" s="337"/>
      <c r="BE359" s="337"/>
      <c r="BF359" s="337"/>
      <c r="BG359" s="337"/>
      <c r="BH359" s="337"/>
      <c r="BI359" s="483" t="str">
        <f>IF(E359="","",E359)</f>
        <v/>
      </c>
      <c r="BJ359" s="338" t="str">
        <f>IF(F365="","",F365)</f>
        <v/>
      </c>
      <c r="BK359" s="485">
        <f>AV365</f>
        <v>0</v>
      </c>
      <c r="BL359" s="485">
        <f>IF(BK359="","",BK359*(1-BP359))</f>
        <v>0</v>
      </c>
      <c r="BM359" s="338" t="str">
        <f>AJ365</f>
        <v/>
      </c>
      <c r="BN359" s="338" t="str">
        <f>IF(F372="","",F372)</f>
        <v/>
      </c>
      <c r="BO359" s="483" t="str">
        <f>IF(G372="","",G372)</f>
        <v/>
      </c>
      <c r="BP359" s="484">
        <f>AV372</f>
        <v>0</v>
      </c>
      <c r="BQ359" s="338" t="str">
        <f>IF(F368="","",F368)</f>
        <v/>
      </c>
      <c r="BR359" s="484">
        <f>AV368</f>
        <v>0</v>
      </c>
      <c r="BS359" s="484" t="str">
        <f>AJ368</f>
        <v/>
      </c>
      <c r="BT359" s="338" t="str">
        <f>IF(F367="","",F367)</f>
        <v/>
      </c>
      <c r="BU359" s="484">
        <f>IF(F367=EUconst_NA,"",AV367)</f>
        <v>0</v>
      </c>
      <c r="BV359" s="484" t="str">
        <f>AJ367</f>
        <v/>
      </c>
      <c r="BW359" s="338" t="str">
        <f>IF(F369="","",F369)</f>
        <v/>
      </c>
      <c r="BX359" s="484">
        <f>AV369</f>
        <v>0</v>
      </c>
      <c r="BY359" s="338" t="str">
        <f>IF(F370="","",F370)</f>
        <v/>
      </c>
      <c r="BZ359" s="484">
        <f>AV370</f>
        <v>0</v>
      </c>
      <c r="CA359" s="485" t="str">
        <f>N359</f>
        <v/>
      </c>
      <c r="CB359" s="485" t="str">
        <f>N360</f>
        <v/>
      </c>
      <c r="CC359" s="485" t="str">
        <f>R362</f>
        <v/>
      </c>
      <c r="CD359" s="485" t="str">
        <f>R364</f>
        <v/>
      </c>
      <c r="CE359" s="485" t="str">
        <f>R365</f>
        <v/>
      </c>
      <c r="CF359" s="37"/>
      <c r="CG359" s="339" t="b">
        <v>0</v>
      </c>
    </row>
    <row r="360" spans="1:85" ht="15" customHeight="1" thickBot="1" x14ac:dyDescent="0.3">
      <c r="A360" s="318"/>
      <c r="B360" s="21"/>
      <c r="C360" s="21"/>
      <c r="D360" s="21"/>
      <c r="E360" s="1127" t="str">
        <f>IF(ISBLANK(E359),"",IF(INDEX('B_Polttoainevirtojen tiedot'!$E$67:$E$91,MATCH(U358,'B_Polttoainevirtojen tiedot'!$D$67:$D$91,0))&gt;0,INDEX('B_Polttoainevirtojen tiedot'!$E$67:$E$91,MATCH(U358,'B_Polttoainevirtojen tiedot'!$D$67:$D$91,0)),""))</f>
        <v/>
      </c>
      <c r="F360" s="1128"/>
      <c r="G360" s="1128"/>
      <c r="H360" s="1128"/>
      <c r="I360" s="1128"/>
      <c r="J360" s="1129"/>
      <c r="K360" s="1138" t="str">
        <f>IF(INDEX('B_Polttoainevirtojen tiedot'!$M$100:$M$124,MATCH(U358,'B_Polttoainevirtojen tiedot'!$D$100:$D$124,0))&gt;0,INDEX('B_Polttoainevirtojen tiedot'!$M$100:$M$124,MATCH(U358,'B_Polttoainevirtojen tiedot'!$D$100:$D$124,0)),"")</f>
        <v/>
      </c>
      <c r="L360" s="1139"/>
      <c r="M360" s="340" t="str">
        <f>Translations!$B$375</f>
        <v>CO2 bio:</v>
      </c>
      <c r="N360" s="482" t="str">
        <f>IF(E360="","",BG367)</f>
        <v/>
      </c>
      <c r="O360" s="341" t="str">
        <f>EUconst_tCO2</f>
        <v>tCO2</v>
      </c>
      <c r="P360" s="301"/>
      <c r="Q360" s="335" t="str">
        <f>EUconst_SumBioCO2</f>
        <v>SUM_bioCO2</v>
      </c>
      <c r="R360" s="23"/>
      <c r="S360" s="2"/>
      <c r="T360" s="2"/>
      <c r="U360" s="2"/>
      <c r="V360" s="60"/>
      <c r="W360" s="37"/>
      <c r="X360" s="41"/>
      <c r="Y360" s="20" t="str">
        <f>Translations!$B$143</f>
        <v>Määrittämistasot</v>
      </c>
      <c r="Z360" s="325"/>
      <c r="AA360" s="325"/>
      <c r="AB360" s="325"/>
      <c r="AC360" s="325"/>
      <c r="AD360" s="325"/>
      <c r="AE360" s="20" t="s">
        <v>95</v>
      </c>
      <c r="AF360" s="41"/>
      <c r="AG360" s="342"/>
      <c r="AH360" s="325"/>
      <c r="AI360" s="325"/>
      <c r="AJ360" s="342"/>
      <c r="AK360" s="342"/>
      <c r="AL360" s="337"/>
      <c r="AM360" s="337"/>
      <c r="AN360" s="337"/>
      <c r="AO360" s="337"/>
      <c r="AP360" s="337"/>
      <c r="AQ360" s="20" t="s">
        <v>96</v>
      </c>
      <c r="AR360" s="343"/>
      <c r="AS360" s="343"/>
      <c r="AT360" s="325"/>
      <c r="AU360" s="325"/>
      <c r="AV360" s="325"/>
      <c r="AW360" s="325"/>
      <c r="AX360" s="325"/>
      <c r="AY360" s="325"/>
      <c r="AZ360" s="20" t="s">
        <v>97</v>
      </c>
      <c r="BA360" s="325"/>
      <c r="BB360" s="325"/>
      <c r="BC360" s="325"/>
      <c r="BD360" s="325"/>
      <c r="BE360" s="325"/>
      <c r="BF360" s="20" t="s">
        <v>98</v>
      </c>
      <c r="BG360" s="325"/>
      <c r="BH360" s="325"/>
      <c r="BI360" s="20" t="s">
        <v>99</v>
      </c>
      <c r="BJ360" s="338" t="str">
        <f>Translations!$B$376</f>
        <v>RFA-määrittämistaso</v>
      </c>
      <c r="BK360" s="338" t="str">
        <f>Translations!$B$377</f>
        <v>RFA</v>
      </c>
      <c r="BL360" s="338" t="str">
        <f>Translations!$B$378</f>
        <v>RFA (SF:n jälkeen)</v>
      </c>
      <c r="BM360" s="338" t="str">
        <f>Translations!$B$379</f>
        <v>RFA-yksikkö</v>
      </c>
      <c r="BN360" s="338" t="str">
        <f>Translations!$B$380</f>
        <v>SF-määrittämistaso</v>
      </c>
      <c r="BO360" s="338" t="str">
        <f>Translations!$B$380</f>
        <v>SF-määrittämistaso</v>
      </c>
      <c r="BP360" s="338" t="str">
        <f>Translations!$B$381</f>
        <v>SF</v>
      </c>
      <c r="BQ360" s="338" t="str">
        <f>Translations!$B$382</f>
        <v>EF-määrittämistaso</v>
      </c>
      <c r="BR360" s="338" t="str">
        <f>Translations!$B$383</f>
        <v>EF</v>
      </c>
      <c r="BS360" s="338" t="str">
        <f>Translations!$B$384</f>
        <v>EF-yksikkö</v>
      </c>
      <c r="BT360" s="338" t="str">
        <f>Translations!$B$385</f>
        <v>UCF-määrittämistaso</v>
      </c>
      <c r="BU360" s="338" t="str">
        <f>Translations!$B$386</f>
        <v>UCF</v>
      </c>
      <c r="BV360" s="338" t="str">
        <f>Translations!$B$387</f>
        <v>UCF-yksikkö</v>
      </c>
      <c r="BW360" s="338" t="str">
        <f>Translations!$B$388</f>
        <v>Bio-määrittämistaso</v>
      </c>
      <c r="BX360" s="338" t="s">
        <v>100</v>
      </c>
      <c r="BY360" s="338" t="str">
        <f>Translations!$B$389</f>
        <v>NonSustBio-määrittämistaso</v>
      </c>
      <c r="BZ360" s="338" t="s">
        <v>101</v>
      </c>
      <c r="CA360" s="338" t="str">
        <f>Translations!$B$390</f>
        <v>CO2 fossil</v>
      </c>
      <c r="CB360" s="338" t="str">
        <f>Translations!$B$391</f>
        <v>CO2 bio</v>
      </c>
      <c r="CC360" s="338" t="str">
        <f>Translations!$B$392</f>
        <v>CO2 non-sust</v>
      </c>
      <c r="CD360" s="338" t="s">
        <v>102</v>
      </c>
      <c r="CE360" s="338" t="s">
        <v>103</v>
      </c>
      <c r="CF360" s="325"/>
      <c r="CG360" s="325"/>
    </row>
    <row r="361" spans="1:85" ht="5.15" customHeight="1" thickBot="1" x14ac:dyDescent="0.3">
      <c r="A361" s="318"/>
      <c r="B361" s="21"/>
      <c r="C361" s="21"/>
      <c r="D361" s="21"/>
      <c r="E361" s="21"/>
      <c r="F361" s="21"/>
      <c r="G361" s="21"/>
      <c r="H361" s="22"/>
      <c r="I361" s="22"/>
      <c r="J361" s="22"/>
      <c r="K361" s="22"/>
      <c r="L361" s="22"/>
      <c r="M361" s="22"/>
      <c r="N361" s="22"/>
      <c r="O361" s="323"/>
      <c r="P361" s="301"/>
      <c r="Q361" s="23"/>
      <c r="R361" s="23"/>
      <c r="S361" s="2"/>
      <c r="T361" s="2"/>
      <c r="U361" s="2"/>
      <c r="V361" s="60"/>
      <c r="W361" s="325"/>
      <c r="X361" s="325"/>
      <c r="Y361" s="23"/>
      <c r="Z361" s="325"/>
      <c r="AA361" s="325"/>
      <c r="AB361" s="325"/>
      <c r="AC361" s="325"/>
      <c r="AD361" s="325"/>
      <c r="AE361" s="325"/>
      <c r="AF361" s="41"/>
      <c r="AG361" s="325"/>
      <c r="AH361" s="325"/>
      <c r="AI361" s="325"/>
      <c r="AJ361" s="342"/>
      <c r="AK361" s="342"/>
      <c r="AL361" s="337"/>
      <c r="AM361" s="337"/>
      <c r="AN361" s="337"/>
      <c r="AO361" s="337"/>
      <c r="AP361" s="337"/>
      <c r="AQ361" s="325"/>
      <c r="AR361" s="325"/>
      <c r="AS361" s="325"/>
      <c r="AT361" s="325"/>
      <c r="AU361" s="325"/>
      <c r="AV361" s="325"/>
      <c r="AW361" s="325"/>
      <c r="AX361" s="325"/>
      <c r="AY361" s="325"/>
      <c r="AZ361" s="325"/>
      <c r="BA361" s="325"/>
      <c r="BB361" s="325"/>
      <c r="BC361" s="325"/>
      <c r="BD361" s="325"/>
      <c r="BE361" s="325"/>
      <c r="BF361" s="325"/>
      <c r="BG361" s="325"/>
      <c r="BH361" s="325"/>
      <c r="BI361" s="325"/>
      <c r="BJ361" s="325"/>
      <c r="BK361" s="325"/>
      <c r="BL361" s="325"/>
      <c r="BM361" s="325"/>
      <c r="BN361" s="325"/>
      <c r="BO361" s="325"/>
      <c r="BP361" s="325"/>
      <c r="BQ361" s="325"/>
      <c r="BR361" s="325"/>
      <c r="BS361" s="325"/>
      <c r="BT361" s="325"/>
      <c r="BU361" s="325"/>
      <c r="BV361" s="325"/>
      <c r="BW361" s="325"/>
      <c r="BX361" s="325"/>
      <c r="BY361" s="325"/>
      <c r="BZ361" s="325"/>
      <c r="CA361" s="325"/>
      <c r="CB361" s="325"/>
      <c r="CC361" s="325"/>
      <c r="CD361" s="325"/>
      <c r="CE361" s="325"/>
      <c r="CF361" s="325"/>
      <c r="CG361" s="325"/>
    </row>
    <row r="362" spans="1:85" ht="12.75" customHeight="1" thickBot="1" x14ac:dyDescent="0.3">
      <c r="A362" s="318"/>
      <c r="B362" s="21"/>
      <c r="C362" s="21"/>
      <c r="D362" s="21"/>
      <c r="E362" s="1140" t="str">
        <f>IF(E359="","",HYPERLINK("#JUMP_E_Top",EUconst_FurtherGuidancePoint1))</f>
        <v/>
      </c>
      <c r="F362" s="1140"/>
      <c r="G362" s="1140"/>
      <c r="H362" s="1140"/>
      <c r="I362" s="1140"/>
      <c r="J362" s="1140"/>
      <c r="K362" s="1140"/>
      <c r="L362" s="1140"/>
      <c r="M362" s="1140"/>
      <c r="N362" s="22"/>
      <c r="O362" s="323"/>
      <c r="P362" s="301"/>
      <c r="Q362" s="335" t="str">
        <f>EUconst_SumNonSustBioCO2</f>
        <v>SUM_bioNonSustCO2</v>
      </c>
      <c r="R362" s="500" t="str">
        <f>IF(E360="","",BG368)</f>
        <v/>
      </c>
      <c r="S362" s="2"/>
      <c r="T362" s="2"/>
      <c r="U362" s="2"/>
      <c r="V362" s="325"/>
      <c r="W362" s="325"/>
      <c r="X362" s="325"/>
      <c r="Y362" s="41"/>
      <c r="Z362" s="325"/>
      <c r="AA362" s="325"/>
      <c r="AB362" s="325"/>
      <c r="AC362" s="325"/>
      <c r="AD362" s="325"/>
      <c r="AE362" s="325"/>
      <c r="AF362" s="41"/>
      <c r="AG362" s="325"/>
      <c r="AH362" s="325"/>
      <c r="AI362" s="325"/>
      <c r="AJ362" s="342"/>
      <c r="AK362" s="342"/>
      <c r="AL362" s="337"/>
      <c r="AM362" s="337"/>
      <c r="AN362" s="337"/>
      <c r="AO362" s="337"/>
      <c r="AP362" s="337"/>
      <c r="AQ362" s="325"/>
      <c r="AR362" s="325"/>
      <c r="AS362" s="325"/>
      <c r="AT362" s="325"/>
      <c r="AU362" s="325"/>
      <c r="AV362" s="325"/>
      <c r="AW362" s="325"/>
      <c r="AX362" s="325"/>
      <c r="AY362" s="325"/>
      <c r="AZ362" s="325"/>
      <c r="BA362" s="325"/>
      <c r="BB362" s="325"/>
      <c r="BC362" s="325"/>
      <c r="BD362" s="325"/>
      <c r="BE362" s="325"/>
      <c r="BF362" s="325"/>
      <c r="BG362" s="325"/>
      <c r="BH362" s="325"/>
      <c r="BI362" s="20" t="s">
        <v>104</v>
      </c>
      <c r="BJ362" s="343"/>
      <c r="BK362" s="483" t="str">
        <f>IF(G376="","",G376)</f>
        <v/>
      </c>
      <c r="BL362" s="483" t="str">
        <f>IF(I376="","",I376)</f>
        <v/>
      </c>
      <c r="BM362" s="483" t="str">
        <f>IF(K376="","",K376)</f>
        <v/>
      </c>
      <c r="BN362" s="325"/>
      <c r="BO362" s="325"/>
      <c r="BP362" s="325"/>
      <c r="BQ362" s="325"/>
      <c r="BR362" s="325"/>
      <c r="BS362" s="325"/>
      <c r="BT362" s="330"/>
      <c r="BU362" s="325"/>
      <c r="BV362" s="325"/>
      <c r="BW362" s="325"/>
      <c r="BX362" s="325"/>
      <c r="BY362" s="325"/>
      <c r="BZ362" s="325"/>
      <c r="CA362" s="325"/>
      <c r="CB362" s="325"/>
      <c r="CC362" s="325"/>
      <c r="CD362" s="325"/>
      <c r="CE362" s="325"/>
      <c r="CF362" s="325"/>
      <c r="CG362" s="325"/>
    </row>
    <row r="363" spans="1:85" ht="5.15" customHeight="1" thickBot="1" x14ac:dyDescent="0.3">
      <c r="A363" s="318"/>
      <c r="B363" s="21"/>
      <c r="C363" s="21"/>
      <c r="D363" s="21"/>
      <c r="E363" s="21"/>
      <c r="F363" s="21"/>
      <c r="G363" s="21"/>
      <c r="H363" s="22"/>
      <c r="I363" s="22"/>
      <c r="J363" s="22"/>
      <c r="K363" s="22"/>
      <c r="L363" s="22"/>
      <c r="M363" s="22"/>
      <c r="N363" s="22"/>
      <c r="O363" s="323"/>
      <c r="P363" s="259"/>
      <c r="Q363" s="2"/>
      <c r="R363" s="259"/>
      <c r="S363" s="2"/>
      <c r="T363" s="2"/>
      <c r="U363" s="2"/>
      <c r="V363" s="325"/>
      <c r="W363" s="325"/>
      <c r="X363" s="325"/>
      <c r="Y363" s="23"/>
      <c r="Z363" s="325"/>
      <c r="AA363" s="325"/>
      <c r="AB363" s="325"/>
      <c r="AC363" s="325"/>
      <c r="AD363" s="325"/>
      <c r="AE363" s="325"/>
      <c r="AF363" s="41"/>
      <c r="AG363" s="325"/>
      <c r="AH363" s="325"/>
      <c r="AI363" s="325"/>
      <c r="AJ363" s="342"/>
      <c r="AK363" s="342"/>
      <c r="AL363" s="337"/>
      <c r="AM363" s="337"/>
      <c r="AN363" s="337"/>
      <c r="AO363" s="337"/>
      <c r="AP363" s="337"/>
      <c r="AQ363" s="325"/>
      <c r="AR363" s="325"/>
      <c r="AS363" s="325"/>
      <c r="AT363" s="325"/>
      <c r="AU363" s="325"/>
      <c r="AV363" s="325"/>
      <c r="AW363" s="325"/>
      <c r="AX363" s="325"/>
      <c r="AY363" s="325"/>
      <c r="AZ363" s="325"/>
      <c r="BA363" s="325"/>
      <c r="BB363" s="325"/>
      <c r="BC363" s="325"/>
      <c r="BD363" s="325"/>
      <c r="BE363" s="325"/>
      <c r="BF363" s="325"/>
      <c r="BG363" s="325"/>
      <c r="BH363" s="325"/>
      <c r="BI363" s="325"/>
      <c r="BJ363" s="325"/>
      <c r="BK363" s="325"/>
      <c r="BL363" s="325"/>
      <c r="BM363" s="325"/>
      <c r="BN363" s="325"/>
      <c r="BO363" s="325"/>
      <c r="BP363" s="325"/>
      <c r="BQ363" s="325"/>
      <c r="BR363" s="325"/>
      <c r="BS363" s="325"/>
      <c r="BT363" s="325"/>
      <c r="BU363" s="325"/>
      <c r="BV363" s="325"/>
      <c r="BW363" s="325"/>
      <c r="BX363" s="325"/>
      <c r="BY363" s="325"/>
      <c r="BZ363" s="325"/>
      <c r="CA363" s="325"/>
      <c r="CB363" s="325"/>
      <c r="CC363" s="325"/>
      <c r="CD363" s="325"/>
      <c r="CE363" s="325"/>
      <c r="CF363" s="325"/>
      <c r="CG363" s="325"/>
    </row>
    <row r="364" spans="1:85" ht="12.75" customHeight="1" thickBot="1" x14ac:dyDescent="0.3">
      <c r="A364" s="318"/>
      <c r="B364" s="21"/>
      <c r="C364" s="21"/>
      <c r="D364" s="21"/>
      <c r="E364" s="21"/>
      <c r="F364" s="347" t="str">
        <f>Translations!$B$127</f>
        <v>Määrittämistaso</v>
      </c>
      <c r="G364" s="1141" t="str">
        <f>Translations!$B$393</f>
        <v>määrittämistason kuvaus</v>
      </c>
      <c r="H364" s="1141"/>
      <c r="I364" s="1142" t="str">
        <f>Translations!$B$394</f>
        <v>Yksikkö</v>
      </c>
      <c r="J364" s="1142"/>
      <c r="K364" s="1142" t="str">
        <f>Translations!$B$395</f>
        <v>Arvo</v>
      </c>
      <c r="L364" s="1142"/>
      <c r="M364" s="327" t="str">
        <f>Translations!$B$396</f>
        <v>virhe</v>
      </c>
      <c r="N364" s="22"/>
      <c r="O364" s="323"/>
      <c r="P364" s="611"/>
      <c r="Q364" s="335" t="str">
        <f>EUconst_SumEnergyIN</f>
        <v>SUM_EnergyIN</v>
      </c>
      <c r="R364" s="501" t="str">
        <f>IF(E360="","",BG369)</f>
        <v/>
      </c>
      <c r="S364" s="325"/>
      <c r="T364" s="325"/>
      <c r="U364" s="325"/>
      <c r="V364" s="336" t="s">
        <v>105</v>
      </c>
      <c r="W364" s="325"/>
      <c r="X364" s="325"/>
      <c r="Y364" s="23" t="s">
        <v>106</v>
      </c>
      <c r="Z364" s="23" t="s">
        <v>107</v>
      </c>
      <c r="AA364" s="325"/>
      <c r="AB364" s="325"/>
      <c r="AC364" s="343" t="s">
        <v>108</v>
      </c>
      <c r="AD364" s="325"/>
      <c r="AE364" s="325"/>
      <c r="AF364" s="325" t="s">
        <v>109</v>
      </c>
      <c r="AG364" s="325" t="s">
        <v>110</v>
      </c>
      <c r="AH364" s="23" t="s">
        <v>111</v>
      </c>
      <c r="AI364" s="342" t="s">
        <v>112</v>
      </c>
      <c r="AJ364" s="342" t="s">
        <v>113</v>
      </c>
      <c r="AK364" s="348" t="s">
        <v>114</v>
      </c>
      <c r="AL364" s="337"/>
      <c r="AM364" s="337"/>
      <c r="AN364" s="337"/>
      <c r="AO364" s="337"/>
      <c r="AP364" s="337"/>
      <c r="AQ364" s="325"/>
      <c r="AR364" s="325" t="s">
        <v>109</v>
      </c>
      <c r="AS364" s="325" t="s">
        <v>110</v>
      </c>
      <c r="AT364" s="349" t="s">
        <v>115</v>
      </c>
      <c r="AU364" s="342" t="s">
        <v>116</v>
      </c>
      <c r="AV364" s="342" t="s">
        <v>117</v>
      </c>
      <c r="AW364" s="348" t="s">
        <v>114</v>
      </c>
      <c r="AX364" s="348" t="s">
        <v>114</v>
      </c>
      <c r="AY364" s="325"/>
      <c r="AZ364" s="325"/>
      <c r="BA364" s="325"/>
      <c r="BB364" s="325" t="s">
        <v>118</v>
      </c>
      <c r="BC364" s="325"/>
      <c r="BD364" s="325"/>
      <c r="BE364" s="325"/>
      <c r="BF364" s="325"/>
      <c r="BG364" s="330" t="str">
        <f>EUconst_Fuel</f>
        <v>Poltto</v>
      </c>
      <c r="BH364" s="325"/>
      <c r="BI364" s="325"/>
      <c r="BJ364" s="325"/>
      <c r="BK364" s="325"/>
      <c r="BL364" s="325"/>
      <c r="BM364" s="325"/>
      <c r="BN364" s="325"/>
      <c r="BO364" s="325"/>
      <c r="BP364" s="325"/>
      <c r="BQ364" s="325"/>
      <c r="BR364" s="325"/>
      <c r="BS364" s="325"/>
      <c r="BT364" s="325"/>
      <c r="BU364" s="325"/>
      <c r="BV364" s="325"/>
      <c r="BW364" s="325"/>
      <c r="BX364" s="325"/>
      <c r="BY364" s="325"/>
      <c r="BZ364" s="325"/>
      <c r="CA364" s="325"/>
      <c r="CB364" s="325"/>
      <c r="CC364" s="325"/>
      <c r="CD364" s="325"/>
      <c r="CE364" s="325"/>
      <c r="CF364" s="325"/>
      <c r="CG364" s="330" t="s">
        <v>94</v>
      </c>
    </row>
    <row r="365" spans="1:85" ht="12.75" customHeight="1" thickBot="1" x14ac:dyDescent="0.3">
      <c r="A365" s="318"/>
      <c r="B365" s="21"/>
      <c r="C365" s="344"/>
      <c r="D365" s="345" t="str">
        <f>Translations!$B$356</f>
        <v>Polttoaineen määrä:</v>
      </c>
      <c r="E365" s="350"/>
      <c r="F365" s="351"/>
      <c r="G365" s="1120" t="str">
        <f>IF(OR(ISBLANK(F365),F365=EUconst_NoTier),"",IF(Z365=0,EUconst_NA,IF(ISERROR(Z365),"",Z365)))</f>
        <v/>
      </c>
      <c r="H365" s="1122"/>
      <c r="I365" s="352" t="str">
        <f>IF(J365&lt;&gt;"","",AI365)</f>
        <v/>
      </c>
      <c r="J365" s="353"/>
      <c r="K365" s="1143"/>
      <c r="L365" s="1144"/>
      <c r="M365" s="486" t="str">
        <f>IF(AND(E360&lt;&gt;"",OR(F365="",COUNT(K365)=0),Y365&lt;&gt;EUconst_NA),EUconst_ERR_Incomplete,"")</f>
        <v/>
      </c>
      <c r="N365" s="22"/>
      <c r="O365" s="323"/>
      <c r="P365" s="612"/>
      <c r="Q365" s="335" t="str">
        <f>EUconst_SumBioEnergyIN</f>
        <v>SUM_BioEnergyIN</v>
      </c>
      <c r="R365" s="501" t="str">
        <f>IF(E360="","",BG370)</f>
        <v/>
      </c>
      <c r="S365" s="325"/>
      <c r="T365" s="355" t="str">
        <f>EUconst_CNTR_ActivityData&amp;E360</f>
        <v>ActivityData_</v>
      </c>
      <c r="U365" s="23"/>
      <c r="V365" s="355" t="str">
        <f>IF(E359="","",INDEX('B_Polttoainevirtojen tiedot'!$I$67:$I$91,MATCH(U358,'B_Polttoainevirtojen tiedot'!$D$67:$D$91,0)))</f>
        <v/>
      </c>
      <c r="W365" s="342" t="s">
        <v>121</v>
      </c>
      <c r="X365" s="23"/>
      <c r="Y365" s="356" t="str">
        <f>IF(E360="","",INDEX(EUwideConstants!$P$153:$P$180,MATCH(T365,EUwideConstants!$S$153:$S$180,0)))</f>
        <v/>
      </c>
      <c r="Z365" s="357" t="str">
        <f>IF(ISBLANK(F365),"",IF(F365=EUconst_NA,"",INDEX(EUwideConstants!$H:$O,MATCH(T365,EUwideConstants!$S:$S,0),MATCH(F365,CNTR_TierList,0))))</f>
        <v/>
      </c>
      <c r="AA365" s="358" t="s">
        <v>111</v>
      </c>
      <c r="AB365" s="342"/>
      <c r="AC365" s="339" t="b">
        <f>E359&lt;&gt;""</f>
        <v>0</v>
      </c>
      <c r="AD365" s="325"/>
      <c r="AE365" s="359" t="str">
        <f>EUconst_CNTR_ActivityData&amp;EUconst_Unit</f>
        <v>ActivityData_Yksikkö</v>
      </c>
      <c r="AF365" s="360" t="str">
        <f>IF(AC365=TRUE, IF(COUNTIF(MSPara_SourceStreamCategory,V365)=0,"",INDEX(MSPara_CalcFactorsMatrix,MATCH(V365,MSPara_SourceStreamCategory,0),MATCH(AE365&amp;"_"&amp;2,MSPara_CalcFactors,0))),"")</f>
        <v/>
      </c>
      <c r="AG365" s="361" t="str">
        <f>IF(AC365=TRUE, IF(COUNTIF(MSPara_SourceStreamCategory,V365)=0,"",INDEX(MSPara_CalcFactorsMatrix,MATCH(V365,MSPara_SourceStreamCategory,0),MATCH(AE365&amp;"_"&amp;1,MSPara_CalcFactors,0))),"")</f>
        <v/>
      </c>
      <c r="AH365" s="339" t="str">
        <f>IF(OR(AF365="",AF365=EUconst_NA),IF(OR(AG365=EUconst_NA,AG365=""),"",AG365),AF365)</f>
        <v/>
      </c>
      <c r="AI365" s="356" t="str">
        <f>IF(AC365=TRUE,IF(AH365="",EUconst_t,AH365),"")</f>
        <v/>
      </c>
      <c r="AJ365" s="362" t="str">
        <f>IF(J365="",AI365,J365)</f>
        <v/>
      </c>
      <c r="AK365" s="363" t="b">
        <f>AND(E359&lt;&gt;"",J365&lt;&gt;"")</f>
        <v>0</v>
      </c>
      <c r="AL365" s="337"/>
      <c r="AM365" s="404" t="s">
        <v>122</v>
      </c>
      <c r="AN365" s="403" t="str">
        <f>AJ365</f>
        <v/>
      </c>
      <c r="AO365" s="337"/>
      <c r="AP365" s="337"/>
      <c r="AQ365" s="355" t="str">
        <f>EUconst_CNTR_ActivityData&amp;EUconst_Value</f>
        <v>ActivityData_Arvo</v>
      </c>
      <c r="AR365" s="343"/>
      <c r="AS365" s="343"/>
      <c r="AT365" s="339" t="b">
        <f>AND(AND(AH365&lt;&gt;"",AJ365&lt;&gt;""),AJ365=AH365)</f>
        <v>0</v>
      </c>
      <c r="AU365" s="325"/>
      <c r="AV365" s="339">
        <f>IF(Y365=EUconst_NA,0,IF(COUNT(K365:K365)=0,0,IF(K365="",#REF!,K365)))</f>
        <v>0</v>
      </c>
      <c r="AW365" s="346" t="b">
        <f>AND(AC365=TRUE,OR(K365&lt;&gt;"",AU365=""))</f>
        <v>0</v>
      </c>
      <c r="AX365" s="346" t="b">
        <f>AND(AC365=TRUE,NOT(AW365))</f>
        <v>0</v>
      </c>
      <c r="AY365" s="325"/>
      <c r="AZ365" s="325" t="s">
        <v>123</v>
      </c>
      <c r="BA365" s="325" t="s">
        <v>124</v>
      </c>
      <c r="BB365" s="346"/>
      <c r="BC365" s="325" t="s">
        <v>125</v>
      </c>
      <c r="BD365" s="325"/>
      <c r="BE365" s="325"/>
      <c r="BF365" s="400" t="str">
        <f>Translations!$B$390</f>
        <v>CO2 fossil</v>
      </c>
      <c r="BG365" s="495" t="str">
        <f>IF(COUNTIF(AO368:AO369,TRUE)=0,"",AV365*IF(AO368,1,AV367*AN369)*AV368*(1-AV369)*AV372)</f>
        <v/>
      </c>
      <c r="BH365" s="325"/>
      <c r="BI365" s="325"/>
      <c r="BJ365" s="325"/>
      <c r="BK365" s="325"/>
      <c r="BL365" s="325"/>
      <c r="BM365" s="325"/>
      <c r="BN365" s="325"/>
      <c r="BO365" s="325"/>
      <c r="BP365" s="325"/>
      <c r="BQ365" s="325"/>
      <c r="BR365" s="325"/>
      <c r="BS365" s="325"/>
      <c r="BT365" s="325"/>
      <c r="BU365" s="325"/>
      <c r="BV365" s="325"/>
      <c r="BW365" s="325"/>
      <c r="BX365" s="325"/>
      <c r="BY365" s="325"/>
      <c r="BZ365" s="325"/>
      <c r="CA365" s="325"/>
      <c r="CB365" s="325"/>
      <c r="CC365" s="325"/>
      <c r="CD365" s="325"/>
      <c r="CE365" s="325"/>
      <c r="CF365" s="325"/>
      <c r="CG365" s="346" t="b">
        <v>0</v>
      </c>
    </row>
    <row r="366" spans="1:85" ht="5.15" customHeight="1" thickBot="1" x14ac:dyDescent="0.3">
      <c r="A366" s="318"/>
      <c r="B366" s="21"/>
      <c r="C366" s="344"/>
      <c r="D366" s="188"/>
      <c r="E366" s="22"/>
      <c r="F366" s="22"/>
      <c r="G366" s="22"/>
      <c r="H366" s="22" t="str">
        <f>Translations!$B$397</f>
        <v xml:space="preserve"> </v>
      </c>
      <c r="I366" s="364"/>
      <c r="J366" s="364"/>
      <c r="K366" s="22"/>
      <c r="L366" s="22"/>
      <c r="M366" s="487"/>
      <c r="N366" s="22"/>
      <c r="O366" s="323"/>
      <c r="P366" s="301"/>
      <c r="Q366" s="23"/>
      <c r="R366" s="23"/>
      <c r="S366" s="325"/>
      <c r="T366" s="277"/>
      <c r="U366" s="23"/>
      <c r="V366" s="325"/>
      <c r="W366" s="325"/>
      <c r="X366" s="23"/>
      <c r="Y366" s="330"/>
      <c r="Z366" s="325"/>
      <c r="AA366" s="325"/>
      <c r="AB366" s="325"/>
      <c r="AC366" s="325"/>
      <c r="AD366" s="325"/>
      <c r="AE366" s="325"/>
      <c r="AF366" s="325"/>
      <c r="AG366" s="325"/>
      <c r="AH366" s="325"/>
      <c r="AI366" s="325"/>
      <c r="AJ366" s="325"/>
      <c r="AK366" s="325"/>
      <c r="AL366" s="337"/>
      <c r="AM366" s="337"/>
      <c r="AN366" s="337"/>
      <c r="AO366" s="337"/>
      <c r="AP366" s="337"/>
      <c r="AQ366" s="325"/>
      <c r="AR366" s="325"/>
      <c r="AS366" s="325"/>
      <c r="AT366" s="325"/>
      <c r="AU366" s="325"/>
      <c r="AV366" s="325"/>
      <c r="AW366" s="325"/>
      <c r="AX366" s="325"/>
      <c r="AY366" s="325"/>
      <c r="AZ366" s="325"/>
      <c r="BA366" s="325"/>
      <c r="BB366" s="325"/>
      <c r="BC366" s="325"/>
      <c r="BD366" s="325"/>
      <c r="BE366" s="325"/>
      <c r="BF366" s="325"/>
      <c r="BG366" s="496"/>
      <c r="BH366" s="325"/>
      <c r="BI366" s="325"/>
      <c r="BJ366" s="325"/>
      <c r="BK366" s="325"/>
      <c r="BL366" s="325"/>
      <c r="BM366" s="325"/>
      <c r="BN366" s="325"/>
      <c r="BO366" s="325"/>
      <c r="BP366" s="325"/>
      <c r="BQ366" s="325"/>
      <c r="BR366" s="325"/>
      <c r="BS366" s="325"/>
      <c r="BT366" s="325"/>
      <c r="BU366" s="325"/>
      <c r="BV366" s="325"/>
      <c r="BW366" s="325"/>
      <c r="BX366" s="325"/>
      <c r="BY366" s="325"/>
      <c r="BZ366" s="325"/>
      <c r="CA366" s="325"/>
      <c r="CB366" s="325"/>
      <c r="CC366" s="325"/>
      <c r="CD366" s="325"/>
      <c r="CE366" s="325"/>
      <c r="CF366" s="325"/>
      <c r="CG366" s="330"/>
    </row>
    <row r="367" spans="1:85" ht="12.75" customHeight="1" thickBot="1" x14ac:dyDescent="0.3">
      <c r="A367" s="318"/>
      <c r="B367" s="21"/>
      <c r="C367" s="344"/>
      <c r="D367" s="345" t="str">
        <f>Translations!$B$360</f>
        <v>Yksikön muuntokerroin:</v>
      </c>
      <c r="E367" s="350"/>
      <c r="F367" s="443"/>
      <c r="G367" s="1120" t="str">
        <f>IF(OR(ISBLANK(F367),F367=EUconst_NoTier),"",IF(Z367=0,EUconst_NotApplicable,IF(ISERROR(Z367),"",Z367)))</f>
        <v/>
      </c>
      <c r="H367" s="1122"/>
      <c r="I367" s="444" t="str">
        <f>IF(J367&lt;&gt;"","",AI367)</f>
        <v/>
      </c>
      <c r="J367" s="445"/>
      <c r="K367" s="632" t="str">
        <f>IF(L367="",AU367,"")</f>
        <v/>
      </c>
      <c r="L367" s="633"/>
      <c r="M367" s="486" t="str">
        <f>IF(AND(E360&lt;&gt;"",OR(F367="",COUNT(K367:L367)=0),Y367&lt;&gt;EUconst_NA),EUconst_ERR_Incomplete,IF(COUNTIF(BB367:BD367,TRUE)&gt;0,EUconst_ERR_Inconsistent,""))</f>
        <v/>
      </c>
      <c r="N367" s="752"/>
      <c r="O367" s="323"/>
      <c r="P367" s="301"/>
      <c r="Q367" s="23"/>
      <c r="R367" s="23"/>
      <c r="S367" s="325"/>
      <c r="T367" s="365" t="str">
        <f>EUconst_CNTR_UCF&amp;E360</f>
        <v>UCF_</v>
      </c>
      <c r="U367" s="23"/>
      <c r="V367" s="366" t="str">
        <f>V368</f>
        <v/>
      </c>
      <c r="W367" s="325"/>
      <c r="X367" s="23"/>
      <c r="Y367" s="448" t="str">
        <f>IF(E360="","",IF(OR(F367=EUconst_NA,W367=TRUE),EUconst_NA,INDEX(EUwideConstants!$P$153:$P$180,MATCH(T367,EUwideConstants!$S$153:$S$180,0))))</f>
        <v/>
      </c>
      <c r="Z367" s="471" t="str">
        <f>IF(ISBLANK(F367),"",IF(F367=EUconst_NA,"",INDEX(EUwideConstants!$H:$O,MATCH(T367,EUwideConstants!$S:$S,0),MATCH(F367,CNTR_TierList,0))))</f>
        <v/>
      </c>
      <c r="AA367" s="449" t="str">
        <f>IF(COUNTIF(EUconst_DefaultValues,Z367)&gt;0,MATCH(Z367,EUconst_DefaultValues,0),"")</f>
        <v/>
      </c>
      <c r="AB367" s="325"/>
      <c r="AC367" s="367" t="b">
        <f>AND(AC365,Y367&lt;&gt;EUconst_NA)</f>
        <v>0</v>
      </c>
      <c r="AD367" s="325"/>
      <c r="AE367" s="359" t="str">
        <f>EUconst_CNTR_UCF&amp;EUconst_Unit</f>
        <v>UCF_Yksikkö</v>
      </c>
      <c r="AF367" s="368" t="str">
        <f>IF(AC367=TRUE, IF(COUNTIF(MSPara_SourceStreamCategory,V367)=0,"",INDEX(MSPara_CalcFactorsMatrix,MATCH(V367,MSPara_SourceStreamCategory,0),MATCH(AE367&amp;"_"&amp;2,MSPara_CalcFactors,0))),"")</f>
        <v/>
      </c>
      <c r="AG367" s="372" t="str">
        <f>IF(AC367=TRUE, IF(COUNTIF(MSPara_SourceStreamCategory,V367)=0,"",INDEX(MSPara_CalcFactorsMatrix,MATCH(V367,MSPara_SourceStreamCategory,0),MATCH(AE367&amp;"_"&amp;1,MSPara_CalcFactors,0))),"")</f>
        <v/>
      </c>
      <c r="AH367" s="367" t="str">
        <f>IF(AA367="","",INDEX(AF367:AG367,3-AA367))</f>
        <v/>
      </c>
      <c r="AI367" s="367" t="str">
        <f>IF(AC367=TRUE,IF(OR(AH367="",AH367=EUconst_NA),EUconst_GJ&amp;"/"&amp;AJ365,AH367),"")</f>
        <v/>
      </c>
      <c r="AJ367" s="367" t="str">
        <f>IF(J367="",AI367,J367)</f>
        <v/>
      </c>
      <c r="AK367" s="366" t="b">
        <f>AND(E359&lt;&gt;"",J367&lt;&gt;"")</f>
        <v>0</v>
      </c>
      <c r="AL367" s="337"/>
      <c r="AM367" s="404" t="s">
        <v>127</v>
      </c>
      <c r="AN367" s="403" t="str">
        <f>IF(AJ367="",EUconst_NA,IF(AN365=EUconst_TJ,EUconst_TJ,INDEX(EUwideConstants!$C$124:$G$128,MATCH(AN365,RFAUnits,0),MATCH(AJ367,UCFUnits,0))))</f>
        <v>ei sovellettavissa</v>
      </c>
      <c r="AO367" s="337"/>
      <c r="AP367" s="337"/>
      <c r="AQ367" s="454" t="str">
        <f>EUconst_CNTR_UCF&amp;EUconst_Value</f>
        <v>UCF_Arvo</v>
      </c>
      <c r="AR367" s="475" t="str">
        <f>IF(AC367=TRUE,IF(COUNTIF(MSPara_SourceStreamCategory,V367)=0,"",INDEX(MSPara_CalcFactorsMatrix,MATCH(V367,MSPara_SourceStreamCategory,0),MATCH(AQ367&amp;"_"&amp;2,MSPara_CalcFactors,0))),"")</f>
        <v/>
      </c>
      <c r="AS367" s="371" t="str">
        <f>IF(AC367=TRUE,IF(COUNTIF(MSPara_SourceStreamCategory,V367)=0,"",INDEX(MSPara_CalcFactorsMatrix,MATCH(V367,MSPara_SourceStreamCategory,0),MATCH(AQ367&amp;"_"&amp;1,MSPara_CalcFactors,0))),"")</f>
        <v/>
      </c>
      <c r="AT367" s="369" t="b">
        <f>AND(AND(AH367&lt;&gt;"",AJ367&lt;&gt;""),AJ367=AH367)</f>
        <v>0</v>
      </c>
      <c r="AU367" s="381" t="str">
        <f>IF(AND(AA367&lt;&gt;"",AT367=TRUE),IF(OR(INDEX(AR367:AS367,3-AA367)=EUconst_NA,INDEX(AR367:AS367,3-AA367)=0),"",INDEX(AR367:AS367,3-AA367)),"")</f>
        <v/>
      </c>
      <c r="AV367" s="367">
        <f>IF(AC367=TRUE,IF(COUNT(K367:L367)=0,0,IF(L367="",K367,L367)),0)</f>
        <v>0</v>
      </c>
      <c r="AW367" s="366" t="b">
        <f>AND(AC367=TRUE,OR(AND(F367&lt;&gt;"",NOT(ISNUMBER(AA367))),L367&lt;&gt;"",F367="",AU367=""))</f>
        <v>0</v>
      </c>
      <c r="AX367" s="370" t="b">
        <f>AND(AC367=TRUE,NOT(AW367))</f>
        <v>0</v>
      </c>
      <c r="AY367" s="325"/>
      <c r="AZ367" s="373" t="b">
        <f>AND(ISNUMBER(AA367),AU367="")</f>
        <v>0</v>
      </c>
      <c r="BA367" s="399" t="b">
        <f>AND(ISNUMBER(AA367),AU367&lt;&gt;AV367)</f>
        <v>0</v>
      </c>
      <c r="BB367" s="366" t="b">
        <f>AND(E360&lt;&gt;"",F367&lt;&gt;EUconst_NA,AN367=EUconst_NA)</f>
        <v>0</v>
      </c>
      <c r="BC367" s="366" t="b">
        <f>AND(L367&lt;&gt;"",Y367=EUconst_NA)</f>
        <v>0</v>
      </c>
      <c r="BD367" s="325"/>
      <c r="BE367" s="325"/>
      <c r="BF367" s="373" t="s">
        <v>128</v>
      </c>
      <c r="BG367" s="497" t="str">
        <f>IF(COUNTIF(AO368:AO369,TRUE)=0,"",AV365*IF(AO368,1,AV367*AN369)*AV368*AV369*AV372)</f>
        <v/>
      </c>
      <c r="BH367" s="325"/>
      <c r="BI367" s="325"/>
      <c r="BJ367" s="325"/>
      <c r="BK367" s="325"/>
      <c r="BL367" s="325"/>
      <c r="BM367" s="325"/>
      <c r="BN367" s="325"/>
      <c r="BO367" s="325"/>
      <c r="BP367" s="325"/>
      <c r="BQ367" s="325"/>
      <c r="BR367" s="325"/>
      <c r="BS367" s="325"/>
      <c r="BT367" s="325"/>
      <c r="BU367" s="325"/>
      <c r="BV367" s="325"/>
      <c r="BW367" s="325"/>
      <c r="BX367" s="325"/>
      <c r="BY367" s="325"/>
      <c r="BZ367" s="325"/>
      <c r="CA367" s="325"/>
      <c r="CB367" s="325"/>
      <c r="CC367" s="325"/>
      <c r="CD367" s="325"/>
      <c r="CE367" s="325"/>
      <c r="CF367" s="325"/>
      <c r="CG367" s="375" t="b">
        <f>OR(CG365,Y367=EUconst_NA)</f>
        <v>0</v>
      </c>
    </row>
    <row r="368" spans="1:85" ht="12.75" customHeight="1" thickBot="1" x14ac:dyDescent="0.3">
      <c r="A368" s="318"/>
      <c r="B368" s="21"/>
      <c r="C368" s="344"/>
      <c r="D368" s="345" t="str">
        <f>Translations!$B$358</f>
        <v>Päästökerroin (alustava):</v>
      </c>
      <c r="E368" s="350"/>
      <c r="F368" s="624"/>
      <c r="G368" s="1120" t="str">
        <f>IF(OR(ISBLANK(F368),F368=EUconst_NoTier),"",IF(Z368=0,EUconst_NotApplicable,IF(ISERROR(Z368),"",Z368)))</f>
        <v/>
      </c>
      <c r="H368" s="1121"/>
      <c r="I368" s="625" t="str">
        <f>IF(J368&lt;&gt;"","",AI368)</f>
        <v/>
      </c>
      <c r="J368" s="631"/>
      <c r="K368" s="634" t="str">
        <f>IF(L368="",AU368,"")</f>
        <v/>
      </c>
      <c r="L368" s="754"/>
      <c r="M368" s="486" t="str">
        <f>IF(AND(E360&lt;&gt;"",OR(F368="",COUNT(K368:L368)=0),Y368&lt;&gt;EUconst_NA),EUconst_ERR_Incomplete,IF(COUNTIF(BB368:BD368,TRUE)&gt;0,EUconst_ERR_Inconsistent,""))</f>
        <v/>
      </c>
      <c r="N368" s="753"/>
      <c r="O368" s="323"/>
      <c r="P368" s="301"/>
      <c r="Q368" s="23"/>
      <c r="R368" s="23"/>
      <c r="S368" s="325"/>
      <c r="T368" s="374" t="str">
        <f>EUconst_CNTR_EF&amp;E360</f>
        <v>EF_</v>
      </c>
      <c r="U368" s="23"/>
      <c r="V368" s="375" t="str">
        <f>V365</f>
        <v/>
      </c>
      <c r="W368" s="325"/>
      <c r="X368" s="23"/>
      <c r="Y368" s="450" t="str">
        <f>IF(E360="","",IF(OR(F368=EUconst_NA,W368=TRUE),EUconst_NA,INDEX(EUwideConstants!$P$153:$P$180,MATCH(T368,EUwideConstants!$S$153:$S$180,0))))</f>
        <v/>
      </c>
      <c r="Z368" s="472" t="str">
        <f>IF(ISBLANK(F368),"",IF(F368=EUconst_NA,"",INDEX(EUwideConstants!$H:$O,MATCH(T368,EUwideConstants!$S:$S,0),MATCH(F368,CNTR_TierList,0))))</f>
        <v/>
      </c>
      <c r="AA368" s="451" t="str">
        <f>IF(COUNTIF(EUconst_DefaultValues,Z368)&gt;0,MATCH(Z368,EUconst_DefaultValues,0),"")</f>
        <v/>
      </c>
      <c r="AB368" s="325"/>
      <c r="AC368" s="376" t="b">
        <f>AND(AC365,Y368&lt;&gt;EUconst_NA)</f>
        <v>0</v>
      </c>
      <c r="AD368" s="325"/>
      <c r="AE368" s="377" t="str">
        <f>EUconst_CNTR_EF&amp;EUconst_Unit</f>
        <v>EF_Yksikkö</v>
      </c>
      <c r="AF368" s="378" t="str">
        <f>IF(AC368=TRUE, IF(COUNTIF(MSPara_SourceStreamCategory,V368)=0,"",INDEX(MSPara_CalcFactorsMatrix,MATCH(V368,MSPara_SourceStreamCategory,0),MATCH(AE368&amp;"_"&amp;2,MSPara_CalcFactors,0))),"")</f>
        <v/>
      </c>
      <c r="AG368" s="464" t="str">
        <f>IF(AC368=TRUE, IF(COUNTIF(MSPara_SourceStreamCategory,V368)=0,"",INDEX(MSPara_CalcFactorsMatrix,MATCH(V368,MSPara_SourceStreamCategory,0),MATCH(AE368&amp;"_"&amp;1,MSPara_CalcFactors,0))),"")</f>
        <v/>
      </c>
      <c r="AH368" s="376" t="str">
        <f>IF(AA368="","",INDEX(AF368:AG368,3-AA368))</f>
        <v/>
      </c>
      <c r="AI368" s="376" t="str">
        <f>IF(AC368=TRUE,IF(OR(AH368="",AH368=EUconst_NA),EUconst_tCO2&amp;"/"&amp;IF(AN367=EUconst_NA,AN365,IF(AN367=EUconst_GJ,EUconst_TJ,AN367)),AH368),"")</f>
        <v/>
      </c>
      <c r="AJ368" s="376" t="str">
        <f>IF(J368="",AI368,J368)</f>
        <v/>
      </c>
      <c r="AK368" s="375" t="b">
        <f>AND(E360&lt;&gt;"",J368&lt;&gt;"")</f>
        <v>0</v>
      </c>
      <c r="AL368" s="337"/>
      <c r="AM368" s="404" t="s">
        <v>130</v>
      </c>
      <c r="AN368" s="403" t="str">
        <f>IF(COUNTIF(RFAUnits,AN365)=0,EUconst_NA,INDEX(EUwideConstants!$C$139:$H$143,MATCH(AJ368,EFUnits,0),MATCH(AN365,EUwideConstants!$C$138:$H$138,0)))</f>
        <v>ei sovellettavissa</v>
      </c>
      <c r="AO368" s="403" t="b">
        <f>AN368&lt;&gt;EUconst_NA</f>
        <v>0</v>
      </c>
      <c r="AP368" s="337"/>
      <c r="AQ368" s="455" t="str">
        <f>EUconst_CNTR_EF&amp;EUconst_Value</f>
        <v>EF_Arvo</v>
      </c>
      <c r="AR368" s="476" t="str">
        <f>IF(AC368=TRUE,IF(COUNTIF(MSPara_SourceStreamCategory,V368)=0,"",INDEX(MSPara_CalcFactorsMatrix,MATCH(V368,MSPara_SourceStreamCategory,0),MATCH(AQ368&amp;"_"&amp;2,MSPara_CalcFactors,0))),"")</f>
        <v/>
      </c>
      <c r="AS368" s="383" t="str">
        <f>IF(AC368=TRUE,IF(COUNTIF(MSPara_SourceStreamCategory,V368)=0,"",INDEX(MSPara_CalcFactorsMatrix,MATCH(V368,MSPara_SourceStreamCategory,0),MATCH(AQ368&amp;"_"&amp;1,MSPara_CalcFactors,0))),"")</f>
        <v/>
      </c>
      <c r="AT368" s="456" t="b">
        <f>AND(AND(AH368&lt;&gt;"",AJ368&lt;&gt;""),AJ368=AH368)</f>
        <v>0</v>
      </c>
      <c r="AU368" s="334" t="str">
        <f>IF(AND(AA368&lt;&gt;"",AT368=TRUE),IF(OR(INDEX(AR368:AS368,3-AA368)=EUconst_NA,INDEX(AR368:AS368,3-AA368)=0),"",INDEX(AR368:AS368,3-AA368)),"")</f>
        <v/>
      </c>
      <c r="AV368" s="376">
        <f>IF(AC368=TRUE,IF(COUNT(K368:L368)=0,0,IF(L368="",K368,L368)),0)</f>
        <v>0</v>
      </c>
      <c r="AW368" s="375" t="b">
        <f>AND(AC368=TRUE,OR(AND(F368&lt;&gt;"",NOT(ISNUMBER(AA368))),L368&lt;&gt;"",F368="",AU368=""))</f>
        <v>0</v>
      </c>
      <c r="AX368" s="457" t="b">
        <f>AND(AC368=TRUE,NOT(AW368))</f>
        <v>0</v>
      </c>
      <c r="AY368" s="325"/>
      <c r="AZ368" s="379" t="b">
        <f>AND(ISNUMBER(AA368),AU368="")</f>
        <v>0</v>
      </c>
      <c r="BA368" s="380" t="b">
        <f>AND(ISNUMBER(AA368),AU368&lt;&gt;AV368)</f>
        <v>0</v>
      </c>
      <c r="BB368" s="382" t="b">
        <f>AND(E360&lt;&gt;"",COUNTIF(AO368:AO369,TRUE)=0)</f>
        <v>0</v>
      </c>
      <c r="BC368" s="375" t="b">
        <f>AND(L368&lt;&gt;"",Y368=EUconst_NA)</f>
        <v>0</v>
      </c>
      <c r="BD368" s="325"/>
      <c r="BE368" s="325"/>
      <c r="BF368" s="379" t="s">
        <v>131</v>
      </c>
      <c r="BG368" s="498" t="str">
        <f>IF(COUNTIF(AO368:AO369,TRUE)=0,"",AV365*IF(AO368,1,AV367*AN369)*AV368*AV370*AV372)</f>
        <v/>
      </c>
      <c r="BH368" s="325"/>
      <c r="BI368" s="325"/>
      <c r="BJ368" s="325"/>
      <c r="BK368" s="325"/>
      <c r="BL368" s="325"/>
      <c r="BM368" s="325"/>
      <c r="BN368" s="325"/>
      <c r="BO368" s="325"/>
      <c r="BP368" s="325"/>
      <c r="BQ368" s="325"/>
      <c r="BR368" s="325"/>
      <c r="BS368" s="325"/>
      <c r="BT368" s="325"/>
      <c r="BU368" s="325"/>
      <c r="BV368" s="325"/>
      <c r="BW368" s="325"/>
      <c r="BX368" s="325"/>
      <c r="BY368" s="325"/>
      <c r="BZ368" s="325"/>
      <c r="CA368" s="325"/>
      <c r="CB368" s="325"/>
      <c r="CC368" s="325"/>
      <c r="CD368" s="325"/>
      <c r="CE368" s="325"/>
      <c r="CF368" s="325"/>
      <c r="CG368" s="366" t="b">
        <f>OR(CG365,Y368=EUconst_NA)</f>
        <v>0</v>
      </c>
    </row>
    <row r="369" spans="1:85" ht="12.75" customHeight="1" x14ac:dyDescent="0.25">
      <c r="A369" s="318"/>
      <c r="B369" s="21"/>
      <c r="C369" s="344"/>
      <c r="D369" s="345" t="str">
        <f>Translations!$B$362</f>
        <v>Biomassaosuus:</v>
      </c>
      <c r="E369" s="350"/>
      <c r="F369" s="624"/>
      <c r="G369" s="1120" t="str">
        <f>IF(OR(ISBLANK(F369),F369=EUconst_NoTier),"",IF(Z369=0,EUconst_NotApplicable,IF(ISERROR(Z369),"",Z369)))</f>
        <v/>
      </c>
      <c r="H369" s="1122"/>
      <c r="I369" s="626" t="str">
        <f>IF(OR(AC369=FALSE,Y369=EUconst_NA),"","-")</f>
        <v/>
      </c>
      <c r="J369" s="446"/>
      <c r="K369" s="635" t="str">
        <f>IF(L369="",AU369,"")</f>
        <v/>
      </c>
      <c r="L369" s="627"/>
      <c r="M369" s="486" t="str">
        <f>IF(AND(E360&lt;&gt;"",OR(F369="",COUNT(K369:L369)=0),Y369&lt;&gt;EUconst_NA),EUconst_ERR_Incomplete,IF(COUNTIF(BB369:BD369,TRUE)&gt;0,EUconst_ERR_Inconsistent,""))</f>
        <v/>
      </c>
      <c r="O369" s="323"/>
      <c r="P369" s="612"/>
      <c r="Q369" s="354"/>
      <c r="R369" s="354"/>
      <c r="S369" s="325"/>
      <c r="T369" s="374" t="str">
        <f>EUconst_CNTR_BiomassContent&amp;E360</f>
        <v>BioC_</v>
      </c>
      <c r="U369" s="23"/>
      <c r="V369" s="375" t="str">
        <f>V367</f>
        <v/>
      </c>
      <c r="W369" s="366" t="e">
        <f>IF(COUNTIF(MSPara_SourceStreamCategory,V369)=0,"",INDEX(MSPara_IsFossil,MATCH(V369,MSPara_SourceStreamCategory,0)))</f>
        <v>#N/A</v>
      </c>
      <c r="X369" s="23"/>
      <c r="Y369" s="450" t="str">
        <f>IF(E360="","",IF(OR(F369=EUconst_NA,W369=TRUE),EUconst_NA,INDEX(EUwideConstants!$P$153:$P$180,MATCH(T369,EUwideConstants!$S$153:$S$180,0))))</f>
        <v/>
      </c>
      <c r="Z369" s="472" t="str">
        <f>IF(ISBLANK(F369),"",IF(F369=EUconst_NA,"",INDEX(EUwideConstants!$H:$O,MATCH(T369,EUwideConstants!$S:$S,0),MATCH(F369,CNTR_TierList,0))))</f>
        <v/>
      </c>
      <c r="AA369" s="681" t="str">
        <f>IF(F369=1,1,"")</f>
        <v/>
      </c>
      <c r="AB369" s="325"/>
      <c r="AC369" s="376" t="b">
        <f>AND(AC365,Y369&lt;&gt;EUconst_NA)</f>
        <v>0</v>
      </c>
      <c r="AD369" s="325"/>
      <c r="AE369" s="462"/>
      <c r="AF369" s="460"/>
      <c r="AG369" s="465"/>
      <c r="AH369" s="467"/>
      <c r="AI369" s="467"/>
      <c r="AJ369" s="467"/>
      <c r="AK369" s="469"/>
      <c r="AL369" s="337"/>
      <c r="AM369" s="404" t="s">
        <v>132</v>
      </c>
      <c r="AN369" s="403" t="str">
        <f>IF(AN367=EUconst_NA,EUconst_NA,INDEX(EUwideConstants!$C$139:$H$143,MATCH(AJ368,EFUnits,0),MATCH(AN367,EUwideConstants!$C$138:$H$138,0)))</f>
        <v>ei sovellettavissa</v>
      </c>
      <c r="AO369" s="403" t="b">
        <f>AN369&lt;&gt;EUconst_NA</f>
        <v>0</v>
      </c>
      <c r="AP369" s="337"/>
      <c r="AQ369" s="455" t="str">
        <f>EUconst_CNTR_BiomassContent&amp;EUconst_Value</f>
        <v>BioC_Arvo</v>
      </c>
      <c r="AR369" s="462"/>
      <c r="AS369" s="383" t="str">
        <f>IF(AC369=TRUE,IF(COUNTIF(MSPara_SourceStreamCategory,V369)=0,"",INDEX(MSPara_CalcFactorsMatrix,MATCH(V369,MSPara_SourceStreamCategory,0),MATCH(AQ369&amp;"_"&amp;2,MSPara_CalcFactors,0))),"")</f>
        <v/>
      </c>
      <c r="AT369" s="458"/>
      <c r="AU369" s="334" t="str">
        <f>IF(OR(AA369="",AS369=EUconst_NA),"",AS369)</f>
        <v/>
      </c>
      <c r="AV369" s="376">
        <f>IF(AC369=TRUE,IF(COUNT(K369:L369)=0,0,IF(L369="",K369,L369)),0)</f>
        <v>0</v>
      </c>
      <c r="AW369" s="375" t="b">
        <f>AND(AC369=TRUE,OR(AND(F369&lt;&gt;"",NOT(ISNUMBER(AA369))),L369&lt;&gt;"",F369="",AU369=""))</f>
        <v>0</v>
      </c>
      <c r="AX369" s="457" t="b">
        <f>AND(AC369=TRUE,NOT(AW369))</f>
        <v>0</v>
      </c>
      <c r="AY369" s="325"/>
      <c r="AZ369" s="379" t="b">
        <f>AND(ISNUMBER(AA369),AU369="")</f>
        <v>0</v>
      </c>
      <c r="BA369" s="380" t="b">
        <f>AND(ISNUMBER(AA369),AU369&lt;&gt;AV369)</f>
        <v>0</v>
      </c>
      <c r="BB369" s="325"/>
      <c r="BC369" s="375" t="b">
        <f>AND(L369&lt;&gt;"",Y369=EUconst_NA)</f>
        <v>0</v>
      </c>
      <c r="BD369" s="366" t="b">
        <f>OR(AV369&gt;100%,(AV369+AV370)&gt;100%)</f>
        <v>0</v>
      </c>
      <c r="BE369" s="325"/>
      <c r="BF369" s="379" t="s">
        <v>133</v>
      </c>
      <c r="BG369" s="498" t="str">
        <f>IF(AN365=EUconst_TJ,AV365*(1-AV369),IF(AN367=EUconst_GJ,AV365*AV367/1000*(1-AV369),""))</f>
        <v/>
      </c>
      <c r="BH369" s="325"/>
      <c r="BI369" s="325"/>
      <c r="BJ369" s="325"/>
      <c r="BK369" s="325"/>
      <c r="BL369" s="325"/>
      <c r="BM369" s="325"/>
      <c r="BN369" s="325"/>
      <c r="BO369" s="325"/>
      <c r="BP369" s="325"/>
      <c r="BQ369" s="325"/>
      <c r="BR369" s="325"/>
      <c r="BS369" s="325"/>
      <c r="BT369" s="325"/>
      <c r="BU369" s="325"/>
      <c r="BV369" s="325"/>
      <c r="BW369" s="325"/>
      <c r="BX369" s="325"/>
      <c r="BY369" s="325"/>
      <c r="BZ369" s="325"/>
      <c r="CA369" s="325"/>
      <c r="CB369" s="325"/>
      <c r="CC369" s="325"/>
      <c r="CD369" s="325"/>
      <c r="CE369" s="325"/>
      <c r="CF369" s="325"/>
      <c r="CG369" s="375" t="b">
        <f>OR(CG365,Y369=EUconst_NA)</f>
        <v>0</v>
      </c>
    </row>
    <row r="370" spans="1:85" ht="12.75" customHeight="1" thickBot="1" x14ac:dyDescent="0.3">
      <c r="A370" s="318"/>
      <c r="B370" s="21"/>
      <c r="C370" s="344"/>
      <c r="D370" s="345" t="str">
        <f>Translations!$B$368</f>
        <v>Ei kestävä biomassaosuus:</v>
      </c>
      <c r="E370" s="350"/>
      <c r="F370" s="628"/>
      <c r="G370" s="1120" t="str">
        <f>IF(OR(ISBLANK(F370),F370=EUconst_NoTier),"",IF(Z370=0,EUconst_NotApplicable,IF(ISERROR(Z370),"",Z370)))</f>
        <v/>
      </c>
      <c r="H370" s="1122"/>
      <c r="I370" s="629" t="str">
        <f>IF(OR(AC370=FALSE,Y370=EUconst_NA),"","-")</f>
        <v/>
      </c>
      <c r="J370" s="447"/>
      <c r="K370" s="636" t="str">
        <f>IF(L370="",AU370,"")</f>
        <v/>
      </c>
      <c r="L370" s="630"/>
      <c r="M370" s="486" t="str">
        <f>IF(AND(E360&lt;&gt;"",OR(F370="",COUNT(K370:L370)=0),Y370&lt;&gt;EUconst_NA),EUconst_ERR_Incomplete,IF(COUNTIF(BB370:BD370,TRUE)&gt;0,EUconst_ERR_Inconsistent,""))</f>
        <v/>
      </c>
      <c r="N370" s="22"/>
      <c r="O370" s="323"/>
      <c r="P370" s="612"/>
      <c r="Q370" s="354"/>
      <c r="R370" s="354"/>
      <c r="S370" s="325"/>
      <c r="T370" s="384" t="str">
        <f>EUconst_CNTR_BiomassContent&amp;E360</f>
        <v>BioC_</v>
      </c>
      <c r="U370" s="23"/>
      <c r="V370" s="382" t="str">
        <f>V369</f>
        <v/>
      </c>
      <c r="W370" s="382" t="e">
        <f>IF(COUNTIF(MSPara_SourceStreamCategory,V370)=0,"",INDEX(MSPara_IsFossil,MATCH(V370,MSPara_SourceStreamCategory,0)))</f>
        <v>#N/A</v>
      </c>
      <c r="X370" s="23"/>
      <c r="Y370" s="452" t="str">
        <f>IF(E360="","",IF(OR(F370=EUconst_NA,W370=TRUE),EUconst_NA,INDEX(EUwideConstants!$P$153:$P$180,MATCH(T370,EUwideConstants!$S$153:$S$180,0))))</f>
        <v/>
      </c>
      <c r="Z370" s="473" t="str">
        <f>IF(ISBLANK(F370),"",IF(F370=EUconst_NA,"",INDEX(EUwideConstants!$H:$O,MATCH(T370,EUwideConstants!$S:$S,0),MATCH(F370,CNTR_TierList,0))))</f>
        <v/>
      </c>
      <c r="AA370" s="682" t="str">
        <f>IF(F370=1,1,"")</f>
        <v/>
      </c>
      <c r="AB370" s="325"/>
      <c r="AC370" s="453" t="b">
        <f>AND(AC365,Y370&lt;&gt;EUconst_NA)</f>
        <v>0</v>
      </c>
      <c r="AD370" s="325"/>
      <c r="AE370" s="463"/>
      <c r="AF370" s="461"/>
      <c r="AG370" s="466"/>
      <c r="AH370" s="468"/>
      <c r="AI370" s="468"/>
      <c r="AJ370" s="468"/>
      <c r="AK370" s="470"/>
      <c r="AL370" s="337"/>
      <c r="AM370" s="337"/>
      <c r="AN370" s="337"/>
      <c r="AO370" s="337"/>
      <c r="AP370" s="337"/>
      <c r="AQ370" s="474" t="str">
        <f>EUconst_CNTR_BiomassContent&amp;EUconst_Value</f>
        <v>BioC_Arvo</v>
      </c>
      <c r="AR370" s="463"/>
      <c r="AS370" s="385" t="str">
        <f>IF(AC370=TRUE,IF(COUNTIF(MSPara_SourceStreamCategory,V370)=0,"",INDEX(MSPara_CalcFactorsMatrix,MATCH(V370,MSPara_SourceStreamCategory,0),MATCH(AQ370&amp;"_"&amp;2,MSPara_CalcFactors,0))),"")</f>
        <v/>
      </c>
      <c r="AT370" s="459"/>
      <c r="AU370" s="477" t="str">
        <f>IF(OR(AA370="",AS370=EUconst_NA),"",AS370)</f>
        <v/>
      </c>
      <c r="AV370" s="453">
        <f>IF(AC370=TRUE,IF(COUNT(K370:L370)=0,0,IF(L370="",K370,L370)),0)</f>
        <v>0</v>
      </c>
      <c r="AW370" s="382" t="b">
        <f>AND(AC370=TRUE,OR(AND(F370&lt;&gt;"",NOT(ISNUMBER(AA370))),L370&lt;&gt;"",F370="",AU370=""))</f>
        <v>0</v>
      </c>
      <c r="AX370" s="478" t="b">
        <f>AND(AC370=TRUE,NOT(AW370))</f>
        <v>0</v>
      </c>
      <c r="AY370" s="325"/>
      <c r="AZ370" s="386" t="b">
        <f>AND(ISNUMBER(AA370),AU370="")</f>
        <v>0</v>
      </c>
      <c r="BA370" s="387" t="b">
        <f>AND(ISNUMBER(AA370),AU370&lt;&gt;AV370)</f>
        <v>0</v>
      </c>
      <c r="BB370" s="325"/>
      <c r="BC370" s="382" t="b">
        <f>AND(L370&lt;&gt;"",Y370=EUconst_NA)</f>
        <v>0</v>
      </c>
      <c r="BD370" s="382" t="b">
        <f>OR(AV369&gt;100%,(AV369+AV370)&gt;100%)</f>
        <v>0</v>
      </c>
      <c r="BE370" s="325"/>
      <c r="BF370" s="386" t="s">
        <v>134</v>
      </c>
      <c r="BG370" s="499" t="str">
        <f>IF(AN365=EUconst_TJ,AV365*AV369,IF(AN367=EUconst_GJ,AV365*AV367/1000*AV369,""))</f>
        <v/>
      </c>
      <c r="BH370" s="325"/>
      <c r="BI370" s="325"/>
      <c r="BJ370" s="325"/>
      <c r="BK370" s="325"/>
      <c r="BL370" s="325"/>
      <c r="BM370" s="325"/>
      <c r="BN370" s="325"/>
      <c r="BO370" s="325"/>
      <c r="BP370" s="325"/>
      <c r="BQ370" s="325"/>
      <c r="BR370" s="325"/>
      <c r="BS370" s="325"/>
      <c r="BT370" s="325"/>
      <c r="BU370" s="325"/>
      <c r="BV370" s="325"/>
      <c r="BW370" s="325"/>
      <c r="BX370" s="325"/>
      <c r="BY370" s="325"/>
      <c r="BZ370" s="325"/>
      <c r="CA370" s="325"/>
      <c r="CB370" s="325"/>
      <c r="CC370" s="325"/>
      <c r="CD370" s="325"/>
      <c r="CE370" s="325"/>
      <c r="CF370" s="325"/>
      <c r="CG370" s="382" t="b">
        <f>OR(CG365,Y370=EUconst_NA)</f>
        <v>0</v>
      </c>
    </row>
    <row r="371" spans="1:85" ht="5.15" customHeight="1" thickBot="1" x14ac:dyDescent="0.3">
      <c r="A371" s="318"/>
      <c r="B371" s="21"/>
      <c r="C371" s="21"/>
      <c r="D371" s="327"/>
      <c r="E371" s="22"/>
      <c r="F371" s="22"/>
      <c r="G371" s="22"/>
      <c r="H371" s="22"/>
      <c r="I371" s="22"/>
      <c r="J371" s="22"/>
      <c r="K371" s="22"/>
      <c r="L371" s="22"/>
      <c r="M371" s="488"/>
      <c r="N371" s="22"/>
      <c r="O371" s="323"/>
      <c r="P371" s="301"/>
      <c r="Q371" s="23"/>
      <c r="R371" s="23"/>
      <c r="S371" s="325"/>
      <c r="T371" s="325"/>
      <c r="U371" s="325"/>
      <c r="V371" s="325"/>
      <c r="W371" s="325"/>
      <c r="X371" s="325"/>
      <c r="Y371" s="325"/>
      <c r="Z371" s="325"/>
      <c r="AA371" s="325"/>
      <c r="AB371" s="325"/>
      <c r="AC371" s="325"/>
      <c r="AD371" s="325"/>
      <c r="AE371" s="325"/>
      <c r="AF371" s="325"/>
      <c r="AG371" s="325"/>
      <c r="AH371" s="325"/>
      <c r="AI371" s="325"/>
      <c r="AJ371" s="325"/>
      <c r="AK371" s="325"/>
      <c r="AL371" s="325"/>
      <c r="AM371" s="325"/>
      <c r="AN371" s="325"/>
      <c r="AO371" s="325"/>
      <c r="AP371" s="325"/>
      <c r="AQ371" s="325"/>
      <c r="AR371" s="325"/>
      <c r="AS371" s="325"/>
      <c r="AT371" s="325"/>
      <c r="AU371" s="325"/>
      <c r="AV371" s="325"/>
      <c r="AW371" s="325"/>
      <c r="AX371" s="325"/>
      <c r="AY371" s="325"/>
      <c r="AZ371" s="325"/>
      <c r="BA371" s="325"/>
      <c r="BB371" s="325"/>
      <c r="BC371" s="325"/>
      <c r="BD371" s="325"/>
      <c r="BE371" s="325"/>
      <c r="BF371" s="325"/>
      <c r="BG371" s="325"/>
      <c r="BH371" s="325"/>
      <c r="BI371" s="325"/>
      <c r="BJ371" s="325"/>
      <c r="BK371" s="325"/>
      <c r="BL371" s="325"/>
      <c r="BM371" s="325"/>
      <c r="BN371" s="325"/>
      <c r="BO371" s="325"/>
      <c r="BP371" s="325"/>
      <c r="BQ371" s="325"/>
      <c r="BR371" s="325"/>
      <c r="BS371" s="325"/>
      <c r="BT371" s="325"/>
      <c r="BU371" s="325"/>
      <c r="BV371" s="325"/>
      <c r="BW371" s="325"/>
      <c r="BX371" s="325"/>
      <c r="BY371" s="325"/>
      <c r="BZ371" s="325"/>
      <c r="CA371" s="325"/>
      <c r="CB371" s="325"/>
      <c r="CC371" s="325"/>
      <c r="CD371" s="325"/>
      <c r="CE371" s="325"/>
      <c r="CF371" s="325"/>
      <c r="CG371" s="325"/>
    </row>
    <row r="372" spans="1:85" ht="12.75" customHeight="1" thickBot="1" x14ac:dyDescent="0.3">
      <c r="A372" s="318"/>
      <c r="B372" s="21"/>
      <c r="C372" s="344"/>
      <c r="D372" s="345" t="str">
        <f>Translations!$B$398</f>
        <v>Soveltamisalakerroin:</v>
      </c>
      <c r="E372" s="479"/>
      <c r="F372" s="803"/>
      <c r="G372" s="1125"/>
      <c r="H372" s="1126"/>
      <c r="I372" s="492" t="s">
        <v>52</v>
      </c>
      <c r="J372" s="480"/>
      <c r="K372" s="481" t="str">
        <f>IF(L372="",AU372,"")</f>
        <v/>
      </c>
      <c r="L372" s="607"/>
      <c r="M372" s="489" t="str">
        <f>IF(AND(E360&lt;&gt;"",OR(F372="",G372="",COUNT(K372:L372)=0)),EUconst_ERR_Incomplete,IF(COUNTIF(BB372:BD372,TRUE)&gt;0,EUconst_ERR_Inconsistent,""))</f>
        <v/>
      </c>
      <c r="N372" s="22"/>
      <c r="O372" s="323"/>
      <c r="P372" s="301"/>
      <c r="Q372" s="23"/>
      <c r="R372" s="325"/>
      <c r="S372" s="10"/>
      <c r="T372" s="48" t="str">
        <f>EUconst_CNTR_ScopeFactor&amp;E360</f>
        <v>ScopeFactor_</v>
      </c>
      <c r="U372" s="248" t="str">
        <f>IF(F372="","",INDEX(ScopeAddress,MATCH(F372,ScopeTiers,0)))</f>
        <v/>
      </c>
      <c r="V372" s="382" t="str">
        <f>V365</f>
        <v/>
      </c>
      <c r="W372" s="325"/>
      <c r="X372" s="325"/>
      <c r="Y372" s="452" t="str">
        <f>IF(E360="","",IF(F372=EUconst_NA,EUconst_NA,INDEX(EUwideConstants!$P$153:$P$180,MATCH(T372,EUwideConstants!$S$153:$S$180,0))))</f>
        <v/>
      </c>
      <c r="Z372" s="473" t="str">
        <f>IF(ISBLANK(F372),"",IF(F372=EUconst_NA,"",INDEX(EUwideConstants!$H:$O,MATCH(T372,EUwideConstants!$S:$S,0),MATCH(F372,CNTR_TierList,0))))</f>
        <v/>
      </c>
      <c r="AA372" s="339" t="str">
        <f>IF(G372=EUwideConstants!$A$88,1,"")</f>
        <v/>
      </c>
      <c r="AB372" s="325"/>
      <c r="AC372" s="376" t="b">
        <f>AND(AC365,Y372&lt;&gt;EUconst_NA)</f>
        <v>0</v>
      </c>
      <c r="AD372" s="325"/>
      <c r="AE372" s="325"/>
      <c r="AF372" s="325"/>
      <c r="AG372" s="330"/>
      <c r="AH372" s="325"/>
      <c r="AI372" s="325"/>
      <c r="AJ372" s="325"/>
      <c r="AK372" s="325"/>
      <c r="AL372" s="325"/>
      <c r="AM372" s="325"/>
      <c r="AN372" s="325"/>
      <c r="AO372" s="325"/>
      <c r="AP372" s="325"/>
      <c r="AQ372" s="325"/>
      <c r="AR372" s="325"/>
      <c r="AS372" s="338">
        <v>1</v>
      </c>
      <c r="AT372" s="325"/>
      <c r="AU372" s="330" t="str">
        <f>IF(G372=EUwideConstants!$A$88,AS372,"")</f>
        <v/>
      </c>
      <c r="AV372" s="376">
        <f>IF(AC372=TRUE,IF(COUNT(K372:L372)=0,0,IF(L372="",K372,L372)),0)</f>
        <v>0</v>
      </c>
      <c r="AW372" s="375" t="b">
        <f>AND(AC372=TRUE,OR(AND(F372&lt;&gt;"",NOT(ISNUMBER(AA372))),L372&lt;&gt;"",F372="",AU372=""))</f>
        <v>0</v>
      </c>
      <c r="AX372" s="457" t="b">
        <f>AND(AC372=TRUE,NOT(AW372))</f>
        <v>0</v>
      </c>
      <c r="AY372" s="325"/>
      <c r="AZ372" s="379" t="b">
        <f>AND(ISNUMBER(AA372),AU372="")</f>
        <v>0</v>
      </c>
      <c r="BA372" s="380" t="b">
        <f>AND(ISNUMBER(AA372),AU372&lt;&gt;AV372)</f>
        <v>0</v>
      </c>
      <c r="BB372" s="325"/>
      <c r="BC372" s="33" t="b">
        <f>AND(F372&lt;&gt;"",OR(COUNTIF(INDEX(ScopeMethods,F372,),G372)=0,AND(AA372&lt;&gt;"",AU372&lt;&gt;AV372)))</f>
        <v>0</v>
      </c>
      <c r="BD372" s="325"/>
      <c r="BE372" s="325"/>
      <c r="BF372" s="325"/>
      <c r="BG372" s="325"/>
      <c r="BH372" s="325"/>
      <c r="BI372" s="325"/>
      <c r="BJ372" s="325"/>
      <c r="BK372" s="325"/>
      <c r="BL372" s="325"/>
      <c r="BM372" s="325"/>
      <c r="BN372" s="325"/>
      <c r="BO372" s="325"/>
      <c r="BP372" s="325"/>
      <c r="BQ372" s="325"/>
      <c r="BR372" s="325"/>
      <c r="BS372" s="325"/>
      <c r="BT372" s="325"/>
      <c r="BU372" s="325"/>
      <c r="BV372" s="325"/>
      <c r="BW372" s="325"/>
      <c r="BX372" s="325"/>
      <c r="BY372" s="325"/>
      <c r="BZ372" s="325"/>
      <c r="CA372" s="325"/>
      <c r="CB372" s="325"/>
      <c r="CC372" s="325"/>
      <c r="CD372" s="325"/>
      <c r="CE372" s="325"/>
      <c r="CF372" s="325"/>
      <c r="CG372" s="325"/>
    </row>
    <row r="373" spans="1:85" ht="12.75" customHeight="1" x14ac:dyDescent="0.25">
      <c r="A373" s="318"/>
      <c r="B373" s="21"/>
      <c r="C373" s="21"/>
      <c r="D373" s="21"/>
      <c r="E373" s="21"/>
      <c r="F373" s="21"/>
      <c r="G373" s="1130" t="str">
        <f>IF(G372="","",INDEX(ScopeMethodsDetails,MATCH(G372,INDEX(ScopeMethodsDetails,,1),0),2))</f>
        <v/>
      </c>
      <c r="H373" s="1131"/>
      <c r="I373" s="1131"/>
      <c r="J373" s="1131"/>
      <c r="K373" s="1131"/>
      <c r="L373" s="1131"/>
      <c r="M373" s="1132"/>
      <c r="N373" s="22"/>
      <c r="O373" s="323"/>
      <c r="P373" s="301"/>
      <c r="Q373" s="23"/>
      <c r="R373" s="23"/>
      <c r="S373" s="325"/>
      <c r="T373" s="325"/>
      <c r="U373" s="325"/>
      <c r="V373" s="325"/>
      <c r="W373" s="325"/>
      <c r="X373" s="325"/>
      <c r="Y373" s="325"/>
      <c r="Z373" s="325"/>
      <c r="AA373" s="325"/>
      <c r="AB373" s="325"/>
      <c r="AC373" s="325"/>
      <c r="AD373" s="325"/>
      <c r="AE373" s="325"/>
      <c r="AF373" s="325"/>
      <c r="AG373" s="325"/>
      <c r="AH373" s="325"/>
      <c r="AI373" s="325"/>
      <c r="AJ373" s="325"/>
      <c r="AK373" s="325"/>
      <c r="AL373" s="325"/>
      <c r="AM373" s="325"/>
      <c r="AN373" s="325"/>
      <c r="AO373" s="325"/>
      <c r="AP373" s="325"/>
      <c r="AQ373" s="325"/>
      <c r="AR373" s="325"/>
      <c r="AS373" s="325"/>
      <c r="AT373" s="325"/>
      <c r="AU373" s="325"/>
      <c r="AV373" s="325"/>
      <c r="AW373" s="325"/>
      <c r="AX373" s="325"/>
      <c r="AY373" s="325"/>
      <c r="AZ373" s="325"/>
      <c r="BA373" s="325"/>
      <c r="BB373" s="325"/>
      <c r="BC373" s="325"/>
      <c r="BD373" s="325"/>
      <c r="BE373" s="325"/>
      <c r="BF373" s="325"/>
      <c r="BG373" s="325"/>
      <c r="BH373" s="325"/>
      <c r="BI373" s="325"/>
      <c r="BJ373" s="325"/>
      <c r="BK373" s="325"/>
      <c r="BL373" s="325"/>
      <c r="BM373" s="325"/>
      <c r="BN373" s="325"/>
      <c r="BO373" s="325"/>
      <c r="BP373" s="325"/>
      <c r="BQ373" s="325"/>
      <c r="BR373" s="325"/>
      <c r="BS373" s="325"/>
      <c r="BT373" s="325"/>
      <c r="BU373" s="325"/>
      <c r="BV373" s="325"/>
      <c r="BW373" s="325"/>
      <c r="BX373" s="325"/>
      <c r="BY373" s="325"/>
      <c r="BZ373" s="325"/>
      <c r="CA373" s="325"/>
      <c r="CB373" s="325"/>
      <c r="CC373" s="325"/>
      <c r="CD373" s="325"/>
      <c r="CE373" s="325"/>
      <c r="CF373" s="325"/>
      <c r="CG373" s="325"/>
    </row>
    <row r="374" spans="1:85" ht="5.15" customHeight="1" x14ac:dyDescent="0.25">
      <c r="A374" s="318"/>
      <c r="C374" s="22"/>
      <c r="D374" s="22"/>
      <c r="E374" s="22"/>
      <c r="F374" s="22"/>
      <c r="G374" s="22"/>
      <c r="H374" s="22"/>
      <c r="I374" s="22"/>
      <c r="J374" s="22"/>
      <c r="K374" s="22"/>
      <c r="L374" s="22"/>
      <c r="O374" s="323"/>
      <c r="P374" s="301"/>
      <c r="Q374" s="23"/>
      <c r="R374" s="23"/>
      <c r="S374" s="325"/>
      <c r="T374" s="325"/>
      <c r="U374" s="325"/>
      <c r="V374" s="325"/>
      <c r="W374" s="325"/>
      <c r="X374" s="325"/>
      <c r="Y374" s="325"/>
      <c r="Z374" s="325"/>
      <c r="AA374" s="325"/>
      <c r="AB374" s="325"/>
      <c r="AC374" s="325"/>
      <c r="AD374" s="325"/>
      <c r="AE374" s="325"/>
      <c r="AF374" s="325"/>
      <c r="AG374" s="325"/>
      <c r="AH374" s="325"/>
      <c r="AI374" s="325"/>
      <c r="AJ374" s="325"/>
      <c r="AK374" s="325"/>
      <c r="AL374" s="325"/>
      <c r="AM374" s="325"/>
      <c r="AN374" s="325"/>
      <c r="AO374" s="325"/>
      <c r="AP374" s="325"/>
      <c r="AQ374" s="325"/>
      <c r="AR374" s="325"/>
      <c r="AS374" s="325"/>
      <c r="AT374" s="325"/>
      <c r="AU374" s="325"/>
      <c r="AV374" s="325"/>
      <c r="AW374" s="325"/>
      <c r="AX374" s="325"/>
      <c r="AY374" s="325"/>
      <c r="AZ374" s="325"/>
      <c r="BA374" s="325"/>
      <c r="BB374" s="325"/>
      <c r="BC374" s="325"/>
      <c r="BD374" s="325"/>
      <c r="BE374" s="325"/>
      <c r="BF374" s="325"/>
      <c r="BG374" s="325"/>
      <c r="BH374" s="325"/>
      <c r="BI374" s="325"/>
      <c r="BJ374" s="325"/>
      <c r="BK374" s="325"/>
      <c r="BL374" s="325"/>
      <c r="BM374" s="325"/>
      <c r="BN374" s="325"/>
      <c r="BO374" s="325"/>
      <c r="BP374" s="325"/>
      <c r="BQ374" s="325"/>
      <c r="BR374" s="325"/>
      <c r="BS374" s="325"/>
      <c r="BT374" s="325"/>
      <c r="BU374" s="325"/>
      <c r="BV374" s="325"/>
      <c r="BW374" s="325"/>
      <c r="BX374" s="325"/>
      <c r="BY374" s="325"/>
      <c r="BZ374" s="325"/>
      <c r="CA374" s="325"/>
      <c r="CB374" s="325"/>
      <c r="CC374" s="325"/>
      <c r="CD374" s="325"/>
      <c r="CE374" s="325"/>
      <c r="CF374" s="325"/>
      <c r="CG374" s="325"/>
    </row>
    <row r="375" spans="1:85" ht="12.75" customHeight="1" x14ac:dyDescent="0.25">
      <c r="A375" s="318"/>
      <c r="C375" s="22"/>
      <c r="D375" s="22"/>
      <c r="E375" s="22"/>
      <c r="F375" s="22"/>
      <c r="G375" s="1133">
        <v>1</v>
      </c>
      <c r="H375" s="1133"/>
      <c r="I375" s="1133">
        <v>2</v>
      </c>
      <c r="J375" s="1133"/>
      <c r="K375" s="1133">
        <v>3</v>
      </c>
      <c r="L375" s="1133"/>
      <c r="O375" s="323"/>
      <c r="P375" s="301"/>
      <c r="Q375" s="23"/>
      <c r="R375" s="23"/>
      <c r="S375" s="325"/>
      <c r="T375" s="325"/>
      <c r="U375" s="325"/>
      <c r="V375" s="325"/>
      <c r="W375" s="325"/>
      <c r="X375" s="325"/>
      <c r="Y375" s="325"/>
      <c r="Z375" s="325"/>
      <c r="AA375" s="325"/>
      <c r="AB375" s="325"/>
      <c r="AC375" s="325"/>
      <c r="AD375" s="325"/>
      <c r="AE375" s="325"/>
      <c r="AF375" s="325"/>
      <c r="AG375" s="325"/>
      <c r="AH375" s="325"/>
      <c r="AI375" s="325"/>
      <c r="AJ375" s="325"/>
      <c r="AK375" s="325"/>
      <c r="AL375" s="325"/>
      <c r="AM375" s="325"/>
      <c r="AN375" s="325"/>
      <c r="AO375" s="325"/>
      <c r="AP375" s="325"/>
      <c r="AQ375" s="325"/>
      <c r="AR375" s="325"/>
      <c r="AS375" s="325"/>
      <c r="AT375" s="325"/>
      <c r="AU375" s="325"/>
      <c r="AV375" s="325"/>
      <c r="AW375" s="325"/>
      <c r="AX375" s="325"/>
      <c r="AY375" s="325"/>
      <c r="AZ375" s="325"/>
      <c r="BA375" s="325"/>
      <c r="BB375" s="325"/>
      <c r="BC375" s="325"/>
      <c r="BD375" s="325"/>
      <c r="BE375" s="325"/>
      <c r="BF375" s="325"/>
      <c r="BG375" s="325"/>
      <c r="BH375" s="325"/>
      <c r="BI375" s="325"/>
      <c r="BJ375" s="325"/>
      <c r="BK375" s="325"/>
      <c r="BL375" s="325"/>
      <c r="BM375" s="325"/>
      <c r="BN375" s="325"/>
      <c r="BO375" s="325"/>
      <c r="BP375" s="325"/>
      <c r="BQ375" s="325"/>
      <c r="BR375" s="325"/>
      <c r="BS375" s="325"/>
      <c r="BT375" s="325"/>
      <c r="BU375" s="325"/>
      <c r="BV375" s="325"/>
      <c r="BW375" s="325"/>
      <c r="BX375" s="325"/>
      <c r="BY375" s="325"/>
      <c r="BZ375" s="325"/>
      <c r="CA375" s="325"/>
      <c r="CB375" s="325"/>
      <c r="CC375" s="325"/>
      <c r="CD375" s="325"/>
      <c r="CE375" s="325"/>
      <c r="CF375" s="325"/>
      <c r="CG375" s="325"/>
    </row>
    <row r="376" spans="1:85" ht="12.75" customHeight="1" x14ac:dyDescent="0.25">
      <c r="A376" s="389"/>
      <c r="B376" s="22"/>
      <c r="C376" s="22"/>
      <c r="D376" s="1134" t="str">
        <f>Translations!$B$372</f>
        <v>CRF-luokka</v>
      </c>
      <c r="E376" s="1134"/>
      <c r="F376" s="1135"/>
      <c r="G376" s="1123"/>
      <c r="H376" s="1124"/>
      <c r="I376" s="1123"/>
      <c r="J376" s="1124"/>
      <c r="K376" s="1123"/>
      <c r="L376" s="1124"/>
      <c r="M376" s="623" t="str">
        <f>IF(AND(E359&lt;&gt;"",COUNTA(G376:L376)=0,AX376=FALSE),EUconst_ERR_Incomplete,"")</f>
        <v/>
      </c>
      <c r="N376" s="22"/>
      <c r="O376" s="323"/>
      <c r="P376" s="301"/>
      <c r="Q376" s="23"/>
      <c r="R376" s="23"/>
      <c r="S376" s="325"/>
      <c r="T376" s="325"/>
      <c r="U376" s="325"/>
      <c r="V376" s="325"/>
      <c r="W376" s="325"/>
      <c r="X376" s="325"/>
      <c r="Y376" s="325"/>
      <c r="Z376" s="325"/>
      <c r="AA376" s="325"/>
      <c r="AB376" s="325"/>
      <c r="AC376" s="325"/>
      <c r="AD376" s="325"/>
      <c r="AE376" s="325"/>
      <c r="AF376" s="325"/>
      <c r="AG376" s="325"/>
      <c r="AH376" s="325"/>
      <c r="AI376" s="325"/>
      <c r="AJ376" s="325"/>
      <c r="AK376" s="325"/>
      <c r="AL376" s="325"/>
      <c r="AM376" s="325"/>
      <c r="AN376" s="325"/>
      <c r="AO376" s="325"/>
      <c r="AP376" s="325"/>
      <c r="AQ376" s="325"/>
      <c r="AR376" s="325"/>
      <c r="AS376" s="325"/>
      <c r="AT376" s="325"/>
      <c r="AU376" s="325"/>
      <c r="AV376" s="325"/>
      <c r="AW376" s="325"/>
      <c r="AX376" s="33" t="b">
        <f>AND(AV372&lt;&gt;"",SUM(AV372=1))</f>
        <v>0</v>
      </c>
      <c r="AY376" s="325"/>
      <c r="AZ376" s="325"/>
      <c r="BA376" s="325"/>
      <c r="BB376" s="325"/>
      <c r="BC376" s="325"/>
      <c r="BD376" s="325"/>
      <c r="BE376" s="325"/>
      <c r="BF376" s="325"/>
      <c r="BG376" s="325"/>
      <c r="BH376" s="325"/>
      <c r="BI376" s="325"/>
      <c r="BJ376" s="325"/>
      <c r="BK376" s="325"/>
      <c r="BL376" s="325"/>
      <c r="BM376" s="325"/>
      <c r="BN376" s="325"/>
      <c r="BO376" s="325"/>
      <c r="BP376" s="325"/>
      <c r="BQ376" s="325"/>
      <c r="BR376" s="325"/>
      <c r="BS376" s="325"/>
      <c r="BT376" s="325"/>
      <c r="BU376" s="325"/>
      <c r="BV376" s="325"/>
      <c r="BW376" s="325"/>
      <c r="BX376" s="325"/>
      <c r="BY376" s="325"/>
      <c r="BZ376" s="325"/>
      <c r="CA376" s="325"/>
      <c r="CB376" s="325"/>
      <c r="CC376" s="325"/>
      <c r="CD376" s="325"/>
      <c r="CE376" s="325"/>
      <c r="CF376" s="325"/>
      <c r="CG376" s="325"/>
    </row>
    <row r="377" spans="1:85" ht="5.15" customHeight="1" x14ac:dyDescent="0.25">
      <c r="A377" s="318"/>
      <c r="B377" s="21"/>
      <c r="C377" s="21"/>
      <c r="D377" s="21"/>
      <c r="E377" s="21"/>
      <c r="F377" s="21"/>
      <c r="G377" s="22"/>
      <c r="H377" s="22"/>
      <c r="I377" s="22"/>
      <c r="J377" s="22"/>
      <c r="K377" s="22"/>
      <c r="L377" s="22"/>
      <c r="M377" s="22"/>
      <c r="N377" s="22"/>
      <c r="O377" s="323"/>
      <c r="P377" s="301"/>
      <c r="Q377" s="23"/>
      <c r="R377" s="23"/>
      <c r="S377" s="325"/>
      <c r="T377" s="325"/>
      <c r="U377" s="325"/>
      <c r="V377" s="325"/>
      <c r="W377" s="325"/>
      <c r="X377" s="325"/>
      <c r="Y377" s="325"/>
      <c r="Z377" s="325"/>
      <c r="AA377" s="325"/>
      <c r="AB377" s="325"/>
      <c r="AC377" s="325"/>
      <c r="AD377" s="325"/>
      <c r="AE377" s="325"/>
      <c r="AF377" s="325"/>
      <c r="AG377" s="325"/>
      <c r="AH377" s="325"/>
      <c r="AI377" s="325"/>
      <c r="AJ377" s="325"/>
      <c r="AK377" s="325"/>
      <c r="AL377" s="325"/>
      <c r="AM377" s="325"/>
      <c r="AN377" s="325"/>
      <c r="AO377" s="325"/>
      <c r="AP377" s="325"/>
      <c r="AQ377" s="325"/>
      <c r="AR377" s="325"/>
      <c r="AS377" s="325"/>
      <c r="AT377" s="325"/>
      <c r="AU377" s="325"/>
      <c r="AV377" s="325"/>
      <c r="AW377" s="325"/>
      <c r="AX377" s="325"/>
      <c r="AY377" s="325"/>
      <c r="AZ377" s="325"/>
      <c r="BA377" s="325"/>
      <c r="BB377" s="325"/>
      <c r="BC377" s="325"/>
      <c r="BD377" s="325"/>
      <c r="BE377" s="325"/>
      <c r="BF377" s="325"/>
      <c r="BG377" s="325"/>
      <c r="BH377" s="325"/>
      <c r="BI377" s="325"/>
      <c r="BJ377" s="325"/>
      <c r="BK377" s="325"/>
      <c r="BL377" s="325"/>
      <c r="BM377" s="325"/>
      <c r="BN377" s="325"/>
      <c r="BO377" s="325"/>
      <c r="BP377" s="325"/>
      <c r="BQ377" s="325"/>
      <c r="BR377" s="325"/>
      <c r="BS377" s="325"/>
      <c r="BT377" s="325"/>
      <c r="BU377" s="325"/>
      <c r="BV377" s="325"/>
      <c r="BW377" s="325"/>
      <c r="BX377" s="325"/>
      <c r="BY377" s="325"/>
      <c r="BZ377" s="325"/>
      <c r="CA377" s="325"/>
      <c r="CB377" s="325"/>
      <c r="CC377" s="325"/>
      <c r="CD377" s="325"/>
      <c r="CE377" s="325"/>
      <c r="CF377" s="325"/>
      <c r="CG377" s="325"/>
    </row>
    <row r="378" spans="1:85" ht="5.15" customHeight="1" x14ac:dyDescent="0.25">
      <c r="A378" s="318"/>
      <c r="B378" s="21"/>
      <c r="C378" s="21"/>
      <c r="D378" s="1116" t="str">
        <f>Translations!$B$304</f>
        <v xml:space="preserve">Lisätiedot: 
tapa, jolla biomassan kestävyys on osoitettu; 
muut polttoainevirtaa koskevat lisätiedot. </v>
      </c>
      <c r="E378" s="1116"/>
      <c r="F378" s="1116"/>
      <c r="G378" s="806"/>
      <c r="H378" s="807"/>
      <c r="I378" s="806"/>
      <c r="J378" s="236"/>
      <c r="K378" s="236"/>
      <c r="L378" s="236"/>
      <c r="M378" s="807"/>
      <c r="N378" s="808"/>
      <c r="O378" s="323"/>
      <c r="P378" s="301"/>
      <c r="Q378" s="23"/>
      <c r="R378" s="23"/>
      <c r="S378" s="388"/>
      <c r="T378" s="325"/>
      <c r="U378" s="325"/>
      <c r="V378" s="325"/>
      <c r="W378" s="325"/>
      <c r="X378" s="325"/>
      <c r="Y378" s="325"/>
      <c r="Z378" s="325"/>
      <c r="AA378" s="325"/>
      <c r="AB378" s="325"/>
      <c r="AC378" s="325"/>
      <c r="AD378" s="325"/>
      <c r="AE378" s="325"/>
      <c r="AF378" s="325"/>
      <c r="AG378" s="325"/>
      <c r="AH378" s="325"/>
      <c r="AI378" s="325"/>
      <c r="AJ378" s="325"/>
      <c r="AK378" s="325"/>
      <c r="AL378" s="325"/>
      <c r="AM378" s="325"/>
      <c r="AN378" s="325"/>
      <c r="AO378" s="325"/>
      <c r="AP378" s="325"/>
      <c r="AQ378" s="325"/>
      <c r="AR378" s="325"/>
      <c r="AS378" s="325"/>
      <c r="AT378" s="325"/>
      <c r="AU378" s="325"/>
      <c r="AV378" s="325"/>
      <c r="AW378" s="325"/>
      <c r="AX378" s="325"/>
      <c r="AY378" s="325"/>
      <c r="AZ378" s="325"/>
      <c r="BA378" s="325"/>
      <c r="BB378" s="325"/>
      <c r="BC378" s="325"/>
      <c r="BD378" s="325"/>
      <c r="BE378" s="325"/>
      <c r="BF378" s="325"/>
      <c r="BG378" s="325"/>
      <c r="BH378" s="325"/>
      <c r="BI378" s="325"/>
      <c r="BJ378" s="325"/>
      <c r="BK378" s="325"/>
      <c r="BL378" s="325"/>
      <c r="BM378" s="325"/>
      <c r="BN378" s="325"/>
      <c r="BO378" s="325"/>
      <c r="BP378" s="325"/>
      <c r="BQ378" s="325"/>
      <c r="BR378" s="325"/>
      <c r="BS378" s="325"/>
      <c r="BT378" s="325"/>
      <c r="BU378" s="325"/>
      <c r="BV378" s="325"/>
      <c r="BW378" s="325"/>
      <c r="BX378" s="325"/>
      <c r="BY378" s="325"/>
      <c r="BZ378" s="325"/>
      <c r="CA378" s="325"/>
      <c r="CB378" s="325"/>
      <c r="CC378" s="325"/>
      <c r="CD378" s="325"/>
      <c r="CE378" s="325"/>
      <c r="CF378" s="325"/>
      <c r="CG378" s="33" t="b">
        <f>CG365</f>
        <v>0</v>
      </c>
    </row>
    <row r="379" spans="1:85" ht="5.15" customHeight="1" x14ac:dyDescent="0.25">
      <c r="A379" s="389"/>
      <c r="B379" s="22"/>
      <c r="C379" s="22"/>
      <c r="D379" s="1116"/>
      <c r="E379" s="1116"/>
      <c r="F379" s="1116"/>
      <c r="G379" s="22"/>
      <c r="H379" s="22"/>
      <c r="I379" s="22"/>
      <c r="J379" s="22"/>
      <c r="K379" s="22"/>
      <c r="L379" s="22"/>
      <c r="M379" s="22"/>
      <c r="N379" s="22"/>
      <c r="O379" s="323"/>
      <c r="P379" s="301"/>
      <c r="Q379" s="23"/>
      <c r="R379" s="23"/>
      <c r="S379" s="325"/>
      <c r="T379" s="325"/>
      <c r="U379" s="325"/>
      <c r="V379" s="325"/>
      <c r="W379" s="325"/>
      <c r="X379" s="325"/>
      <c r="Y379" s="325"/>
      <c r="Z379" s="325"/>
      <c r="AA379" s="325"/>
      <c r="AB379" s="325"/>
      <c r="AC379" s="325"/>
      <c r="AD379" s="325"/>
      <c r="AE379" s="325"/>
      <c r="AF379" s="325"/>
      <c r="AG379" s="325"/>
      <c r="AH379" s="325"/>
      <c r="AI379" s="325"/>
      <c r="AJ379" s="325"/>
      <c r="AK379" s="325"/>
      <c r="AL379" s="325"/>
      <c r="AM379" s="325"/>
      <c r="AN379" s="325"/>
      <c r="AO379" s="325"/>
      <c r="AP379" s="325"/>
      <c r="AQ379" s="325"/>
      <c r="AR379" s="325"/>
      <c r="AS379" s="325"/>
      <c r="AT379" s="325"/>
      <c r="AU379" s="325"/>
      <c r="AV379" s="325"/>
      <c r="AW379" s="325"/>
      <c r="AX379" s="325"/>
      <c r="AY379" s="325"/>
      <c r="AZ379" s="325"/>
      <c r="BA379" s="325"/>
      <c r="BB379" s="325"/>
      <c r="BC379" s="325"/>
      <c r="BD379" s="325"/>
      <c r="BE379" s="325"/>
      <c r="BF379" s="325"/>
      <c r="BG379" s="325"/>
      <c r="BH379" s="325"/>
      <c r="BI379" s="325"/>
      <c r="BJ379" s="325"/>
      <c r="BK379" s="325"/>
      <c r="BL379" s="325"/>
      <c r="BM379" s="325"/>
      <c r="BN379" s="325"/>
      <c r="BO379" s="325"/>
      <c r="BP379" s="325"/>
      <c r="BQ379" s="325"/>
      <c r="BR379" s="325"/>
      <c r="BS379" s="325"/>
      <c r="BT379" s="325"/>
      <c r="BU379" s="325"/>
      <c r="BV379" s="325"/>
      <c r="BW379" s="325"/>
      <c r="BX379" s="325"/>
      <c r="BY379" s="325"/>
      <c r="BZ379" s="325"/>
      <c r="CA379" s="325"/>
      <c r="CB379" s="325"/>
      <c r="CC379" s="325"/>
      <c r="CD379" s="325"/>
      <c r="CE379" s="325"/>
      <c r="CF379" s="325"/>
      <c r="CG379" s="325"/>
    </row>
    <row r="380" spans="1:85" ht="33" customHeight="1" x14ac:dyDescent="0.25">
      <c r="A380" s="389"/>
      <c r="B380" s="22"/>
      <c r="C380" s="22"/>
      <c r="D380" s="1116"/>
      <c r="E380" s="1116"/>
      <c r="F380" s="1116"/>
      <c r="G380" s="1146"/>
      <c r="H380" s="1147"/>
      <c r="I380" s="1147"/>
      <c r="J380" s="1147"/>
      <c r="K380" s="1147"/>
      <c r="L380" s="1147"/>
      <c r="M380" s="1147"/>
      <c r="N380" s="1148"/>
      <c r="O380" s="323"/>
      <c r="P380" s="301"/>
      <c r="Q380" s="23"/>
      <c r="R380" s="23"/>
      <c r="S380" s="325"/>
      <c r="T380" s="325"/>
      <c r="U380" s="325"/>
      <c r="V380" s="325"/>
      <c r="W380" s="325"/>
      <c r="X380" s="325"/>
      <c r="Y380" s="325"/>
      <c r="Z380" s="325"/>
      <c r="AA380" s="325"/>
      <c r="AB380" s="325"/>
      <c r="AC380" s="325"/>
      <c r="AD380" s="325"/>
      <c r="AE380" s="325"/>
      <c r="AF380" s="325"/>
      <c r="AG380" s="325"/>
      <c r="AH380" s="325"/>
      <c r="AI380" s="325"/>
      <c r="AJ380" s="325"/>
      <c r="AK380" s="325"/>
      <c r="AL380" s="325"/>
      <c r="AM380" s="325"/>
      <c r="AN380" s="325"/>
      <c r="AO380" s="325"/>
      <c r="AP380" s="325"/>
      <c r="AQ380" s="325"/>
      <c r="AR380" s="325"/>
      <c r="AS380" s="325"/>
      <c r="AT380" s="325"/>
      <c r="AU380" s="325"/>
      <c r="AV380" s="325"/>
      <c r="AW380" s="325"/>
      <c r="AX380" s="325"/>
      <c r="AY380" s="325"/>
      <c r="AZ380" s="325"/>
      <c r="BA380" s="325"/>
      <c r="BB380" s="325"/>
      <c r="BC380" s="325"/>
      <c r="BD380" s="325"/>
      <c r="BE380" s="325"/>
      <c r="BF380" s="325"/>
      <c r="BG380" s="325"/>
      <c r="BH380" s="325"/>
      <c r="BI380" s="325"/>
      <c r="BJ380" s="325"/>
      <c r="BK380" s="325"/>
      <c r="BL380" s="325"/>
      <c r="BM380" s="325"/>
      <c r="BN380" s="325"/>
      <c r="BO380" s="325"/>
      <c r="BP380" s="325"/>
      <c r="BQ380" s="325"/>
      <c r="BR380" s="325"/>
      <c r="BS380" s="325"/>
      <c r="BT380" s="325"/>
      <c r="BU380" s="325"/>
      <c r="BV380" s="325"/>
      <c r="BW380" s="325"/>
      <c r="BX380" s="325"/>
      <c r="BY380" s="325"/>
      <c r="BZ380" s="325"/>
      <c r="CA380" s="325"/>
      <c r="CB380" s="325"/>
      <c r="CC380" s="325"/>
      <c r="CD380" s="325"/>
      <c r="CE380" s="325"/>
      <c r="CF380" s="325"/>
      <c r="CG380" s="33" t="b">
        <f>CG378</f>
        <v>0</v>
      </c>
    </row>
    <row r="381" spans="1:85" ht="12.75" customHeight="1" thickBot="1" x14ac:dyDescent="0.3">
      <c r="A381" s="318"/>
      <c r="B381" s="22"/>
      <c r="C381" s="319"/>
      <c r="D381" s="320"/>
      <c r="E381" s="321"/>
      <c r="F381" s="319"/>
      <c r="G381" s="322"/>
      <c r="H381" s="322"/>
      <c r="I381" s="322"/>
      <c r="J381" s="322"/>
      <c r="K381" s="322"/>
      <c r="L381" s="322"/>
      <c r="M381" s="322"/>
      <c r="N381" s="322"/>
      <c r="O381" s="323"/>
      <c r="P381" s="301"/>
      <c r="Q381" s="23"/>
      <c r="R381" s="23"/>
      <c r="S381" s="41"/>
      <c r="T381" s="41"/>
      <c r="U381" s="324"/>
      <c r="V381" s="41"/>
      <c r="W381" s="41"/>
      <c r="X381" s="324"/>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41"/>
      <c r="BM381" s="325"/>
      <c r="BN381" s="325"/>
      <c r="BO381" s="325"/>
      <c r="BP381" s="325"/>
      <c r="BQ381" s="325"/>
      <c r="BR381" s="325"/>
      <c r="BS381" s="325"/>
      <c r="BT381" s="325"/>
      <c r="BU381" s="41"/>
      <c r="BV381" s="41"/>
      <c r="BW381" s="41"/>
      <c r="BX381" s="41"/>
      <c r="BY381" s="41"/>
      <c r="BZ381" s="41"/>
      <c r="CA381" s="41"/>
      <c r="CB381" s="41"/>
      <c r="CC381" s="41"/>
      <c r="CD381" s="41"/>
      <c r="CE381" s="41"/>
      <c r="CF381" s="41"/>
      <c r="CG381" s="41"/>
    </row>
    <row r="382" spans="1:85" ht="12.75" customHeight="1" thickBot="1" x14ac:dyDescent="0.3">
      <c r="A382" s="326"/>
      <c r="B382" s="22"/>
      <c r="C382" s="22"/>
      <c r="D382" s="327"/>
      <c r="E382" s="328"/>
      <c r="F382" s="22"/>
      <c r="G382" s="1"/>
      <c r="H382" s="1"/>
      <c r="I382" s="1"/>
      <c r="J382" s="1"/>
      <c r="K382" s="22"/>
      <c r="L382" s="1"/>
      <c r="M382" s="1"/>
      <c r="N382" s="1"/>
      <c r="O382" s="323"/>
      <c r="P382" s="301"/>
      <c r="Q382" s="23"/>
      <c r="R382" s="23"/>
      <c r="S382" s="2"/>
      <c r="T382" s="20" t="str">
        <f>IF(ISBLANK(E383),"",MATCH(E383,CNTR_SourceStreamNames,0))</f>
        <v/>
      </c>
      <c r="U382" s="329" t="str">
        <f>IF(ISBLANK(E383),"",INDEX('B_Polttoainevirtojen tiedot'!$D$67:$D$91,MATCH(E383,CNTR_SourceStreamNames,0)))</f>
        <v/>
      </c>
      <c r="V382" s="60"/>
      <c r="W382" s="37"/>
      <c r="X382" s="37"/>
      <c r="Y382" s="37"/>
      <c r="Z382" s="41"/>
      <c r="AA382" s="41"/>
      <c r="AB382" s="41"/>
      <c r="AC382" s="41"/>
      <c r="AD382" s="41"/>
      <c r="AE382" s="41"/>
      <c r="AF382" s="41"/>
      <c r="AG382" s="41"/>
      <c r="AH382" s="41"/>
      <c r="AI382" s="41"/>
      <c r="AJ382" s="41"/>
      <c r="AK382" s="23"/>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37"/>
      <c r="BK382" s="37"/>
      <c r="BL382" s="37"/>
      <c r="BM382" s="37"/>
      <c r="BN382" s="37"/>
      <c r="BO382" s="37"/>
      <c r="BP382" s="37"/>
      <c r="BQ382" s="37"/>
      <c r="BR382" s="37"/>
      <c r="BS382" s="37"/>
      <c r="BT382" s="37"/>
      <c r="BU382" s="37"/>
      <c r="BV382" s="37"/>
      <c r="BW382" s="37"/>
      <c r="BX382" s="37"/>
      <c r="BY382" s="37"/>
      <c r="BZ382" s="37"/>
      <c r="CA382" s="37"/>
      <c r="CB382" s="37"/>
      <c r="CC382" s="37"/>
      <c r="CD382" s="37"/>
      <c r="CE382" s="37"/>
      <c r="CF382" s="37"/>
      <c r="CG382" s="330" t="s">
        <v>94</v>
      </c>
    </row>
    <row r="383" spans="1:85" ht="15" customHeight="1" thickBot="1" x14ac:dyDescent="0.3">
      <c r="A383" s="331">
        <f>C383</f>
        <v>15</v>
      </c>
      <c r="B383" s="21"/>
      <c r="C383" s="332">
        <f>C359+1</f>
        <v>15</v>
      </c>
      <c r="D383" s="21"/>
      <c r="E383" s="1117"/>
      <c r="F383" s="1118"/>
      <c r="G383" s="1118"/>
      <c r="H383" s="1118"/>
      <c r="I383" s="1118"/>
      <c r="J383" s="1119"/>
      <c r="K383" s="1138" t="str">
        <f>IF(INDEX('B_Polttoainevirtojen tiedot'!$K$100:$K$124,MATCH(U382,'B_Polttoainevirtojen tiedot'!$D$100:$D$124,0))&gt;0,INDEX('B_Polttoainevirtojen tiedot'!$K$100:$K$124,MATCH(U382,'B_Polttoainevirtojen tiedot'!$D$100:$D$124,0)),"")</f>
        <v/>
      </c>
      <c r="L383" s="1139"/>
      <c r="M383" s="328" t="str">
        <f>Translations!$B$374</f>
        <v>CO2 fossiilinen:</v>
      </c>
      <c r="N383" s="401" t="str">
        <f>IF(E384="","",BG389)</f>
        <v/>
      </c>
      <c r="O383" s="333" t="str">
        <f>EUconst_tCO2</f>
        <v>tCO2</v>
      </c>
      <c r="P383" s="610" t="str">
        <f>IF(AND(E383&lt;&gt;"",COUNTIF(P384:$P$811,"PRINT")=0),"PRINT","")</f>
        <v/>
      </c>
      <c r="Q383" s="335" t="str">
        <f>EUconst_SumCO2</f>
        <v>SUM_CO2</v>
      </c>
      <c r="R383" s="23"/>
      <c r="S383" s="2"/>
      <c r="T383" s="2"/>
      <c r="U383" s="2"/>
      <c r="V383" s="60"/>
      <c r="W383" s="37"/>
      <c r="X383" s="41"/>
      <c r="Y383" s="41"/>
      <c r="Z383" s="41"/>
      <c r="AA383" s="41"/>
      <c r="AB383" s="41"/>
      <c r="AC383" s="41"/>
      <c r="AD383" s="41"/>
      <c r="AE383" s="41"/>
      <c r="AF383" s="41"/>
      <c r="AG383" s="41"/>
      <c r="AH383" s="41"/>
      <c r="AI383" s="337"/>
      <c r="AJ383" s="337"/>
      <c r="AK383" s="337"/>
      <c r="AL383" s="337"/>
      <c r="AM383" s="337"/>
      <c r="AN383" s="337"/>
      <c r="AO383" s="337"/>
      <c r="AP383" s="337"/>
      <c r="AQ383" s="337"/>
      <c r="AR383" s="337"/>
      <c r="AS383" s="337"/>
      <c r="AT383" s="337"/>
      <c r="AU383" s="337"/>
      <c r="AV383" s="337"/>
      <c r="AW383" s="337"/>
      <c r="AX383" s="337"/>
      <c r="AY383" s="337"/>
      <c r="AZ383" s="337"/>
      <c r="BA383" s="337"/>
      <c r="BB383" s="337"/>
      <c r="BC383" s="337"/>
      <c r="BD383" s="337"/>
      <c r="BE383" s="337"/>
      <c r="BF383" s="337"/>
      <c r="BG383" s="337"/>
      <c r="BH383" s="337"/>
      <c r="BI383" s="483" t="str">
        <f>IF(E383="","",E383)</f>
        <v/>
      </c>
      <c r="BJ383" s="338" t="str">
        <f>IF(F389="","",F389)</f>
        <v/>
      </c>
      <c r="BK383" s="485">
        <f>AV389</f>
        <v>0</v>
      </c>
      <c r="BL383" s="485">
        <f>IF(BK383="","",BK383*(1-BP383))</f>
        <v>0</v>
      </c>
      <c r="BM383" s="338" t="str">
        <f>AJ389</f>
        <v/>
      </c>
      <c r="BN383" s="338" t="str">
        <f>IF(F396="","",F396)</f>
        <v/>
      </c>
      <c r="BO383" s="483" t="str">
        <f>IF(G396="","",G396)</f>
        <v/>
      </c>
      <c r="BP383" s="484">
        <f>AV396</f>
        <v>0</v>
      </c>
      <c r="BQ383" s="338" t="str">
        <f>IF(F392="","",F392)</f>
        <v/>
      </c>
      <c r="BR383" s="484">
        <f>AV392</f>
        <v>0</v>
      </c>
      <c r="BS383" s="484" t="str">
        <f>AJ392</f>
        <v/>
      </c>
      <c r="BT383" s="338" t="str">
        <f>IF(F391="","",F391)</f>
        <v/>
      </c>
      <c r="BU383" s="484">
        <f>IF(F391=EUconst_NA,"",AV391)</f>
        <v>0</v>
      </c>
      <c r="BV383" s="484" t="str">
        <f>AJ391</f>
        <v/>
      </c>
      <c r="BW383" s="338" t="str">
        <f>IF(F393="","",F393)</f>
        <v/>
      </c>
      <c r="BX383" s="484">
        <f>AV393</f>
        <v>0</v>
      </c>
      <c r="BY383" s="338" t="str">
        <f>IF(F394="","",F394)</f>
        <v/>
      </c>
      <c r="BZ383" s="484">
        <f>AV394</f>
        <v>0</v>
      </c>
      <c r="CA383" s="485" t="str">
        <f>N383</f>
        <v/>
      </c>
      <c r="CB383" s="485" t="str">
        <f>N384</f>
        <v/>
      </c>
      <c r="CC383" s="485" t="str">
        <f>R386</f>
        <v/>
      </c>
      <c r="CD383" s="485" t="str">
        <f>R388</f>
        <v/>
      </c>
      <c r="CE383" s="485" t="str">
        <f>R389</f>
        <v/>
      </c>
      <c r="CF383" s="37"/>
      <c r="CG383" s="339" t="b">
        <v>0</v>
      </c>
    </row>
    <row r="384" spans="1:85" ht="15" customHeight="1" thickBot="1" x14ac:dyDescent="0.3">
      <c r="A384" s="318"/>
      <c r="B384" s="21"/>
      <c r="C384" s="21"/>
      <c r="D384" s="21"/>
      <c r="E384" s="1127" t="str">
        <f>IF(ISBLANK(E383),"",IF(INDEX('B_Polttoainevirtojen tiedot'!$E$67:$E$91,MATCH(U382,'B_Polttoainevirtojen tiedot'!$D$67:$D$91,0))&gt;0,INDEX('B_Polttoainevirtojen tiedot'!$E$67:$E$91,MATCH(U382,'B_Polttoainevirtojen tiedot'!$D$67:$D$91,0)),""))</f>
        <v/>
      </c>
      <c r="F384" s="1128"/>
      <c r="G384" s="1128"/>
      <c r="H384" s="1128"/>
      <c r="I384" s="1128"/>
      <c r="J384" s="1129"/>
      <c r="K384" s="1138" t="str">
        <f>IF(INDEX('B_Polttoainevirtojen tiedot'!$M$100:$M$124,MATCH(U382,'B_Polttoainevirtojen tiedot'!$D$100:$D$124,0))&gt;0,INDEX('B_Polttoainevirtojen tiedot'!$M$100:$M$124,MATCH(U382,'B_Polttoainevirtojen tiedot'!$D$100:$D$124,0)),"")</f>
        <v/>
      </c>
      <c r="L384" s="1139"/>
      <c r="M384" s="340" t="str">
        <f>Translations!$B$375</f>
        <v>CO2 bio:</v>
      </c>
      <c r="N384" s="482" t="str">
        <f>IF(E384="","",BG391)</f>
        <v/>
      </c>
      <c r="O384" s="341" t="str">
        <f>EUconst_tCO2</f>
        <v>tCO2</v>
      </c>
      <c r="P384" s="301"/>
      <c r="Q384" s="335" t="str">
        <f>EUconst_SumBioCO2</f>
        <v>SUM_bioCO2</v>
      </c>
      <c r="R384" s="23"/>
      <c r="S384" s="2"/>
      <c r="T384" s="2"/>
      <c r="U384" s="2"/>
      <c r="V384" s="60"/>
      <c r="W384" s="37"/>
      <c r="X384" s="41"/>
      <c r="Y384" s="20" t="str">
        <f>Translations!$B$143</f>
        <v>Määrittämistasot</v>
      </c>
      <c r="Z384" s="325"/>
      <c r="AA384" s="325"/>
      <c r="AB384" s="325"/>
      <c r="AC384" s="325"/>
      <c r="AD384" s="325"/>
      <c r="AE384" s="20" t="s">
        <v>95</v>
      </c>
      <c r="AF384" s="41"/>
      <c r="AG384" s="342"/>
      <c r="AH384" s="325"/>
      <c r="AI384" s="325"/>
      <c r="AJ384" s="342"/>
      <c r="AK384" s="342"/>
      <c r="AL384" s="337"/>
      <c r="AM384" s="337"/>
      <c r="AN384" s="337"/>
      <c r="AO384" s="337"/>
      <c r="AP384" s="337"/>
      <c r="AQ384" s="20" t="s">
        <v>96</v>
      </c>
      <c r="AR384" s="343"/>
      <c r="AS384" s="343"/>
      <c r="AT384" s="325"/>
      <c r="AU384" s="325"/>
      <c r="AV384" s="325"/>
      <c r="AW384" s="325"/>
      <c r="AX384" s="325"/>
      <c r="AY384" s="325"/>
      <c r="AZ384" s="20" t="s">
        <v>97</v>
      </c>
      <c r="BA384" s="325"/>
      <c r="BB384" s="325"/>
      <c r="BC384" s="325"/>
      <c r="BD384" s="325"/>
      <c r="BE384" s="325"/>
      <c r="BF384" s="20" t="s">
        <v>98</v>
      </c>
      <c r="BG384" s="325"/>
      <c r="BH384" s="325"/>
      <c r="BI384" s="20" t="s">
        <v>99</v>
      </c>
      <c r="BJ384" s="338" t="str">
        <f>Translations!$B$376</f>
        <v>RFA-määrittämistaso</v>
      </c>
      <c r="BK384" s="338" t="str">
        <f>Translations!$B$377</f>
        <v>RFA</v>
      </c>
      <c r="BL384" s="338" t="str">
        <f>Translations!$B$378</f>
        <v>RFA (SF:n jälkeen)</v>
      </c>
      <c r="BM384" s="338" t="str">
        <f>Translations!$B$379</f>
        <v>RFA-yksikkö</v>
      </c>
      <c r="BN384" s="338" t="str">
        <f>Translations!$B$380</f>
        <v>SF-määrittämistaso</v>
      </c>
      <c r="BO384" s="338" t="str">
        <f>Translations!$B$380</f>
        <v>SF-määrittämistaso</v>
      </c>
      <c r="BP384" s="338" t="str">
        <f>Translations!$B$381</f>
        <v>SF</v>
      </c>
      <c r="BQ384" s="338" t="str">
        <f>Translations!$B$382</f>
        <v>EF-määrittämistaso</v>
      </c>
      <c r="BR384" s="338" t="str">
        <f>Translations!$B$383</f>
        <v>EF</v>
      </c>
      <c r="BS384" s="338" t="str">
        <f>Translations!$B$384</f>
        <v>EF-yksikkö</v>
      </c>
      <c r="BT384" s="338" t="str">
        <f>Translations!$B$385</f>
        <v>UCF-määrittämistaso</v>
      </c>
      <c r="BU384" s="338" t="str">
        <f>Translations!$B$386</f>
        <v>UCF</v>
      </c>
      <c r="BV384" s="338" t="str">
        <f>Translations!$B$387</f>
        <v>UCF-yksikkö</v>
      </c>
      <c r="BW384" s="338" t="str">
        <f>Translations!$B$388</f>
        <v>Bio-määrittämistaso</v>
      </c>
      <c r="BX384" s="338" t="s">
        <v>100</v>
      </c>
      <c r="BY384" s="338" t="str">
        <f>Translations!$B$389</f>
        <v>NonSustBio-määrittämistaso</v>
      </c>
      <c r="BZ384" s="338" t="s">
        <v>101</v>
      </c>
      <c r="CA384" s="338" t="str">
        <f>Translations!$B$390</f>
        <v>CO2 fossil</v>
      </c>
      <c r="CB384" s="338" t="str">
        <f>Translations!$B$391</f>
        <v>CO2 bio</v>
      </c>
      <c r="CC384" s="338" t="str">
        <f>Translations!$B$392</f>
        <v>CO2 non-sust</v>
      </c>
      <c r="CD384" s="338" t="s">
        <v>102</v>
      </c>
      <c r="CE384" s="338" t="s">
        <v>103</v>
      </c>
      <c r="CF384" s="325"/>
      <c r="CG384" s="325"/>
    </row>
    <row r="385" spans="1:85" ht="5.15" customHeight="1" thickBot="1" x14ac:dyDescent="0.3">
      <c r="A385" s="318"/>
      <c r="B385" s="21"/>
      <c r="C385" s="21"/>
      <c r="D385" s="21"/>
      <c r="E385" s="21"/>
      <c r="F385" s="21"/>
      <c r="G385" s="21"/>
      <c r="H385" s="22"/>
      <c r="I385" s="22"/>
      <c r="J385" s="22"/>
      <c r="K385" s="22"/>
      <c r="L385" s="22"/>
      <c r="M385" s="22"/>
      <c r="N385" s="22"/>
      <c r="O385" s="323"/>
      <c r="P385" s="301"/>
      <c r="Q385" s="23"/>
      <c r="R385" s="23"/>
      <c r="S385" s="2"/>
      <c r="T385" s="2"/>
      <c r="U385" s="2"/>
      <c r="V385" s="60"/>
      <c r="W385" s="325"/>
      <c r="X385" s="325"/>
      <c r="Y385" s="23"/>
      <c r="Z385" s="325"/>
      <c r="AA385" s="325"/>
      <c r="AB385" s="325"/>
      <c r="AC385" s="325"/>
      <c r="AD385" s="325"/>
      <c r="AE385" s="325"/>
      <c r="AF385" s="41"/>
      <c r="AG385" s="325"/>
      <c r="AH385" s="325"/>
      <c r="AI385" s="325"/>
      <c r="AJ385" s="342"/>
      <c r="AK385" s="342"/>
      <c r="AL385" s="337"/>
      <c r="AM385" s="337"/>
      <c r="AN385" s="337"/>
      <c r="AO385" s="337"/>
      <c r="AP385" s="337"/>
      <c r="AQ385" s="325"/>
      <c r="AR385" s="325"/>
      <c r="AS385" s="325"/>
      <c r="AT385" s="325"/>
      <c r="AU385" s="325"/>
      <c r="AV385" s="325"/>
      <c r="AW385" s="325"/>
      <c r="AX385" s="325"/>
      <c r="AY385" s="325"/>
      <c r="AZ385" s="325"/>
      <c r="BA385" s="325"/>
      <c r="BB385" s="325"/>
      <c r="BC385" s="325"/>
      <c r="BD385" s="325"/>
      <c r="BE385" s="325"/>
      <c r="BF385" s="325"/>
      <c r="BG385" s="325"/>
      <c r="BH385" s="325"/>
      <c r="BI385" s="325"/>
      <c r="BJ385" s="325"/>
      <c r="BK385" s="325"/>
      <c r="BL385" s="325"/>
      <c r="BM385" s="325"/>
      <c r="BN385" s="325"/>
      <c r="BO385" s="325"/>
      <c r="BP385" s="325"/>
      <c r="BQ385" s="325"/>
      <c r="BR385" s="325"/>
      <c r="BS385" s="325"/>
      <c r="BT385" s="325"/>
      <c r="BU385" s="325"/>
      <c r="BV385" s="325"/>
      <c r="BW385" s="325"/>
      <c r="BX385" s="325"/>
      <c r="BY385" s="325"/>
      <c r="BZ385" s="325"/>
      <c r="CA385" s="325"/>
      <c r="CB385" s="325"/>
      <c r="CC385" s="325"/>
      <c r="CD385" s="325"/>
      <c r="CE385" s="325"/>
      <c r="CF385" s="325"/>
      <c r="CG385" s="325"/>
    </row>
    <row r="386" spans="1:85" ht="12.75" customHeight="1" thickBot="1" x14ac:dyDescent="0.3">
      <c r="A386" s="318"/>
      <c r="B386" s="21"/>
      <c r="C386" s="21"/>
      <c r="D386" s="21"/>
      <c r="E386" s="1140" t="str">
        <f>IF(E383="","",HYPERLINK("#JUMP_E_Top",EUconst_FurtherGuidancePoint1))</f>
        <v/>
      </c>
      <c r="F386" s="1140"/>
      <c r="G386" s="1140"/>
      <c r="H386" s="1140"/>
      <c r="I386" s="1140"/>
      <c r="J386" s="1140"/>
      <c r="K386" s="1140"/>
      <c r="L386" s="1140"/>
      <c r="M386" s="1140"/>
      <c r="N386" s="22"/>
      <c r="O386" s="323"/>
      <c r="P386" s="301"/>
      <c r="Q386" s="335" t="str">
        <f>EUconst_SumNonSustBioCO2</f>
        <v>SUM_bioNonSustCO2</v>
      </c>
      <c r="R386" s="500" t="str">
        <f>IF(E384="","",BG392)</f>
        <v/>
      </c>
      <c r="S386" s="2"/>
      <c r="T386" s="2"/>
      <c r="U386" s="2"/>
      <c r="V386" s="325"/>
      <c r="W386" s="325"/>
      <c r="X386" s="325"/>
      <c r="Y386" s="41"/>
      <c r="Z386" s="325"/>
      <c r="AA386" s="325"/>
      <c r="AB386" s="325"/>
      <c r="AC386" s="325"/>
      <c r="AD386" s="325"/>
      <c r="AE386" s="325"/>
      <c r="AF386" s="41"/>
      <c r="AG386" s="325"/>
      <c r="AH386" s="325"/>
      <c r="AI386" s="325"/>
      <c r="AJ386" s="342"/>
      <c r="AK386" s="342"/>
      <c r="AL386" s="337"/>
      <c r="AM386" s="337"/>
      <c r="AN386" s="337"/>
      <c r="AO386" s="337"/>
      <c r="AP386" s="337"/>
      <c r="AQ386" s="325"/>
      <c r="AR386" s="325"/>
      <c r="AS386" s="325"/>
      <c r="AT386" s="325"/>
      <c r="AU386" s="325"/>
      <c r="AV386" s="325"/>
      <c r="AW386" s="325"/>
      <c r="AX386" s="325"/>
      <c r="AY386" s="325"/>
      <c r="AZ386" s="325"/>
      <c r="BA386" s="325"/>
      <c r="BB386" s="325"/>
      <c r="BC386" s="325"/>
      <c r="BD386" s="325"/>
      <c r="BE386" s="325"/>
      <c r="BF386" s="325"/>
      <c r="BG386" s="325"/>
      <c r="BH386" s="325"/>
      <c r="BI386" s="20" t="s">
        <v>104</v>
      </c>
      <c r="BJ386" s="343"/>
      <c r="BK386" s="483" t="str">
        <f>IF(G400="","",G400)</f>
        <v/>
      </c>
      <c r="BL386" s="483" t="str">
        <f>IF(I400="","",I400)</f>
        <v/>
      </c>
      <c r="BM386" s="483" t="str">
        <f>IF(K400="","",K400)</f>
        <v/>
      </c>
      <c r="BN386" s="325"/>
      <c r="BO386" s="325"/>
      <c r="BP386" s="325"/>
      <c r="BQ386" s="325"/>
      <c r="BR386" s="325"/>
      <c r="BS386" s="325"/>
      <c r="BT386" s="330"/>
      <c r="BU386" s="325"/>
      <c r="BV386" s="325"/>
      <c r="BW386" s="325"/>
      <c r="BX386" s="325"/>
      <c r="BY386" s="325"/>
      <c r="BZ386" s="325"/>
      <c r="CA386" s="325"/>
      <c r="CB386" s="325"/>
      <c r="CC386" s="325"/>
      <c r="CD386" s="325"/>
      <c r="CE386" s="325"/>
      <c r="CF386" s="325"/>
      <c r="CG386" s="325"/>
    </row>
    <row r="387" spans="1:85" ht="5.15" customHeight="1" thickBot="1" x14ac:dyDescent="0.3">
      <c r="A387" s="318"/>
      <c r="B387" s="21"/>
      <c r="C387" s="21"/>
      <c r="D387" s="21"/>
      <c r="E387" s="21"/>
      <c r="F387" s="21"/>
      <c r="G387" s="21"/>
      <c r="H387" s="22"/>
      <c r="I387" s="22"/>
      <c r="J387" s="22"/>
      <c r="K387" s="22"/>
      <c r="L387" s="22"/>
      <c r="M387" s="22"/>
      <c r="N387" s="22"/>
      <c r="O387" s="323"/>
      <c r="P387" s="259"/>
      <c r="Q387" s="2"/>
      <c r="R387" s="259"/>
      <c r="S387" s="2"/>
      <c r="T387" s="2"/>
      <c r="U387" s="2"/>
      <c r="V387" s="325"/>
      <c r="W387" s="325"/>
      <c r="X387" s="325"/>
      <c r="Y387" s="23"/>
      <c r="Z387" s="325"/>
      <c r="AA387" s="325"/>
      <c r="AB387" s="325"/>
      <c r="AC387" s="325"/>
      <c r="AD387" s="325"/>
      <c r="AE387" s="325"/>
      <c r="AF387" s="41"/>
      <c r="AG387" s="325"/>
      <c r="AH387" s="325"/>
      <c r="AI387" s="325"/>
      <c r="AJ387" s="342"/>
      <c r="AK387" s="342"/>
      <c r="AL387" s="337"/>
      <c r="AM387" s="337"/>
      <c r="AN387" s="337"/>
      <c r="AO387" s="337"/>
      <c r="AP387" s="337"/>
      <c r="AQ387" s="325"/>
      <c r="AR387" s="325"/>
      <c r="AS387" s="325"/>
      <c r="AT387" s="325"/>
      <c r="AU387" s="325"/>
      <c r="AV387" s="325"/>
      <c r="AW387" s="325"/>
      <c r="AX387" s="325"/>
      <c r="AY387" s="325"/>
      <c r="AZ387" s="325"/>
      <c r="BA387" s="325"/>
      <c r="BB387" s="325"/>
      <c r="BC387" s="325"/>
      <c r="BD387" s="325"/>
      <c r="BE387" s="325"/>
      <c r="BF387" s="325"/>
      <c r="BG387" s="325"/>
      <c r="BH387" s="325"/>
      <c r="BI387" s="325"/>
      <c r="BJ387" s="325"/>
      <c r="BK387" s="325"/>
      <c r="BL387" s="325"/>
      <c r="BM387" s="325"/>
      <c r="BN387" s="325"/>
      <c r="BO387" s="325"/>
      <c r="BP387" s="325"/>
      <c r="BQ387" s="325"/>
      <c r="BR387" s="325"/>
      <c r="BS387" s="325"/>
      <c r="BT387" s="325"/>
      <c r="BU387" s="325"/>
      <c r="BV387" s="325"/>
      <c r="BW387" s="325"/>
      <c r="BX387" s="325"/>
      <c r="BY387" s="325"/>
      <c r="BZ387" s="325"/>
      <c r="CA387" s="325"/>
      <c r="CB387" s="325"/>
      <c r="CC387" s="325"/>
      <c r="CD387" s="325"/>
      <c r="CE387" s="325"/>
      <c r="CF387" s="325"/>
      <c r="CG387" s="325"/>
    </row>
    <row r="388" spans="1:85" ht="12.75" customHeight="1" thickBot="1" x14ac:dyDescent="0.3">
      <c r="A388" s="318"/>
      <c r="B388" s="21"/>
      <c r="C388" s="21"/>
      <c r="D388" s="21"/>
      <c r="E388" s="21"/>
      <c r="F388" s="347" t="str">
        <f>Translations!$B$127</f>
        <v>Määrittämistaso</v>
      </c>
      <c r="G388" s="1141" t="str">
        <f>Translations!$B$393</f>
        <v>määrittämistason kuvaus</v>
      </c>
      <c r="H388" s="1141"/>
      <c r="I388" s="1142" t="str">
        <f>Translations!$B$394</f>
        <v>Yksikkö</v>
      </c>
      <c r="J388" s="1142"/>
      <c r="K388" s="1142" t="str">
        <f>Translations!$B$395</f>
        <v>Arvo</v>
      </c>
      <c r="L388" s="1142"/>
      <c r="M388" s="327" t="str">
        <f>Translations!$B$396</f>
        <v>virhe</v>
      </c>
      <c r="N388" s="22"/>
      <c r="O388" s="323"/>
      <c r="P388" s="611"/>
      <c r="Q388" s="335" t="str">
        <f>EUconst_SumEnergyIN</f>
        <v>SUM_EnergyIN</v>
      </c>
      <c r="R388" s="501" t="str">
        <f>IF(E384="","",BG393)</f>
        <v/>
      </c>
      <c r="S388" s="325"/>
      <c r="T388" s="325"/>
      <c r="U388" s="325"/>
      <c r="V388" s="336" t="s">
        <v>105</v>
      </c>
      <c r="W388" s="325"/>
      <c r="X388" s="325"/>
      <c r="Y388" s="23" t="s">
        <v>106</v>
      </c>
      <c r="Z388" s="23" t="s">
        <v>107</v>
      </c>
      <c r="AA388" s="325"/>
      <c r="AB388" s="325"/>
      <c r="AC388" s="343" t="s">
        <v>108</v>
      </c>
      <c r="AD388" s="325"/>
      <c r="AE388" s="325"/>
      <c r="AF388" s="325" t="s">
        <v>109</v>
      </c>
      <c r="AG388" s="325" t="s">
        <v>110</v>
      </c>
      <c r="AH388" s="23" t="s">
        <v>111</v>
      </c>
      <c r="AI388" s="342" t="s">
        <v>112</v>
      </c>
      <c r="AJ388" s="342" t="s">
        <v>113</v>
      </c>
      <c r="AK388" s="348" t="s">
        <v>114</v>
      </c>
      <c r="AL388" s="337"/>
      <c r="AM388" s="337"/>
      <c r="AN388" s="337"/>
      <c r="AO388" s="337"/>
      <c r="AP388" s="337"/>
      <c r="AQ388" s="325"/>
      <c r="AR388" s="325" t="s">
        <v>109</v>
      </c>
      <c r="AS388" s="325" t="s">
        <v>110</v>
      </c>
      <c r="AT388" s="349" t="s">
        <v>115</v>
      </c>
      <c r="AU388" s="342" t="s">
        <v>116</v>
      </c>
      <c r="AV388" s="342" t="s">
        <v>117</v>
      </c>
      <c r="AW388" s="348" t="s">
        <v>114</v>
      </c>
      <c r="AX388" s="348" t="s">
        <v>114</v>
      </c>
      <c r="AY388" s="325"/>
      <c r="AZ388" s="325"/>
      <c r="BA388" s="325"/>
      <c r="BB388" s="325" t="s">
        <v>118</v>
      </c>
      <c r="BC388" s="325"/>
      <c r="BD388" s="325"/>
      <c r="BE388" s="325"/>
      <c r="BF388" s="325"/>
      <c r="BG388" s="330" t="str">
        <f>EUconst_Fuel</f>
        <v>Poltto</v>
      </c>
      <c r="BH388" s="325"/>
      <c r="BI388" s="325"/>
      <c r="BJ388" s="325"/>
      <c r="BK388" s="325"/>
      <c r="BL388" s="325"/>
      <c r="BM388" s="325"/>
      <c r="BN388" s="325"/>
      <c r="BO388" s="325"/>
      <c r="BP388" s="325"/>
      <c r="BQ388" s="325"/>
      <c r="BR388" s="325"/>
      <c r="BS388" s="325"/>
      <c r="BT388" s="325"/>
      <c r="BU388" s="325"/>
      <c r="BV388" s="325"/>
      <c r="BW388" s="325"/>
      <c r="BX388" s="325"/>
      <c r="BY388" s="325"/>
      <c r="BZ388" s="325"/>
      <c r="CA388" s="325"/>
      <c r="CB388" s="325"/>
      <c r="CC388" s="325"/>
      <c r="CD388" s="325"/>
      <c r="CE388" s="325"/>
      <c r="CF388" s="325"/>
      <c r="CG388" s="330" t="s">
        <v>94</v>
      </c>
    </row>
    <row r="389" spans="1:85" ht="12.75" customHeight="1" thickBot="1" x14ac:dyDescent="0.3">
      <c r="A389" s="318"/>
      <c r="B389" s="21"/>
      <c r="C389" s="344"/>
      <c r="D389" s="345" t="str">
        <f>Translations!$B$356</f>
        <v>Polttoaineen määrä:</v>
      </c>
      <c r="E389" s="350"/>
      <c r="F389" s="351"/>
      <c r="G389" s="1120" t="str">
        <f>IF(OR(ISBLANK(F389),F389=EUconst_NoTier),"",IF(Z389=0,EUconst_NA,IF(ISERROR(Z389),"",Z389)))</f>
        <v/>
      </c>
      <c r="H389" s="1122"/>
      <c r="I389" s="352" t="str">
        <f>IF(J389&lt;&gt;"","",AI389)</f>
        <v/>
      </c>
      <c r="J389" s="353"/>
      <c r="K389" s="1143"/>
      <c r="L389" s="1144"/>
      <c r="M389" s="486" t="str">
        <f>IF(AND(E384&lt;&gt;"",OR(F389="",COUNT(K389)=0),Y389&lt;&gt;EUconst_NA),EUconst_ERR_Incomplete,"")</f>
        <v/>
      </c>
      <c r="N389" s="22"/>
      <c r="O389" s="323"/>
      <c r="P389" s="612"/>
      <c r="Q389" s="335" t="str">
        <f>EUconst_SumBioEnergyIN</f>
        <v>SUM_BioEnergyIN</v>
      </c>
      <c r="R389" s="501" t="str">
        <f>IF(E384="","",BG394)</f>
        <v/>
      </c>
      <c r="S389" s="325"/>
      <c r="T389" s="355" t="str">
        <f>EUconst_CNTR_ActivityData&amp;E384</f>
        <v>ActivityData_</v>
      </c>
      <c r="U389" s="23"/>
      <c r="V389" s="355" t="str">
        <f>IF(E383="","",INDEX('B_Polttoainevirtojen tiedot'!$I$67:$I$91,MATCH(U382,'B_Polttoainevirtojen tiedot'!$D$67:$D$91,0)))</f>
        <v/>
      </c>
      <c r="W389" s="342" t="s">
        <v>121</v>
      </c>
      <c r="X389" s="23"/>
      <c r="Y389" s="356" t="str">
        <f>IF(E384="","",INDEX(EUwideConstants!$P$153:$P$180,MATCH(T389,EUwideConstants!$S$153:$S$180,0)))</f>
        <v/>
      </c>
      <c r="Z389" s="357" t="str">
        <f>IF(ISBLANK(F389),"",IF(F389=EUconst_NA,"",INDEX(EUwideConstants!$H:$O,MATCH(T389,EUwideConstants!$S:$S,0),MATCH(F389,CNTR_TierList,0))))</f>
        <v/>
      </c>
      <c r="AA389" s="358" t="s">
        <v>111</v>
      </c>
      <c r="AB389" s="342"/>
      <c r="AC389" s="339" t="b">
        <f>E383&lt;&gt;""</f>
        <v>0</v>
      </c>
      <c r="AD389" s="325"/>
      <c r="AE389" s="359" t="str">
        <f>EUconst_CNTR_ActivityData&amp;EUconst_Unit</f>
        <v>ActivityData_Yksikkö</v>
      </c>
      <c r="AF389" s="360" t="str">
        <f>IF(AC389=TRUE, IF(COUNTIF(MSPara_SourceStreamCategory,V389)=0,"",INDEX(MSPara_CalcFactorsMatrix,MATCH(V389,MSPara_SourceStreamCategory,0),MATCH(AE389&amp;"_"&amp;2,MSPara_CalcFactors,0))),"")</f>
        <v/>
      </c>
      <c r="AG389" s="361" t="str">
        <f>IF(AC389=TRUE, IF(COUNTIF(MSPara_SourceStreamCategory,V389)=0,"",INDEX(MSPara_CalcFactorsMatrix,MATCH(V389,MSPara_SourceStreamCategory,0),MATCH(AE389&amp;"_"&amp;1,MSPara_CalcFactors,0))),"")</f>
        <v/>
      </c>
      <c r="AH389" s="339" t="str">
        <f>IF(OR(AF389="",AF389=EUconst_NA),IF(OR(AG389=EUconst_NA,AG389=""),"",AG389),AF389)</f>
        <v/>
      </c>
      <c r="AI389" s="356" t="str">
        <f>IF(AC389=TRUE,IF(AH389="",EUconst_t,AH389),"")</f>
        <v/>
      </c>
      <c r="AJ389" s="362" t="str">
        <f>IF(J389="",AI389,J389)</f>
        <v/>
      </c>
      <c r="AK389" s="363" t="b">
        <f>AND(E383&lt;&gt;"",J389&lt;&gt;"")</f>
        <v>0</v>
      </c>
      <c r="AL389" s="337"/>
      <c r="AM389" s="404" t="s">
        <v>122</v>
      </c>
      <c r="AN389" s="403" t="str">
        <f>AJ389</f>
        <v/>
      </c>
      <c r="AO389" s="337"/>
      <c r="AP389" s="337"/>
      <c r="AQ389" s="355" t="str">
        <f>EUconst_CNTR_ActivityData&amp;EUconst_Value</f>
        <v>ActivityData_Arvo</v>
      </c>
      <c r="AR389" s="343"/>
      <c r="AS389" s="343"/>
      <c r="AT389" s="339" t="b">
        <f>AND(AND(AH389&lt;&gt;"",AJ389&lt;&gt;""),AJ389=AH389)</f>
        <v>0</v>
      </c>
      <c r="AU389" s="325"/>
      <c r="AV389" s="339">
        <f>IF(Y389=EUconst_NA,0,IF(COUNT(K389:K389)=0,0,IF(K389="",#REF!,K389)))</f>
        <v>0</v>
      </c>
      <c r="AW389" s="346" t="b">
        <f>AND(AC389=TRUE,OR(K389&lt;&gt;"",AU389=""))</f>
        <v>0</v>
      </c>
      <c r="AX389" s="346" t="b">
        <f>AND(AC389=TRUE,NOT(AW389))</f>
        <v>0</v>
      </c>
      <c r="AY389" s="325"/>
      <c r="AZ389" s="325" t="s">
        <v>123</v>
      </c>
      <c r="BA389" s="325" t="s">
        <v>124</v>
      </c>
      <c r="BB389" s="346"/>
      <c r="BC389" s="325" t="s">
        <v>125</v>
      </c>
      <c r="BD389" s="325"/>
      <c r="BE389" s="325"/>
      <c r="BF389" s="400" t="str">
        <f>Translations!$B$390</f>
        <v>CO2 fossil</v>
      </c>
      <c r="BG389" s="495" t="str">
        <f>IF(COUNTIF(AO392:AO393,TRUE)=0,"",AV389*IF(AO392,1,AV391*AN393)*AV392*(1-AV393)*AV396)</f>
        <v/>
      </c>
      <c r="BH389" s="325"/>
      <c r="BI389" s="325"/>
      <c r="BJ389" s="325"/>
      <c r="BK389" s="325"/>
      <c r="BL389" s="325"/>
      <c r="BM389" s="325"/>
      <c r="BN389" s="325"/>
      <c r="BO389" s="325"/>
      <c r="BP389" s="325"/>
      <c r="BQ389" s="325"/>
      <c r="BR389" s="325"/>
      <c r="BS389" s="325"/>
      <c r="BT389" s="325"/>
      <c r="BU389" s="325"/>
      <c r="BV389" s="325"/>
      <c r="BW389" s="325"/>
      <c r="BX389" s="325"/>
      <c r="BY389" s="325"/>
      <c r="BZ389" s="325"/>
      <c r="CA389" s="325"/>
      <c r="CB389" s="325"/>
      <c r="CC389" s="325"/>
      <c r="CD389" s="325"/>
      <c r="CE389" s="325"/>
      <c r="CF389" s="325"/>
      <c r="CG389" s="346" t="b">
        <v>0</v>
      </c>
    </row>
    <row r="390" spans="1:85" ht="5.15" customHeight="1" thickBot="1" x14ac:dyDescent="0.3">
      <c r="A390" s="318"/>
      <c r="B390" s="21"/>
      <c r="C390" s="344"/>
      <c r="D390" s="188"/>
      <c r="E390" s="22"/>
      <c r="F390" s="22"/>
      <c r="G390" s="22"/>
      <c r="H390" s="22" t="str">
        <f>Translations!$B$397</f>
        <v xml:space="preserve"> </v>
      </c>
      <c r="I390" s="364"/>
      <c r="J390" s="364"/>
      <c r="K390" s="22"/>
      <c r="L390" s="22"/>
      <c r="M390" s="487"/>
      <c r="N390" s="22"/>
      <c r="O390" s="323"/>
      <c r="P390" s="301"/>
      <c r="Q390" s="23"/>
      <c r="R390" s="23"/>
      <c r="S390" s="325"/>
      <c r="T390" s="277"/>
      <c r="U390" s="23"/>
      <c r="V390" s="325"/>
      <c r="W390" s="325"/>
      <c r="X390" s="23"/>
      <c r="Y390" s="330"/>
      <c r="Z390" s="325"/>
      <c r="AA390" s="325"/>
      <c r="AB390" s="325"/>
      <c r="AC390" s="325"/>
      <c r="AD390" s="325"/>
      <c r="AE390" s="325"/>
      <c r="AF390" s="325"/>
      <c r="AG390" s="325"/>
      <c r="AH390" s="325"/>
      <c r="AI390" s="325"/>
      <c r="AJ390" s="325"/>
      <c r="AK390" s="325"/>
      <c r="AL390" s="337"/>
      <c r="AM390" s="337"/>
      <c r="AN390" s="337"/>
      <c r="AO390" s="337"/>
      <c r="AP390" s="337"/>
      <c r="AQ390" s="325"/>
      <c r="AR390" s="325"/>
      <c r="AS390" s="325"/>
      <c r="AT390" s="325"/>
      <c r="AU390" s="325"/>
      <c r="AV390" s="325"/>
      <c r="AW390" s="325"/>
      <c r="AX390" s="325"/>
      <c r="AY390" s="325"/>
      <c r="AZ390" s="325"/>
      <c r="BA390" s="325"/>
      <c r="BB390" s="325"/>
      <c r="BC390" s="325"/>
      <c r="BD390" s="325"/>
      <c r="BE390" s="325"/>
      <c r="BF390" s="325"/>
      <c r="BG390" s="496"/>
      <c r="BH390" s="325"/>
      <c r="BI390" s="325"/>
      <c r="BJ390" s="325"/>
      <c r="BK390" s="325"/>
      <c r="BL390" s="325"/>
      <c r="BM390" s="325"/>
      <c r="BN390" s="325"/>
      <c r="BO390" s="325"/>
      <c r="BP390" s="325"/>
      <c r="BQ390" s="325"/>
      <c r="BR390" s="325"/>
      <c r="BS390" s="325"/>
      <c r="BT390" s="325"/>
      <c r="BU390" s="325"/>
      <c r="BV390" s="325"/>
      <c r="BW390" s="325"/>
      <c r="BX390" s="325"/>
      <c r="BY390" s="325"/>
      <c r="BZ390" s="325"/>
      <c r="CA390" s="325"/>
      <c r="CB390" s="325"/>
      <c r="CC390" s="325"/>
      <c r="CD390" s="325"/>
      <c r="CE390" s="325"/>
      <c r="CF390" s="325"/>
      <c r="CG390" s="330"/>
    </row>
    <row r="391" spans="1:85" ht="12.75" customHeight="1" thickBot="1" x14ac:dyDescent="0.3">
      <c r="A391" s="318"/>
      <c r="B391" s="21"/>
      <c r="C391" s="344"/>
      <c r="D391" s="345" t="str">
        <f>Translations!$B$360</f>
        <v>Yksikön muuntokerroin:</v>
      </c>
      <c r="E391" s="350"/>
      <c r="F391" s="443"/>
      <c r="G391" s="1120" t="str">
        <f>IF(OR(ISBLANK(F391),F391=EUconst_NoTier),"",IF(Z391=0,EUconst_NotApplicable,IF(ISERROR(Z391),"",Z391)))</f>
        <v/>
      </c>
      <c r="H391" s="1122"/>
      <c r="I391" s="444" t="str">
        <f>IF(J391&lt;&gt;"","",AI391)</f>
        <v/>
      </c>
      <c r="J391" s="445"/>
      <c r="K391" s="632" t="str">
        <f>IF(L391="",AU391,"")</f>
        <v/>
      </c>
      <c r="L391" s="633"/>
      <c r="M391" s="486" t="str">
        <f>IF(AND(E384&lt;&gt;"",OR(F391="",COUNT(K391:L391)=0),Y391&lt;&gt;EUconst_NA),EUconst_ERR_Incomplete,IF(COUNTIF(BB391:BD391,TRUE)&gt;0,EUconst_ERR_Inconsistent,""))</f>
        <v/>
      </c>
      <c r="N391" s="752"/>
      <c r="O391" s="323"/>
      <c r="P391" s="301"/>
      <c r="Q391" s="23"/>
      <c r="R391" s="23"/>
      <c r="S391" s="325"/>
      <c r="T391" s="365" t="str">
        <f>EUconst_CNTR_UCF&amp;E384</f>
        <v>UCF_</v>
      </c>
      <c r="U391" s="23"/>
      <c r="V391" s="366" t="str">
        <f>V392</f>
        <v/>
      </c>
      <c r="W391" s="325"/>
      <c r="X391" s="23"/>
      <c r="Y391" s="448" t="str">
        <f>IF(E384="","",IF(OR(F391=EUconst_NA,W391=TRUE),EUconst_NA,INDEX(EUwideConstants!$P$153:$P$180,MATCH(T391,EUwideConstants!$S$153:$S$180,0))))</f>
        <v/>
      </c>
      <c r="Z391" s="471" t="str">
        <f>IF(ISBLANK(F391),"",IF(F391=EUconst_NA,"",INDEX(EUwideConstants!$H:$O,MATCH(T391,EUwideConstants!$S:$S,0),MATCH(F391,CNTR_TierList,0))))</f>
        <v/>
      </c>
      <c r="AA391" s="449" t="str">
        <f>IF(COUNTIF(EUconst_DefaultValues,Z391)&gt;0,MATCH(Z391,EUconst_DefaultValues,0),"")</f>
        <v/>
      </c>
      <c r="AB391" s="325"/>
      <c r="AC391" s="367" t="b">
        <f>AND(AC389,Y391&lt;&gt;EUconst_NA)</f>
        <v>0</v>
      </c>
      <c r="AD391" s="325"/>
      <c r="AE391" s="359" t="str">
        <f>EUconst_CNTR_UCF&amp;EUconst_Unit</f>
        <v>UCF_Yksikkö</v>
      </c>
      <c r="AF391" s="368" t="str">
        <f>IF(AC391=TRUE, IF(COUNTIF(MSPara_SourceStreamCategory,V391)=0,"",INDEX(MSPara_CalcFactorsMatrix,MATCH(V391,MSPara_SourceStreamCategory,0),MATCH(AE391&amp;"_"&amp;2,MSPara_CalcFactors,0))),"")</f>
        <v/>
      </c>
      <c r="AG391" s="372" t="str">
        <f>IF(AC391=TRUE, IF(COUNTIF(MSPara_SourceStreamCategory,V391)=0,"",INDEX(MSPara_CalcFactorsMatrix,MATCH(V391,MSPara_SourceStreamCategory,0),MATCH(AE391&amp;"_"&amp;1,MSPara_CalcFactors,0))),"")</f>
        <v/>
      </c>
      <c r="AH391" s="367" t="str">
        <f>IF(AA391="","",INDEX(AF391:AG391,3-AA391))</f>
        <v/>
      </c>
      <c r="AI391" s="367" t="str">
        <f>IF(AC391=TRUE,IF(OR(AH391="",AH391=EUconst_NA),EUconst_GJ&amp;"/"&amp;AJ389,AH391),"")</f>
        <v/>
      </c>
      <c r="AJ391" s="367" t="str">
        <f>IF(J391="",AI391,J391)</f>
        <v/>
      </c>
      <c r="AK391" s="366" t="b">
        <f>AND(E383&lt;&gt;"",J391&lt;&gt;"")</f>
        <v>0</v>
      </c>
      <c r="AL391" s="337"/>
      <c r="AM391" s="404" t="s">
        <v>127</v>
      </c>
      <c r="AN391" s="403" t="str">
        <f>IF(AJ391="",EUconst_NA,IF(AN389=EUconst_TJ,EUconst_TJ,INDEX(EUwideConstants!$C$124:$G$128,MATCH(AN389,RFAUnits,0),MATCH(AJ391,UCFUnits,0))))</f>
        <v>ei sovellettavissa</v>
      </c>
      <c r="AO391" s="337"/>
      <c r="AP391" s="337"/>
      <c r="AQ391" s="454" t="str">
        <f>EUconst_CNTR_UCF&amp;EUconst_Value</f>
        <v>UCF_Arvo</v>
      </c>
      <c r="AR391" s="475" t="str">
        <f>IF(AC391=TRUE,IF(COUNTIF(MSPara_SourceStreamCategory,V391)=0,"",INDEX(MSPara_CalcFactorsMatrix,MATCH(V391,MSPara_SourceStreamCategory,0),MATCH(AQ391&amp;"_"&amp;2,MSPara_CalcFactors,0))),"")</f>
        <v/>
      </c>
      <c r="AS391" s="371" t="str">
        <f>IF(AC391=TRUE,IF(COUNTIF(MSPara_SourceStreamCategory,V391)=0,"",INDEX(MSPara_CalcFactorsMatrix,MATCH(V391,MSPara_SourceStreamCategory,0),MATCH(AQ391&amp;"_"&amp;1,MSPara_CalcFactors,0))),"")</f>
        <v/>
      </c>
      <c r="AT391" s="369" t="b">
        <f>AND(AND(AH391&lt;&gt;"",AJ391&lt;&gt;""),AJ391=AH391)</f>
        <v>0</v>
      </c>
      <c r="AU391" s="381" t="str">
        <f>IF(AND(AA391&lt;&gt;"",AT391=TRUE),IF(OR(INDEX(AR391:AS391,3-AA391)=EUconst_NA,INDEX(AR391:AS391,3-AA391)=0),"",INDEX(AR391:AS391,3-AA391)),"")</f>
        <v/>
      </c>
      <c r="AV391" s="367">
        <f>IF(AC391=TRUE,IF(COUNT(K391:L391)=0,0,IF(L391="",K391,L391)),0)</f>
        <v>0</v>
      </c>
      <c r="AW391" s="366" t="b">
        <f>AND(AC391=TRUE,OR(AND(F391&lt;&gt;"",NOT(ISNUMBER(AA391))),L391&lt;&gt;"",F391="",AU391=""))</f>
        <v>0</v>
      </c>
      <c r="AX391" s="370" t="b">
        <f>AND(AC391=TRUE,NOT(AW391))</f>
        <v>0</v>
      </c>
      <c r="AY391" s="325"/>
      <c r="AZ391" s="373" t="b">
        <f>AND(ISNUMBER(AA391),AU391="")</f>
        <v>0</v>
      </c>
      <c r="BA391" s="399" t="b">
        <f>AND(ISNUMBER(AA391),AU391&lt;&gt;AV391)</f>
        <v>0</v>
      </c>
      <c r="BB391" s="366" t="b">
        <f>AND(E384&lt;&gt;"",F391&lt;&gt;EUconst_NA,AN391=EUconst_NA)</f>
        <v>0</v>
      </c>
      <c r="BC391" s="366" t="b">
        <f>AND(L391&lt;&gt;"",Y391=EUconst_NA)</f>
        <v>0</v>
      </c>
      <c r="BD391" s="325"/>
      <c r="BE391" s="325"/>
      <c r="BF391" s="373" t="s">
        <v>128</v>
      </c>
      <c r="BG391" s="497" t="str">
        <f>IF(COUNTIF(AO392:AO393,TRUE)=0,"",AV389*IF(AO392,1,AV391*AN393)*AV392*AV393*AV396)</f>
        <v/>
      </c>
      <c r="BH391" s="325"/>
      <c r="BI391" s="325"/>
      <c r="BJ391" s="325"/>
      <c r="BK391" s="325"/>
      <c r="BL391" s="325"/>
      <c r="BM391" s="325"/>
      <c r="BN391" s="325"/>
      <c r="BO391" s="325"/>
      <c r="BP391" s="325"/>
      <c r="BQ391" s="325"/>
      <c r="BR391" s="325"/>
      <c r="BS391" s="325"/>
      <c r="BT391" s="325"/>
      <c r="BU391" s="325"/>
      <c r="BV391" s="325"/>
      <c r="BW391" s="325"/>
      <c r="BX391" s="325"/>
      <c r="BY391" s="325"/>
      <c r="BZ391" s="325"/>
      <c r="CA391" s="325"/>
      <c r="CB391" s="325"/>
      <c r="CC391" s="325"/>
      <c r="CD391" s="325"/>
      <c r="CE391" s="325"/>
      <c r="CF391" s="325"/>
      <c r="CG391" s="375" t="b">
        <f>OR(CG389,Y391=EUconst_NA)</f>
        <v>0</v>
      </c>
    </row>
    <row r="392" spans="1:85" ht="12.75" customHeight="1" thickBot="1" x14ac:dyDescent="0.3">
      <c r="A392" s="318"/>
      <c r="B392" s="21"/>
      <c r="C392" s="344"/>
      <c r="D392" s="345" t="str">
        <f>Translations!$B$358</f>
        <v>Päästökerroin (alustava):</v>
      </c>
      <c r="E392" s="350"/>
      <c r="F392" s="624"/>
      <c r="G392" s="1120" t="str">
        <f>IF(OR(ISBLANK(F392),F392=EUconst_NoTier),"",IF(Z392=0,EUconst_NotApplicable,IF(ISERROR(Z392),"",Z392)))</f>
        <v/>
      </c>
      <c r="H392" s="1121"/>
      <c r="I392" s="625" t="str">
        <f>IF(J392&lt;&gt;"","",AI392)</f>
        <v/>
      </c>
      <c r="J392" s="631"/>
      <c r="K392" s="634" t="str">
        <f>IF(L392="",AU392,"")</f>
        <v/>
      </c>
      <c r="L392" s="754"/>
      <c r="M392" s="486" t="str">
        <f>IF(AND(E384&lt;&gt;"",OR(F392="",COUNT(K392:L392)=0),Y392&lt;&gt;EUconst_NA),EUconst_ERR_Incomplete,IF(COUNTIF(BB392:BD392,TRUE)&gt;0,EUconst_ERR_Inconsistent,""))</f>
        <v/>
      </c>
      <c r="N392" s="753"/>
      <c r="O392" s="323"/>
      <c r="P392" s="301"/>
      <c r="Q392" s="23"/>
      <c r="R392" s="23"/>
      <c r="S392" s="325"/>
      <c r="T392" s="374" t="str">
        <f>EUconst_CNTR_EF&amp;E384</f>
        <v>EF_</v>
      </c>
      <c r="U392" s="23"/>
      <c r="V392" s="375" t="str">
        <f>V389</f>
        <v/>
      </c>
      <c r="W392" s="325"/>
      <c r="X392" s="23"/>
      <c r="Y392" s="450" t="str">
        <f>IF(E384="","",IF(OR(F392=EUconst_NA,W392=TRUE),EUconst_NA,INDEX(EUwideConstants!$P$153:$P$180,MATCH(T392,EUwideConstants!$S$153:$S$180,0))))</f>
        <v/>
      </c>
      <c r="Z392" s="472" t="str">
        <f>IF(ISBLANK(F392),"",IF(F392=EUconst_NA,"",INDEX(EUwideConstants!$H:$O,MATCH(T392,EUwideConstants!$S:$S,0),MATCH(F392,CNTR_TierList,0))))</f>
        <v/>
      </c>
      <c r="AA392" s="451" t="str">
        <f>IF(COUNTIF(EUconst_DefaultValues,Z392)&gt;0,MATCH(Z392,EUconst_DefaultValues,0),"")</f>
        <v/>
      </c>
      <c r="AB392" s="325"/>
      <c r="AC392" s="376" t="b">
        <f>AND(AC389,Y392&lt;&gt;EUconst_NA)</f>
        <v>0</v>
      </c>
      <c r="AD392" s="325"/>
      <c r="AE392" s="377" t="str">
        <f>EUconst_CNTR_EF&amp;EUconst_Unit</f>
        <v>EF_Yksikkö</v>
      </c>
      <c r="AF392" s="378" t="str">
        <f>IF(AC392=TRUE, IF(COUNTIF(MSPara_SourceStreamCategory,V392)=0,"",INDEX(MSPara_CalcFactorsMatrix,MATCH(V392,MSPara_SourceStreamCategory,0),MATCH(AE392&amp;"_"&amp;2,MSPara_CalcFactors,0))),"")</f>
        <v/>
      </c>
      <c r="AG392" s="464" t="str">
        <f>IF(AC392=TRUE, IF(COUNTIF(MSPara_SourceStreamCategory,V392)=0,"",INDEX(MSPara_CalcFactorsMatrix,MATCH(V392,MSPara_SourceStreamCategory,0),MATCH(AE392&amp;"_"&amp;1,MSPara_CalcFactors,0))),"")</f>
        <v/>
      </c>
      <c r="AH392" s="376" t="str">
        <f>IF(AA392="","",INDEX(AF392:AG392,3-AA392))</f>
        <v/>
      </c>
      <c r="AI392" s="376" t="str">
        <f>IF(AC392=TRUE,IF(OR(AH392="",AH392=EUconst_NA),EUconst_tCO2&amp;"/"&amp;IF(AN391=EUconst_NA,AN389,IF(AN391=EUconst_GJ,EUconst_TJ,AN391)),AH392),"")</f>
        <v/>
      </c>
      <c r="AJ392" s="376" t="str">
        <f>IF(J392="",AI392,J392)</f>
        <v/>
      </c>
      <c r="AK392" s="375" t="b">
        <f>AND(E384&lt;&gt;"",J392&lt;&gt;"")</f>
        <v>0</v>
      </c>
      <c r="AL392" s="337"/>
      <c r="AM392" s="404" t="s">
        <v>130</v>
      </c>
      <c r="AN392" s="403" t="str">
        <f>IF(COUNTIF(RFAUnits,AN389)=0,EUconst_NA,INDEX(EUwideConstants!$C$139:$H$143,MATCH(AJ392,EFUnits,0),MATCH(AN389,EUwideConstants!$C$138:$H$138,0)))</f>
        <v>ei sovellettavissa</v>
      </c>
      <c r="AO392" s="403" t="b">
        <f>AN392&lt;&gt;EUconst_NA</f>
        <v>0</v>
      </c>
      <c r="AP392" s="337"/>
      <c r="AQ392" s="455" t="str">
        <f>EUconst_CNTR_EF&amp;EUconst_Value</f>
        <v>EF_Arvo</v>
      </c>
      <c r="AR392" s="476" t="str">
        <f>IF(AC392=TRUE,IF(COUNTIF(MSPara_SourceStreamCategory,V392)=0,"",INDEX(MSPara_CalcFactorsMatrix,MATCH(V392,MSPara_SourceStreamCategory,0),MATCH(AQ392&amp;"_"&amp;2,MSPara_CalcFactors,0))),"")</f>
        <v/>
      </c>
      <c r="AS392" s="383" t="str">
        <f>IF(AC392=TRUE,IF(COUNTIF(MSPara_SourceStreamCategory,V392)=0,"",INDEX(MSPara_CalcFactorsMatrix,MATCH(V392,MSPara_SourceStreamCategory,0),MATCH(AQ392&amp;"_"&amp;1,MSPara_CalcFactors,0))),"")</f>
        <v/>
      </c>
      <c r="AT392" s="456" t="b">
        <f>AND(AND(AH392&lt;&gt;"",AJ392&lt;&gt;""),AJ392=AH392)</f>
        <v>0</v>
      </c>
      <c r="AU392" s="334" t="str">
        <f>IF(AND(AA392&lt;&gt;"",AT392=TRUE),IF(OR(INDEX(AR392:AS392,3-AA392)=EUconst_NA,INDEX(AR392:AS392,3-AA392)=0),"",INDEX(AR392:AS392,3-AA392)),"")</f>
        <v/>
      </c>
      <c r="AV392" s="376">
        <f>IF(AC392=TRUE,IF(COUNT(K392:L392)=0,0,IF(L392="",K392,L392)),0)</f>
        <v>0</v>
      </c>
      <c r="AW392" s="375" t="b">
        <f>AND(AC392=TRUE,OR(AND(F392&lt;&gt;"",NOT(ISNUMBER(AA392))),L392&lt;&gt;"",F392="",AU392=""))</f>
        <v>0</v>
      </c>
      <c r="AX392" s="457" t="b">
        <f>AND(AC392=TRUE,NOT(AW392))</f>
        <v>0</v>
      </c>
      <c r="AY392" s="325"/>
      <c r="AZ392" s="379" t="b">
        <f>AND(ISNUMBER(AA392),AU392="")</f>
        <v>0</v>
      </c>
      <c r="BA392" s="380" t="b">
        <f>AND(ISNUMBER(AA392),AU392&lt;&gt;AV392)</f>
        <v>0</v>
      </c>
      <c r="BB392" s="382" t="b">
        <f>AND(E384&lt;&gt;"",COUNTIF(AO392:AO393,TRUE)=0)</f>
        <v>0</v>
      </c>
      <c r="BC392" s="375" t="b">
        <f>AND(L392&lt;&gt;"",Y392=EUconst_NA)</f>
        <v>0</v>
      </c>
      <c r="BD392" s="325"/>
      <c r="BE392" s="325"/>
      <c r="BF392" s="379" t="s">
        <v>131</v>
      </c>
      <c r="BG392" s="498" t="str">
        <f>IF(COUNTIF(AO392:AO393,TRUE)=0,"",AV389*IF(AO392,1,AV391*AN393)*AV392*AV394*AV396)</f>
        <v/>
      </c>
      <c r="BH392" s="325"/>
      <c r="BI392" s="325"/>
      <c r="BJ392" s="325"/>
      <c r="BK392" s="325"/>
      <c r="BL392" s="325"/>
      <c r="BM392" s="325"/>
      <c r="BN392" s="325"/>
      <c r="BO392" s="325"/>
      <c r="BP392" s="325"/>
      <c r="BQ392" s="325"/>
      <c r="BR392" s="325"/>
      <c r="BS392" s="325"/>
      <c r="BT392" s="325"/>
      <c r="BU392" s="325"/>
      <c r="BV392" s="325"/>
      <c r="BW392" s="325"/>
      <c r="BX392" s="325"/>
      <c r="BY392" s="325"/>
      <c r="BZ392" s="325"/>
      <c r="CA392" s="325"/>
      <c r="CB392" s="325"/>
      <c r="CC392" s="325"/>
      <c r="CD392" s="325"/>
      <c r="CE392" s="325"/>
      <c r="CF392" s="325"/>
      <c r="CG392" s="366" t="b">
        <f>OR(CG389,Y392=EUconst_NA)</f>
        <v>0</v>
      </c>
    </row>
    <row r="393" spans="1:85" ht="12.75" customHeight="1" x14ac:dyDescent="0.25">
      <c r="A393" s="318"/>
      <c r="B393" s="21"/>
      <c r="C393" s="344"/>
      <c r="D393" s="345" t="str">
        <f>Translations!$B$362</f>
        <v>Biomassaosuus:</v>
      </c>
      <c r="E393" s="350"/>
      <c r="F393" s="624"/>
      <c r="G393" s="1120" t="str">
        <f>IF(OR(ISBLANK(F393),F393=EUconst_NoTier),"",IF(Z393=0,EUconst_NotApplicable,IF(ISERROR(Z393),"",Z393)))</f>
        <v/>
      </c>
      <c r="H393" s="1122"/>
      <c r="I393" s="626" t="str">
        <f>IF(OR(AC393=FALSE,Y393=EUconst_NA),"","-")</f>
        <v/>
      </c>
      <c r="J393" s="446"/>
      <c r="K393" s="635" t="str">
        <f>IF(L393="",AU393,"")</f>
        <v/>
      </c>
      <c r="L393" s="627"/>
      <c r="M393" s="486" t="str">
        <f>IF(AND(E384&lt;&gt;"",OR(F393="",COUNT(K393:L393)=0),Y393&lt;&gt;EUconst_NA),EUconst_ERR_Incomplete,IF(COUNTIF(BB393:BD393,TRUE)&gt;0,EUconst_ERR_Inconsistent,""))</f>
        <v/>
      </c>
      <c r="O393" s="323"/>
      <c r="P393" s="612"/>
      <c r="Q393" s="354"/>
      <c r="R393" s="354"/>
      <c r="S393" s="325"/>
      <c r="T393" s="374" t="str">
        <f>EUconst_CNTR_BiomassContent&amp;E384</f>
        <v>BioC_</v>
      </c>
      <c r="U393" s="23"/>
      <c r="V393" s="375" t="str">
        <f>V391</f>
        <v/>
      </c>
      <c r="W393" s="366" t="e">
        <f>IF(COUNTIF(MSPara_SourceStreamCategory,V393)=0,"",INDEX(MSPara_IsFossil,MATCH(V393,MSPara_SourceStreamCategory,0)))</f>
        <v>#N/A</v>
      </c>
      <c r="X393" s="23"/>
      <c r="Y393" s="450" t="str">
        <f>IF(E384="","",IF(OR(F393=EUconst_NA,W393=TRUE),EUconst_NA,INDEX(EUwideConstants!$P$153:$P$180,MATCH(T393,EUwideConstants!$S$153:$S$180,0))))</f>
        <v/>
      </c>
      <c r="Z393" s="472" t="str">
        <f>IF(ISBLANK(F393),"",IF(F393=EUconst_NA,"",INDEX(EUwideConstants!$H:$O,MATCH(T393,EUwideConstants!$S:$S,0),MATCH(F393,CNTR_TierList,0))))</f>
        <v/>
      </c>
      <c r="AA393" s="681" t="str">
        <f>IF(F393=1,1,"")</f>
        <v/>
      </c>
      <c r="AB393" s="325"/>
      <c r="AC393" s="376" t="b">
        <f>AND(AC389,Y393&lt;&gt;EUconst_NA)</f>
        <v>0</v>
      </c>
      <c r="AD393" s="325"/>
      <c r="AE393" s="462"/>
      <c r="AF393" s="460"/>
      <c r="AG393" s="465"/>
      <c r="AH393" s="467"/>
      <c r="AI393" s="467"/>
      <c r="AJ393" s="467"/>
      <c r="AK393" s="469"/>
      <c r="AL393" s="337"/>
      <c r="AM393" s="404" t="s">
        <v>132</v>
      </c>
      <c r="AN393" s="403" t="str">
        <f>IF(AN391=EUconst_NA,EUconst_NA,INDEX(EUwideConstants!$C$139:$H$143,MATCH(AJ392,EFUnits,0),MATCH(AN391,EUwideConstants!$C$138:$H$138,0)))</f>
        <v>ei sovellettavissa</v>
      </c>
      <c r="AO393" s="403" t="b">
        <f>AN393&lt;&gt;EUconst_NA</f>
        <v>0</v>
      </c>
      <c r="AP393" s="337"/>
      <c r="AQ393" s="455" t="str">
        <f>EUconst_CNTR_BiomassContent&amp;EUconst_Value</f>
        <v>BioC_Arvo</v>
      </c>
      <c r="AR393" s="462"/>
      <c r="AS393" s="383" t="str">
        <f>IF(AC393=TRUE,IF(COUNTIF(MSPara_SourceStreamCategory,V393)=0,"",INDEX(MSPara_CalcFactorsMatrix,MATCH(V393,MSPara_SourceStreamCategory,0),MATCH(AQ393&amp;"_"&amp;2,MSPara_CalcFactors,0))),"")</f>
        <v/>
      </c>
      <c r="AT393" s="458"/>
      <c r="AU393" s="334" t="str">
        <f>IF(OR(AA393="",AS393=EUconst_NA),"",AS393)</f>
        <v/>
      </c>
      <c r="AV393" s="376">
        <f>IF(AC393=TRUE,IF(COUNT(K393:L393)=0,0,IF(L393="",K393,L393)),0)</f>
        <v>0</v>
      </c>
      <c r="AW393" s="375" t="b">
        <f>AND(AC393=TRUE,OR(AND(F393&lt;&gt;"",NOT(ISNUMBER(AA393))),L393&lt;&gt;"",F393="",AU393=""))</f>
        <v>0</v>
      </c>
      <c r="AX393" s="457" t="b">
        <f>AND(AC393=TRUE,NOT(AW393))</f>
        <v>0</v>
      </c>
      <c r="AY393" s="325"/>
      <c r="AZ393" s="379" t="b">
        <f>AND(ISNUMBER(AA393),AU393="")</f>
        <v>0</v>
      </c>
      <c r="BA393" s="380" t="b">
        <f>AND(ISNUMBER(AA393),AU393&lt;&gt;AV393)</f>
        <v>0</v>
      </c>
      <c r="BB393" s="325"/>
      <c r="BC393" s="375" t="b">
        <f>AND(L393&lt;&gt;"",Y393=EUconst_NA)</f>
        <v>0</v>
      </c>
      <c r="BD393" s="366" t="b">
        <f>OR(AV393&gt;100%,(AV393+AV394)&gt;100%)</f>
        <v>0</v>
      </c>
      <c r="BE393" s="325"/>
      <c r="BF393" s="379" t="s">
        <v>133</v>
      </c>
      <c r="BG393" s="498" t="str">
        <f>IF(AN389=EUconst_TJ,AV389*(1-AV393),IF(AN391=EUconst_GJ,AV389*AV391/1000*(1-AV393),""))</f>
        <v/>
      </c>
      <c r="BH393" s="325"/>
      <c r="BI393" s="325"/>
      <c r="BJ393" s="325"/>
      <c r="BK393" s="325"/>
      <c r="BL393" s="325"/>
      <c r="BM393" s="325"/>
      <c r="BN393" s="325"/>
      <c r="BO393" s="325"/>
      <c r="BP393" s="325"/>
      <c r="BQ393" s="325"/>
      <c r="BR393" s="325"/>
      <c r="BS393" s="325"/>
      <c r="BT393" s="325"/>
      <c r="BU393" s="325"/>
      <c r="BV393" s="325"/>
      <c r="BW393" s="325"/>
      <c r="BX393" s="325"/>
      <c r="BY393" s="325"/>
      <c r="BZ393" s="325"/>
      <c r="CA393" s="325"/>
      <c r="CB393" s="325"/>
      <c r="CC393" s="325"/>
      <c r="CD393" s="325"/>
      <c r="CE393" s="325"/>
      <c r="CF393" s="325"/>
      <c r="CG393" s="375" t="b">
        <f>OR(CG389,Y393=EUconst_NA)</f>
        <v>0</v>
      </c>
    </row>
    <row r="394" spans="1:85" ht="12.75" customHeight="1" thickBot="1" x14ac:dyDescent="0.3">
      <c r="A394" s="318"/>
      <c r="B394" s="21"/>
      <c r="C394" s="344"/>
      <c r="D394" s="345" t="str">
        <f>Translations!$B$368</f>
        <v>Ei kestävä biomassaosuus:</v>
      </c>
      <c r="E394" s="350"/>
      <c r="F394" s="628"/>
      <c r="G394" s="1120" t="str">
        <f>IF(OR(ISBLANK(F394),F394=EUconst_NoTier),"",IF(Z394=0,EUconst_NotApplicable,IF(ISERROR(Z394),"",Z394)))</f>
        <v/>
      </c>
      <c r="H394" s="1122"/>
      <c r="I394" s="629" t="str">
        <f>IF(OR(AC394=FALSE,Y394=EUconst_NA),"","-")</f>
        <v/>
      </c>
      <c r="J394" s="447"/>
      <c r="K394" s="636" t="str">
        <f>IF(L394="",AU394,"")</f>
        <v/>
      </c>
      <c r="L394" s="630"/>
      <c r="M394" s="486" t="str">
        <f>IF(AND(E384&lt;&gt;"",OR(F394="",COUNT(K394:L394)=0),Y394&lt;&gt;EUconst_NA),EUconst_ERR_Incomplete,IF(COUNTIF(BB394:BD394,TRUE)&gt;0,EUconst_ERR_Inconsistent,""))</f>
        <v/>
      </c>
      <c r="N394" s="22"/>
      <c r="O394" s="323"/>
      <c r="P394" s="612"/>
      <c r="Q394" s="354"/>
      <c r="R394" s="354"/>
      <c r="S394" s="325"/>
      <c r="T394" s="384" t="str">
        <f>EUconst_CNTR_BiomassContent&amp;E384</f>
        <v>BioC_</v>
      </c>
      <c r="U394" s="23"/>
      <c r="V394" s="382" t="str">
        <f>V393</f>
        <v/>
      </c>
      <c r="W394" s="382" t="e">
        <f>IF(COUNTIF(MSPara_SourceStreamCategory,V394)=0,"",INDEX(MSPara_IsFossil,MATCH(V394,MSPara_SourceStreamCategory,0)))</f>
        <v>#N/A</v>
      </c>
      <c r="X394" s="23"/>
      <c r="Y394" s="452" t="str">
        <f>IF(E384="","",IF(OR(F394=EUconst_NA,W394=TRUE),EUconst_NA,INDEX(EUwideConstants!$P$153:$P$180,MATCH(T394,EUwideConstants!$S$153:$S$180,0))))</f>
        <v/>
      </c>
      <c r="Z394" s="473" t="str">
        <f>IF(ISBLANK(F394),"",IF(F394=EUconst_NA,"",INDEX(EUwideConstants!$H:$O,MATCH(T394,EUwideConstants!$S:$S,0),MATCH(F394,CNTR_TierList,0))))</f>
        <v/>
      </c>
      <c r="AA394" s="682" t="str">
        <f>IF(F394=1,1,"")</f>
        <v/>
      </c>
      <c r="AB394" s="325"/>
      <c r="AC394" s="453" t="b">
        <f>AND(AC389,Y394&lt;&gt;EUconst_NA)</f>
        <v>0</v>
      </c>
      <c r="AD394" s="325"/>
      <c r="AE394" s="463"/>
      <c r="AF394" s="461"/>
      <c r="AG394" s="466"/>
      <c r="AH394" s="468"/>
      <c r="AI394" s="468"/>
      <c r="AJ394" s="468"/>
      <c r="AK394" s="470"/>
      <c r="AL394" s="337"/>
      <c r="AM394" s="337"/>
      <c r="AN394" s="337"/>
      <c r="AO394" s="337"/>
      <c r="AP394" s="337"/>
      <c r="AQ394" s="474" t="str">
        <f>EUconst_CNTR_BiomassContent&amp;EUconst_Value</f>
        <v>BioC_Arvo</v>
      </c>
      <c r="AR394" s="463"/>
      <c r="AS394" s="385" t="str">
        <f>IF(AC394=TRUE,IF(COUNTIF(MSPara_SourceStreamCategory,V394)=0,"",INDEX(MSPara_CalcFactorsMatrix,MATCH(V394,MSPara_SourceStreamCategory,0),MATCH(AQ394&amp;"_"&amp;2,MSPara_CalcFactors,0))),"")</f>
        <v/>
      </c>
      <c r="AT394" s="459"/>
      <c r="AU394" s="477" t="str">
        <f>IF(OR(AA394="",AS394=EUconst_NA),"",AS394)</f>
        <v/>
      </c>
      <c r="AV394" s="453">
        <f>IF(AC394=TRUE,IF(COUNT(K394:L394)=0,0,IF(L394="",K394,L394)),0)</f>
        <v>0</v>
      </c>
      <c r="AW394" s="382" t="b">
        <f>AND(AC394=TRUE,OR(AND(F394&lt;&gt;"",NOT(ISNUMBER(AA394))),L394&lt;&gt;"",F394="",AU394=""))</f>
        <v>0</v>
      </c>
      <c r="AX394" s="478" t="b">
        <f>AND(AC394=TRUE,NOT(AW394))</f>
        <v>0</v>
      </c>
      <c r="AY394" s="325"/>
      <c r="AZ394" s="386" t="b">
        <f>AND(ISNUMBER(AA394),AU394="")</f>
        <v>0</v>
      </c>
      <c r="BA394" s="387" t="b">
        <f>AND(ISNUMBER(AA394),AU394&lt;&gt;AV394)</f>
        <v>0</v>
      </c>
      <c r="BB394" s="325"/>
      <c r="BC394" s="382" t="b">
        <f>AND(L394&lt;&gt;"",Y394=EUconst_NA)</f>
        <v>0</v>
      </c>
      <c r="BD394" s="382" t="b">
        <f>OR(AV393&gt;100%,(AV393+AV394)&gt;100%)</f>
        <v>0</v>
      </c>
      <c r="BE394" s="325"/>
      <c r="BF394" s="386" t="s">
        <v>134</v>
      </c>
      <c r="BG394" s="499" t="str">
        <f>IF(AN389=EUconst_TJ,AV389*AV393,IF(AN391=EUconst_GJ,AV389*AV391/1000*AV393,""))</f>
        <v/>
      </c>
      <c r="BH394" s="325"/>
      <c r="BI394" s="325"/>
      <c r="BJ394" s="325"/>
      <c r="BK394" s="325"/>
      <c r="BL394" s="325"/>
      <c r="BM394" s="325"/>
      <c r="BN394" s="325"/>
      <c r="BO394" s="325"/>
      <c r="BP394" s="325"/>
      <c r="BQ394" s="325"/>
      <c r="BR394" s="325"/>
      <c r="BS394" s="325"/>
      <c r="BT394" s="325"/>
      <c r="BU394" s="325"/>
      <c r="BV394" s="325"/>
      <c r="BW394" s="325"/>
      <c r="BX394" s="325"/>
      <c r="BY394" s="325"/>
      <c r="BZ394" s="325"/>
      <c r="CA394" s="325"/>
      <c r="CB394" s="325"/>
      <c r="CC394" s="325"/>
      <c r="CD394" s="325"/>
      <c r="CE394" s="325"/>
      <c r="CF394" s="325"/>
      <c r="CG394" s="382" t="b">
        <f>OR(CG389,Y394=EUconst_NA)</f>
        <v>0</v>
      </c>
    </row>
    <row r="395" spans="1:85" ht="5.15" customHeight="1" thickBot="1" x14ac:dyDescent="0.3">
      <c r="A395" s="318"/>
      <c r="B395" s="21"/>
      <c r="C395" s="21"/>
      <c r="D395" s="327"/>
      <c r="E395" s="22"/>
      <c r="F395" s="22"/>
      <c r="G395" s="22"/>
      <c r="H395" s="22"/>
      <c r="I395" s="22"/>
      <c r="J395" s="22"/>
      <c r="K395" s="22"/>
      <c r="L395" s="22"/>
      <c r="M395" s="488"/>
      <c r="N395" s="22"/>
      <c r="O395" s="323"/>
      <c r="P395" s="301"/>
      <c r="Q395" s="23"/>
      <c r="R395" s="23"/>
      <c r="S395" s="325"/>
      <c r="T395" s="325"/>
      <c r="U395" s="325"/>
      <c r="V395" s="325"/>
      <c r="W395" s="325"/>
      <c r="X395" s="325"/>
      <c r="Y395" s="325"/>
      <c r="Z395" s="325"/>
      <c r="AA395" s="325"/>
      <c r="AB395" s="325"/>
      <c r="AC395" s="325"/>
      <c r="AD395" s="325"/>
      <c r="AE395" s="325"/>
      <c r="AF395" s="325"/>
      <c r="AG395" s="325"/>
      <c r="AH395" s="325"/>
      <c r="AI395" s="325"/>
      <c r="AJ395" s="325"/>
      <c r="AK395" s="325"/>
      <c r="AL395" s="325"/>
      <c r="AM395" s="325"/>
      <c r="AN395" s="325"/>
      <c r="AO395" s="325"/>
      <c r="AP395" s="325"/>
      <c r="AQ395" s="325"/>
      <c r="AR395" s="325"/>
      <c r="AS395" s="325"/>
      <c r="AT395" s="325"/>
      <c r="AU395" s="325"/>
      <c r="AV395" s="325"/>
      <c r="AW395" s="325"/>
      <c r="AX395" s="325"/>
      <c r="AY395" s="325"/>
      <c r="AZ395" s="325"/>
      <c r="BA395" s="325"/>
      <c r="BB395" s="325"/>
      <c r="BC395" s="325"/>
      <c r="BD395" s="325"/>
      <c r="BE395" s="325"/>
      <c r="BF395" s="325"/>
      <c r="BG395" s="325"/>
      <c r="BH395" s="325"/>
      <c r="BI395" s="325"/>
      <c r="BJ395" s="325"/>
      <c r="BK395" s="325"/>
      <c r="BL395" s="325"/>
      <c r="BM395" s="325"/>
      <c r="BN395" s="325"/>
      <c r="BO395" s="325"/>
      <c r="BP395" s="325"/>
      <c r="BQ395" s="325"/>
      <c r="BR395" s="325"/>
      <c r="BS395" s="325"/>
      <c r="BT395" s="325"/>
      <c r="BU395" s="325"/>
      <c r="BV395" s="325"/>
      <c r="BW395" s="325"/>
      <c r="BX395" s="325"/>
      <c r="BY395" s="325"/>
      <c r="BZ395" s="325"/>
      <c r="CA395" s="325"/>
      <c r="CB395" s="325"/>
      <c r="CC395" s="325"/>
      <c r="CD395" s="325"/>
      <c r="CE395" s="325"/>
      <c r="CF395" s="325"/>
      <c r="CG395" s="325"/>
    </row>
    <row r="396" spans="1:85" ht="12.75" customHeight="1" thickBot="1" x14ac:dyDescent="0.3">
      <c r="A396" s="318"/>
      <c r="B396" s="21"/>
      <c r="C396" s="344"/>
      <c r="D396" s="345" t="str">
        <f>Translations!$B$398</f>
        <v>Soveltamisalakerroin:</v>
      </c>
      <c r="E396" s="479"/>
      <c r="F396" s="803"/>
      <c r="G396" s="1125"/>
      <c r="H396" s="1126"/>
      <c r="I396" s="492" t="s">
        <v>52</v>
      </c>
      <c r="J396" s="480"/>
      <c r="K396" s="481" t="str">
        <f>IF(L396="",AU396,"")</f>
        <v/>
      </c>
      <c r="L396" s="607"/>
      <c r="M396" s="489" t="str">
        <f>IF(AND(E384&lt;&gt;"",OR(F396="",G396="",COUNT(K396:L396)=0)),EUconst_ERR_Incomplete,IF(COUNTIF(BB396:BD396,TRUE)&gt;0,EUconst_ERR_Inconsistent,""))</f>
        <v/>
      </c>
      <c r="N396" s="22"/>
      <c r="O396" s="323"/>
      <c r="P396" s="301"/>
      <c r="Q396" s="23"/>
      <c r="R396" s="325"/>
      <c r="S396" s="10"/>
      <c r="T396" s="48" t="str">
        <f>EUconst_CNTR_ScopeFactor&amp;E384</f>
        <v>ScopeFactor_</v>
      </c>
      <c r="U396" s="248" t="str">
        <f>IF(F396="","",INDEX(ScopeAddress,MATCH(F396,ScopeTiers,0)))</f>
        <v/>
      </c>
      <c r="V396" s="382" t="str">
        <f>V389</f>
        <v/>
      </c>
      <c r="W396" s="325"/>
      <c r="X396" s="325"/>
      <c r="Y396" s="452" t="str">
        <f>IF(E384="","",IF(F396=EUconst_NA,EUconst_NA,INDEX(EUwideConstants!$P$153:$P$180,MATCH(T396,EUwideConstants!$S$153:$S$180,0))))</f>
        <v/>
      </c>
      <c r="Z396" s="473" t="str">
        <f>IF(ISBLANK(F396),"",IF(F396=EUconst_NA,"",INDEX(EUwideConstants!$H:$O,MATCH(T396,EUwideConstants!$S:$S,0),MATCH(F396,CNTR_TierList,0))))</f>
        <v/>
      </c>
      <c r="AA396" s="339" t="str">
        <f>IF(G396=EUwideConstants!$A$88,1,"")</f>
        <v/>
      </c>
      <c r="AB396" s="325"/>
      <c r="AC396" s="376" t="b">
        <f>AND(AC389,Y396&lt;&gt;EUconst_NA)</f>
        <v>0</v>
      </c>
      <c r="AD396" s="325"/>
      <c r="AE396" s="325"/>
      <c r="AF396" s="325"/>
      <c r="AG396" s="330"/>
      <c r="AH396" s="325"/>
      <c r="AI396" s="325"/>
      <c r="AJ396" s="325"/>
      <c r="AK396" s="325"/>
      <c r="AL396" s="325"/>
      <c r="AM396" s="325"/>
      <c r="AN396" s="325"/>
      <c r="AO396" s="325"/>
      <c r="AP396" s="325"/>
      <c r="AQ396" s="325"/>
      <c r="AR396" s="325"/>
      <c r="AS396" s="338">
        <v>1</v>
      </c>
      <c r="AT396" s="325"/>
      <c r="AU396" s="330" t="str">
        <f>IF(G396=EUwideConstants!$A$88,AS396,"")</f>
        <v/>
      </c>
      <c r="AV396" s="376">
        <f>IF(AC396=TRUE,IF(COUNT(K396:L396)=0,0,IF(L396="",K396,L396)),0)</f>
        <v>0</v>
      </c>
      <c r="AW396" s="375" t="b">
        <f>AND(AC396=TRUE,OR(AND(F396&lt;&gt;"",NOT(ISNUMBER(AA396))),L396&lt;&gt;"",F396="",AU396=""))</f>
        <v>0</v>
      </c>
      <c r="AX396" s="457" t="b">
        <f>AND(AC396=TRUE,NOT(AW396))</f>
        <v>0</v>
      </c>
      <c r="AY396" s="325"/>
      <c r="AZ396" s="379" t="b">
        <f>AND(ISNUMBER(AA396),AU396="")</f>
        <v>0</v>
      </c>
      <c r="BA396" s="380" t="b">
        <f>AND(ISNUMBER(AA396),AU396&lt;&gt;AV396)</f>
        <v>0</v>
      </c>
      <c r="BB396" s="325"/>
      <c r="BC396" s="33" t="b">
        <f>AND(F396&lt;&gt;"",OR(COUNTIF(INDEX(ScopeMethods,F396,),G396)=0,AND(AA396&lt;&gt;"",AU396&lt;&gt;AV396)))</f>
        <v>0</v>
      </c>
      <c r="BD396" s="325"/>
      <c r="BE396" s="325"/>
      <c r="BF396" s="325"/>
      <c r="BG396" s="325"/>
      <c r="BH396" s="325"/>
      <c r="BI396" s="325"/>
      <c r="BJ396" s="325"/>
      <c r="BK396" s="325"/>
      <c r="BL396" s="325"/>
      <c r="BM396" s="325"/>
      <c r="BN396" s="325"/>
      <c r="BO396" s="325"/>
      <c r="BP396" s="325"/>
      <c r="BQ396" s="325"/>
      <c r="BR396" s="325"/>
      <c r="BS396" s="325"/>
      <c r="BT396" s="325"/>
      <c r="BU396" s="325"/>
      <c r="BV396" s="325"/>
      <c r="BW396" s="325"/>
      <c r="BX396" s="325"/>
      <c r="BY396" s="325"/>
      <c r="BZ396" s="325"/>
      <c r="CA396" s="325"/>
      <c r="CB396" s="325"/>
      <c r="CC396" s="325"/>
      <c r="CD396" s="325"/>
      <c r="CE396" s="325"/>
      <c r="CF396" s="325"/>
      <c r="CG396" s="325"/>
    </row>
    <row r="397" spans="1:85" ht="12.75" customHeight="1" x14ac:dyDescent="0.25">
      <c r="A397" s="318"/>
      <c r="B397" s="21"/>
      <c r="C397" s="21"/>
      <c r="D397" s="21"/>
      <c r="E397" s="21"/>
      <c r="F397" s="21"/>
      <c r="G397" s="1130" t="str">
        <f>IF(G396="","",INDEX(ScopeMethodsDetails,MATCH(G396,INDEX(ScopeMethodsDetails,,1),0),2))</f>
        <v/>
      </c>
      <c r="H397" s="1131"/>
      <c r="I397" s="1131"/>
      <c r="J397" s="1131"/>
      <c r="K397" s="1131"/>
      <c r="L397" s="1131"/>
      <c r="M397" s="1132"/>
      <c r="N397" s="22"/>
      <c r="O397" s="323"/>
      <c r="P397" s="301"/>
      <c r="Q397" s="23"/>
      <c r="R397" s="23"/>
      <c r="S397" s="325"/>
      <c r="T397" s="325"/>
      <c r="U397" s="325"/>
      <c r="V397" s="325"/>
      <c r="W397" s="325"/>
      <c r="X397" s="325"/>
      <c r="Y397" s="325"/>
      <c r="Z397" s="325"/>
      <c r="AA397" s="325"/>
      <c r="AB397" s="325"/>
      <c r="AC397" s="325"/>
      <c r="AD397" s="325"/>
      <c r="AE397" s="325"/>
      <c r="AF397" s="325"/>
      <c r="AG397" s="325"/>
      <c r="AH397" s="325"/>
      <c r="AI397" s="325"/>
      <c r="AJ397" s="325"/>
      <c r="AK397" s="325"/>
      <c r="AL397" s="325"/>
      <c r="AM397" s="325"/>
      <c r="AN397" s="325"/>
      <c r="AO397" s="325"/>
      <c r="AP397" s="325"/>
      <c r="AQ397" s="325"/>
      <c r="AR397" s="325"/>
      <c r="AS397" s="325"/>
      <c r="AT397" s="325"/>
      <c r="AU397" s="325"/>
      <c r="AV397" s="325"/>
      <c r="AW397" s="325"/>
      <c r="AX397" s="325"/>
      <c r="AY397" s="325"/>
      <c r="AZ397" s="325"/>
      <c r="BA397" s="325"/>
      <c r="BB397" s="325"/>
      <c r="BC397" s="325"/>
      <c r="BD397" s="325"/>
      <c r="BE397" s="325"/>
      <c r="BF397" s="325"/>
      <c r="BG397" s="325"/>
      <c r="BH397" s="325"/>
      <c r="BI397" s="325"/>
      <c r="BJ397" s="325"/>
      <c r="BK397" s="325"/>
      <c r="BL397" s="325"/>
      <c r="BM397" s="325"/>
      <c r="BN397" s="325"/>
      <c r="BO397" s="325"/>
      <c r="BP397" s="325"/>
      <c r="BQ397" s="325"/>
      <c r="BR397" s="325"/>
      <c r="BS397" s="325"/>
      <c r="BT397" s="325"/>
      <c r="BU397" s="325"/>
      <c r="BV397" s="325"/>
      <c r="BW397" s="325"/>
      <c r="BX397" s="325"/>
      <c r="BY397" s="325"/>
      <c r="BZ397" s="325"/>
      <c r="CA397" s="325"/>
      <c r="CB397" s="325"/>
      <c r="CC397" s="325"/>
      <c r="CD397" s="325"/>
      <c r="CE397" s="325"/>
      <c r="CF397" s="325"/>
      <c r="CG397" s="325"/>
    </row>
    <row r="398" spans="1:85" ht="5.15" customHeight="1" x14ac:dyDescent="0.25">
      <c r="A398" s="318"/>
      <c r="C398" s="22"/>
      <c r="D398" s="22"/>
      <c r="E398" s="22"/>
      <c r="F398" s="22"/>
      <c r="G398" s="22"/>
      <c r="H398" s="22"/>
      <c r="I398" s="22"/>
      <c r="J398" s="22"/>
      <c r="K398" s="22"/>
      <c r="L398" s="22"/>
      <c r="O398" s="323"/>
      <c r="P398" s="301"/>
      <c r="Q398" s="23"/>
      <c r="R398" s="23"/>
      <c r="S398" s="325"/>
      <c r="T398" s="325"/>
      <c r="U398" s="325"/>
      <c r="V398" s="325"/>
      <c r="W398" s="325"/>
      <c r="X398" s="325"/>
      <c r="Y398" s="325"/>
      <c r="Z398" s="325"/>
      <c r="AA398" s="325"/>
      <c r="AB398" s="325"/>
      <c r="AC398" s="325"/>
      <c r="AD398" s="325"/>
      <c r="AE398" s="325"/>
      <c r="AF398" s="325"/>
      <c r="AG398" s="325"/>
      <c r="AH398" s="325"/>
      <c r="AI398" s="325"/>
      <c r="AJ398" s="325"/>
      <c r="AK398" s="325"/>
      <c r="AL398" s="325"/>
      <c r="AM398" s="325"/>
      <c r="AN398" s="325"/>
      <c r="AO398" s="325"/>
      <c r="AP398" s="325"/>
      <c r="AQ398" s="325"/>
      <c r="AR398" s="325"/>
      <c r="AS398" s="325"/>
      <c r="AT398" s="325"/>
      <c r="AU398" s="325"/>
      <c r="AV398" s="325"/>
      <c r="AW398" s="325"/>
      <c r="AX398" s="325"/>
      <c r="AY398" s="325"/>
      <c r="AZ398" s="325"/>
      <c r="BA398" s="325"/>
      <c r="BB398" s="325"/>
      <c r="BC398" s="325"/>
      <c r="BD398" s="325"/>
      <c r="BE398" s="325"/>
      <c r="BF398" s="325"/>
      <c r="BG398" s="325"/>
      <c r="BH398" s="325"/>
      <c r="BI398" s="325"/>
      <c r="BJ398" s="325"/>
      <c r="BK398" s="325"/>
      <c r="BL398" s="325"/>
      <c r="BM398" s="325"/>
      <c r="BN398" s="325"/>
      <c r="BO398" s="325"/>
      <c r="BP398" s="325"/>
      <c r="BQ398" s="325"/>
      <c r="BR398" s="325"/>
      <c r="BS398" s="325"/>
      <c r="BT398" s="325"/>
      <c r="BU398" s="325"/>
      <c r="BV398" s="325"/>
      <c r="BW398" s="325"/>
      <c r="BX398" s="325"/>
      <c r="BY398" s="325"/>
      <c r="BZ398" s="325"/>
      <c r="CA398" s="325"/>
      <c r="CB398" s="325"/>
      <c r="CC398" s="325"/>
      <c r="CD398" s="325"/>
      <c r="CE398" s="325"/>
      <c r="CF398" s="325"/>
      <c r="CG398" s="325"/>
    </row>
    <row r="399" spans="1:85" ht="12.75" customHeight="1" x14ac:dyDescent="0.25">
      <c r="A399" s="318"/>
      <c r="C399" s="22"/>
      <c r="D399" s="22"/>
      <c r="E399" s="22"/>
      <c r="F399" s="22"/>
      <c r="G399" s="1133">
        <v>1</v>
      </c>
      <c r="H399" s="1133"/>
      <c r="I399" s="1133">
        <v>2</v>
      </c>
      <c r="J399" s="1133"/>
      <c r="K399" s="1133">
        <v>3</v>
      </c>
      <c r="L399" s="1133"/>
      <c r="O399" s="323"/>
      <c r="P399" s="301"/>
      <c r="Q399" s="23"/>
      <c r="R399" s="23"/>
      <c r="S399" s="325"/>
      <c r="T399" s="325"/>
      <c r="U399" s="325"/>
      <c r="V399" s="325"/>
      <c r="W399" s="325"/>
      <c r="X399" s="325"/>
      <c r="Y399" s="325"/>
      <c r="Z399" s="325"/>
      <c r="AA399" s="325"/>
      <c r="AB399" s="325"/>
      <c r="AC399" s="325"/>
      <c r="AD399" s="325"/>
      <c r="AE399" s="325"/>
      <c r="AF399" s="325"/>
      <c r="AG399" s="325"/>
      <c r="AH399" s="325"/>
      <c r="AI399" s="325"/>
      <c r="AJ399" s="325"/>
      <c r="AK399" s="325"/>
      <c r="AL399" s="325"/>
      <c r="AM399" s="325"/>
      <c r="AN399" s="325"/>
      <c r="AO399" s="325"/>
      <c r="AP399" s="325"/>
      <c r="AQ399" s="325"/>
      <c r="AR399" s="325"/>
      <c r="AS399" s="325"/>
      <c r="AT399" s="325"/>
      <c r="AU399" s="325"/>
      <c r="AV399" s="325"/>
      <c r="AW399" s="325"/>
      <c r="AX399" s="325"/>
      <c r="AY399" s="325"/>
      <c r="AZ399" s="325"/>
      <c r="BA399" s="325"/>
      <c r="BB399" s="325"/>
      <c r="BC399" s="325"/>
      <c r="BD399" s="325"/>
      <c r="BE399" s="325"/>
      <c r="BF399" s="325"/>
      <c r="BG399" s="325"/>
      <c r="BH399" s="325"/>
      <c r="BI399" s="325"/>
      <c r="BJ399" s="325"/>
      <c r="BK399" s="325"/>
      <c r="BL399" s="325"/>
      <c r="BM399" s="325"/>
      <c r="BN399" s="325"/>
      <c r="BO399" s="325"/>
      <c r="BP399" s="325"/>
      <c r="BQ399" s="325"/>
      <c r="BR399" s="325"/>
      <c r="BS399" s="325"/>
      <c r="BT399" s="325"/>
      <c r="BU399" s="325"/>
      <c r="BV399" s="325"/>
      <c r="BW399" s="325"/>
      <c r="BX399" s="325"/>
      <c r="BY399" s="325"/>
      <c r="BZ399" s="325"/>
      <c r="CA399" s="325"/>
      <c r="CB399" s="325"/>
      <c r="CC399" s="325"/>
      <c r="CD399" s="325"/>
      <c r="CE399" s="325"/>
      <c r="CF399" s="325"/>
      <c r="CG399" s="325"/>
    </row>
    <row r="400" spans="1:85" ht="12.75" customHeight="1" x14ac:dyDescent="0.25">
      <c r="A400" s="389"/>
      <c r="B400" s="22"/>
      <c r="C400" s="22"/>
      <c r="D400" s="1134" t="str">
        <f>Translations!$B$372</f>
        <v>CRF-luokka</v>
      </c>
      <c r="E400" s="1134"/>
      <c r="F400" s="1135"/>
      <c r="G400" s="1123"/>
      <c r="H400" s="1124"/>
      <c r="I400" s="1123"/>
      <c r="J400" s="1124"/>
      <c r="K400" s="1123"/>
      <c r="L400" s="1124"/>
      <c r="M400" s="623" t="str">
        <f>IF(AND(E383&lt;&gt;"",COUNTA(G400:L400)=0,AX400=FALSE),EUconst_ERR_Incomplete,"")</f>
        <v/>
      </c>
      <c r="N400" s="22"/>
      <c r="O400" s="323"/>
      <c r="P400" s="301"/>
      <c r="Q400" s="23"/>
      <c r="R400" s="23"/>
      <c r="S400" s="325"/>
      <c r="T400" s="325"/>
      <c r="U400" s="325"/>
      <c r="V400" s="325"/>
      <c r="W400" s="325"/>
      <c r="X400" s="325"/>
      <c r="Y400" s="325"/>
      <c r="Z400" s="325"/>
      <c r="AA400" s="325"/>
      <c r="AB400" s="325"/>
      <c r="AC400" s="325"/>
      <c r="AD400" s="325"/>
      <c r="AE400" s="325"/>
      <c r="AF400" s="325"/>
      <c r="AG400" s="325"/>
      <c r="AH400" s="325"/>
      <c r="AI400" s="325"/>
      <c r="AJ400" s="325"/>
      <c r="AK400" s="325"/>
      <c r="AL400" s="325"/>
      <c r="AM400" s="325"/>
      <c r="AN400" s="325"/>
      <c r="AO400" s="325"/>
      <c r="AP400" s="325"/>
      <c r="AQ400" s="325"/>
      <c r="AR400" s="325"/>
      <c r="AS400" s="325"/>
      <c r="AT400" s="325"/>
      <c r="AU400" s="325"/>
      <c r="AV400" s="325"/>
      <c r="AW400" s="325"/>
      <c r="AX400" s="33" t="b">
        <f>AND(AV396&lt;&gt;"",SUM(AV396=1))</f>
        <v>0</v>
      </c>
      <c r="AY400" s="325"/>
      <c r="AZ400" s="325"/>
      <c r="BA400" s="325"/>
      <c r="BB400" s="325"/>
      <c r="BC400" s="325"/>
      <c r="BD400" s="325"/>
      <c r="BE400" s="325"/>
      <c r="BF400" s="325"/>
      <c r="BG400" s="325"/>
      <c r="BH400" s="325"/>
      <c r="BI400" s="325"/>
      <c r="BJ400" s="325"/>
      <c r="BK400" s="325"/>
      <c r="BL400" s="325"/>
      <c r="BM400" s="325"/>
      <c r="BN400" s="325"/>
      <c r="BO400" s="325"/>
      <c r="BP400" s="325"/>
      <c r="BQ400" s="325"/>
      <c r="BR400" s="325"/>
      <c r="BS400" s="325"/>
      <c r="BT400" s="325"/>
      <c r="BU400" s="325"/>
      <c r="BV400" s="325"/>
      <c r="BW400" s="325"/>
      <c r="BX400" s="325"/>
      <c r="BY400" s="325"/>
      <c r="BZ400" s="325"/>
      <c r="CA400" s="325"/>
      <c r="CB400" s="325"/>
      <c r="CC400" s="325"/>
      <c r="CD400" s="325"/>
      <c r="CE400" s="325"/>
      <c r="CF400" s="325"/>
      <c r="CG400" s="325"/>
    </row>
    <row r="401" spans="1:85" ht="5.15" customHeight="1" x14ac:dyDescent="0.25">
      <c r="A401" s="318"/>
      <c r="B401" s="21"/>
      <c r="C401" s="21"/>
      <c r="D401" s="21"/>
      <c r="E401" s="21"/>
      <c r="F401" s="21"/>
      <c r="G401" s="22"/>
      <c r="H401" s="22"/>
      <c r="I401" s="22"/>
      <c r="J401" s="22"/>
      <c r="K401" s="22"/>
      <c r="L401" s="22"/>
      <c r="M401" s="22"/>
      <c r="N401" s="22"/>
      <c r="O401" s="323"/>
      <c r="P401" s="301"/>
      <c r="Q401" s="23"/>
      <c r="R401" s="23"/>
      <c r="S401" s="325"/>
      <c r="T401" s="325"/>
      <c r="U401" s="325"/>
      <c r="V401" s="325"/>
      <c r="W401" s="325"/>
      <c r="X401" s="325"/>
      <c r="Y401" s="325"/>
      <c r="Z401" s="325"/>
      <c r="AA401" s="325"/>
      <c r="AB401" s="325"/>
      <c r="AC401" s="325"/>
      <c r="AD401" s="325"/>
      <c r="AE401" s="325"/>
      <c r="AF401" s="325"/>
      <c r="AG401" s="325"/>
      <c r="AH401" s="325"/>
      <c r="AI401" s="325"/>
      <c r="AJ401" s="325"/>
      <c r="AK401" s="325"/>
      <c r="AL401" s="325"/>
      <c r="AM401" s="325"/>
      <c r="AN401" s="325"/>
      <c r="AO401" s="325"/>
      <c r="AP401" s="325"/>
      <c r="AQ401" s="325"/>
      <c r="AR401" s="325"/>
      <c r="AS401" s="325"/>
      <c r="AT401" s="325"/>
      <c r="AU401" s="325"/>
      <c r="AV401" s="325"/>
      <c r="AW401" s="325"/>
      <c r="AX401" s="325"/>
      <c r="AY401" s="325"/>
      <c r="AZ401" s="325"/>
      <c r="BA401" s="325"/>
      <c r="BB401" s="325"/>
      <c r="BC401" s="325"/>
      <c r="BD401" s="325"/>
      <c r="BE401" s="325"/>
      <c r="BF401" s="325"/>
      <c r="BG401" s="325"/>
      <c r="BH401" s="325"/>
      <c r="BI401" s="325"/>
      <c r="BJ401" s="325"/>
      <c r="BK401" s="325"/>
      <c r="BL401" s="325"/>
      <c r="BM401" s="325"/>
      <c r="BN401" s="325"/>
      <c r="BO401" s="325"/>
      <c r="BP401" s="325"/>
      <c r="BQ401" s="325"/>
      <c r="BR401" s="325"/>
      <c r="BS401" s="325"/>
      <c r="BT401" s="325"/>
      <c r="BU401" s="325"/>
      <c r="BV401" s="325"/>
      <c r="BW401" s="325"/>
      <c r="BX401" s="325"/>
      <c r="BY401" s="325"/>
      <c r="BZ401" s="325"/>
      <c r="CA401" s="325"/>
      <c r="CB401" s="325"/>
      <c r="CC401" s="325"/>
      <c r="CD401" s="325"/>
      <c r="CE401" s="325"/>
      <c r="CF401" s="325"/>
      <c r="CG401" s="325"/>
    </row>
    <row r="402" spans="1:85" ht="8.15" customHeight="1" x14ac:dyDescent="0.25">
      <c r="A402" s="318"/>
      <c r="B402" s="21"/>
      <c r="C402" s="21"/>
      <c r="D402" s="1116" t="str">
        <f>Translations!$B$304</f>
        <v xml:space="preserve">Lisätiedot: 
tapa, jolla biomassan kestävyys on osoitettu; 
muut polttoainevirtaa koskevat lisätiedot. </v>
      </c>
      <c r="E402" s="1116"/>
      <c r="F402" s="1116"/>
      <c r="G402" s="806"/>
      <c r="H402" s="807"/>
      <c r="I402" s="806"/>
      <c r="J402" s="236"/>
      <c r="K402" s="236"/>
      <c r="L402" s="236"/>
      <c r="M402" s="807"/>
      <c r="N402" s="808"/>
      <c r="O402" s="323"/>
      <c r="P402" s="301"/>
      <c r="Q402" s="23"/>
      <c r="R402" s="23"/>
      <c r="S402" s="388"/>
      <c r="T402" s="325"/>
      <c r="U402" s="325"/>
      <c r="V402" s="325"/>
      <c r="W402" s="325"/>
      <c r="X402" s="325"/>
      <c r="Y402" s="325"/>
      <c r="Z402" s="325"/>
      <c r="AA402" s="325"/>
      <c r="AB402" s="325"/>
      <c r="AC402" s="325"/>
      <c r="AD402" s="325"/>
      <c r="AE402" s="325"/>
      <c r="AF402" s="325"/>
      <c r="AG402" s="325"/>
      <c r="AH402" s="325"/>
      <c r="AI402" s="325"/>
      <c r="AJ402" s="325"/>
      <c r="AK402" s="325"/>
      <c r="AL402" s="325"/>
      <c r="AM402" s="325"/>
      <c r="AN402" s="325"/>
      <c r="AO402" s="325"/>
      <c r="AP402" s="325"/>
      <c r="AQ402" s="325"/>
      <c r="AR402" s="325"/>
      <c r="AS402" s="325"/>
      <c r="AT402" s="325"/>
      <c r="AU402" s="325"/>
      <c r="AV402" s="325"/>
      <c r="AW402" s="325"/>
      <c r="AX402" s="325"/>
      <c r="AY402" s="325"/>
      <c r="AZ402" s="325"/>
      <c r="BA402" s="325"/>
      <c r="BB402" s="325"/>
      <c r="BC402" s="325"/>
      <c r="BD402" s="325"/>
      <c r="BE402" s="325"/>
      <c r="BF402" s="325"/>
      <c r="BG402" s="325"/>
      <c r="BH402" s="325"/>
      <c r="BI402" s="325"/>
      <c r="BJ402" s="325"/>
      <c r="BK402" s="325"/>
      <c r="BL402" s="325"/>
      <c r="BM402" s="325"/>
      <c r="BN402" s="325"/>
      <c r="BO402" s="325"/>
      <c r="BP402" s="325"/>
      <c r="BQ402" s="325"/>
      <c r="BR402" s="325"/>
      <c r="BS402" s="325"/>
      <c r="BT402" s="325"/>
      <c r="BU402" s="325"/>
      <c r="BV402" s="325"/>
      <c r="BW402" s="325"/>
      <c r="BX402" s="325"/>
      <c r="BY402" s="325"/>
      <c r="BZ402" s="325"/>
      <c r="CA402" s="325"/>
      <c r="CB402" s="325"/>
      <c r="CC402" s="325"/>
      <c r="CD402" s="325"/>
      <c r="CE402" s="325"/>
      <c r="CF402" s="325"/>
      <c r="CG402" s="33" t="b">
        <f>CG389</f>
        <v>0</v>
      </c>
    </row>
    <row r="403" spans="1:85" ht="5.15" customHeight="1" x14ac:dyDescent="0.25">
      <c r="A403" s="389"/>
      <c r="B403" s="22"/>
      <c r="C403" s="22"/>
      <c r="D403" s="1116"/>
      <c r="E403" s="1116"/>
      <c r="F403" s="1116"/>
      <c r="G403" s="22"/>
      <c r="H403" s="22"/>
      <c r="I403" s="22"/>
      <c r="J403" s="22"/>
      <c r="K403" s="22"/>
      <c r="L403" s="22"/>
      <c r="M403" s="22"/>
      <c r="N403" s="22"/>
      <c r="O403" s="323"/>
      <c r="P403" s="301"/>
      <c r="Q403" s="23"/>
      <c r="R403" s="23"/>
      <c r="S403" s="325"/>
      <c r="T403" s="325"/>
      <c r="U403" s="325"/>
      <c r="V403" s="325"/>
      <c r="W403" s="325"/>
      <c r="X403" s="325"/>
      <c r="Y403" s="325"/>
      <c r="Z403" s="325"/>
      <c r="AA403" s="325"/>
      <c r="AB403" s="325"/>
      <c r="AC403" s="325"/>
      <c r="AD403" s="325"/>
      <c r="AE403" s="325"/>
      <c r="AF403" s="325"/>
      <c r="AG403" s="325"/>
      <c r="AH403" s="325"/>
      <c r="AI403" s="325"/>
      <c r="AJ403" s="325"/>
      <c r="AK403" s="325"/>
      <c r="AL403" s="325"/>
      <c r="AM403" s="325"/>
      <c r="AN403" s="325"/>
      <c r="AO403" s="325"/>
      <c r="AP403" s="325"/>
      <c r="AQ403" s="325"/>
      <c r="AR403" s="325"/>
      <c r="AS403" s="325"/>
      <c r="AT403" s="325"/>
      <c r="AU403" s="325"/>
      <c r="AV403" s="325"/>
      <c r="AW403" s="325"/>
      <c r="AX403" s="325"/>
      <c r="AY403" s="325"/>
      <c r="AZ403" s="325"/>
      <c r="BA403" s="325"/>
      <c r="BB403" s="325"/>
      <c r="BC403" s="325"/>
      <c r="BD403" s="325"/>
      <c r="BE403" s="325"/>
      <c r="BF403" s="325"/>
      <c r="BG403" s="325"/>
      <c r="BH403" s="325"/>
      <c r="BI403" s="325"/>
      <c r="BJ403" s="325"/>
      <c r="BK403" s="325"/>
      <c r="BL403" s="325"/>
      <c r="BM403" s="325"/>
      <c r="BN403" s="325"/>
      <c r="BO403" s="325"/>
      <c r="BP403" s="325"/>
      <c r="BQ403" s="325"/>
      <c r="BR403" s="325"/>
      <c r="BS403" s="325"/>
      <c r="BT403" s="325"/>
      <c r="BU403" s="325"/>
      <c r="BV403" s="325"/>
      <c r="BW403" s="325"/>
      <c r="BX403" s="325"/>
      <c r="BY403" s="325"/>
      <c r="BZ403" s="325"/>
      <c r="CA403" s="325"/>
      <c r="CB403" s="325"/>
      <c r="CC403" s="325"/>
      <c r="CD403" s="325"/>
      <c r="CE403" s="325"/>
      <c r="CF403" s="325"/>
      <c r="CG403" s="325"/>
    </row>
    <row r="404" spans="1:85" ht="38.5" customHeight="1" x14ac:dyDescent="0.25">
      <c r="A404" s="389"/>
      <c r="B404" s="22"/>
      <c r="C404" s="22"/>
      <c r="D404" s="1116"/>
      <c r="E404" s="1116"/>
      <c r="F404" s="1116"/>
      <c r="G404" s="1146"/>
      <c r="H404" s="1147"/>
      <c r="I404" s="1147"/>
      <c r="J404" s="1147"/>
      <c r="K404" s="1147"/>
      <c r="L404" s="1147"/>
      <c r="M404" s="1147"/>
      <c r="N404" s="1148"/>
      <c r="O404" s="323"/>
      <c r="P404" s="301"/>
      <c r="Q404" s="23"/>
      <c r="R404" s="23"/>
      <c r="S404" s="325"/>
      <c r="T404" s="325"/>
      <c r="U404" s="325"/>
      <c r="V404" s="325"/>
      <c r="W404" s="325"/>
      <c r="X404" s="325"/>
      <c r="Y404" s="325"/>
      <c r="Z404" s="325"/>
      <c r="AA404" s="325"/>
      <c r="AB404" s="325"/>
      <c r="AC404" s="325"/>
      <c r="AD404" s="325"/>
      <c r="AE404" s="325"/>
      <c r="AF404" s="325"/>
      <c r="AG404" s="325"/>
      <c r="AH404" s="325"/>
      <c r="AI404" s="325"/>
      <c r="AJ404" s="325"/>
      <c r="AK404" s="325"/>
      <c r="AL404" s="325"/>
      <c r="AM404" s="325"/>
      <c r="AN404" s="325"/>
      <c r="AO404" s="325"/>
      <c r="AP404" s="325"/>
      <c r="AQ404" s="325"/>
      <c r="AR404" s="325"/>
      <c r="AS404" s="325"/>
      <c r="AT404" s="325"/>
      <c r="AU404" s="325"/>
      <c r="AV404" s="325"/>
      <c r="AW404" s="325"/>
      <c r="AX404" s="325"/>
      <c r="AY404" s="325"/>
      <c r="AZ404" s="325"/>
      <c r="BA404" s="325"/>
      <c r="BB404" s="325"/>
      <c r="BC404" s="325"/>
      <c r="BD404" s="325"/>
      <c r="BE404" s="325"/>
      <c r="BF404" s="325"/>
      <c r="BG404" s="325"/>
      <c r="BH404" s="325"/>
      <c r="BI404" s="325"/>
      <c r="BJ404" s="325"/>
      <c r="BK404" s="325"/>
      <c r="BL404" s="325"/>
      <c r="BM404" s="325"/>
      <c r="BN404" s="325"/>
      <c r="BO404" s="325"/>
      <c r="BP404" s="325"/>
      <c r="BQ404" s="325"/>
      <c r="BR404" s="325"/>
      <c r="BS404" s="325"/>
      <c r="BT404" s="325"/>
      <c r="BU404" s="325"/>
      <c r="BV404" s="325"/>
      <c r="BW404" s="325"/>
      <c r="BX404" s="325"/>
      <c r="BY404" s="325"/>
      <c r="BZ404" s="325"/>
      <c r="CA404" s="325"/>
      <c r="CB404" s="325"/>
      <c r="CC404" s="325"/>
      <c r="CD404" s="325"/>
      <c r="CE404" s="325"/>
      <c r="CF404" s="325"/>
      <c r="CG404" s="33" t="b">
        <f>CG402</f>
        <v>0</v>
      </c>
    </row>
    <row r="405" spans="1:85" ht="12.75" customHeight="1" thickBot="1" x14ac:dyDescent="0.3">
      <c r="A405" s="318"/>
      <c r="B405" s="22"/>
      <c r="C405" s="319"/>
      <c r="D405" s="320"/>
      <c r="E405" s="321"/>
      <c r="F405" s="319"/>
      <c r="G405" s="322"/>
      <c r="H405" s="322"/>
      <c r="I405" s="322"/>
      <c r="J405" s="322"/>
      <c r="K405" s="322"/>
      <c r="L405" s="322"/>
      <c r="M405" s="322"/>
      <c r="N405" s="322"/>
      <c r="O405" s="323"/>
      <c r="P405" s="301"/>
      <c r="Q405" s="23"/>
      <c r="R405" s="23"/>
      <c r="S405" s="41"/>
      <c r="T405" s="41"/>
      <c r="U405" s="324"/>
      <c r="V405" s="41"/>
      <c r="W405" s="41"/>
      <c r="X405" s="324"/>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41"/>
      <c r="BM405" s="325"/>
      <c r="BN405" s="325"/>
      <c r="BO405" s="325"/>
      <c r="BP405" s="325"/>
      <c r="BQ405" s="325"/>
      <c r="BR405" s="325"/>
      <c r="BS405" s="325"/>
      <c r="BT405" s="325"/>
      <c r="BU405" s="41"/>
      <c r="BV405" s="41"/>
      <c r="BW405" s="41"/>
      <c r="BX405" s="41"/>
      <c r="BY405" s="41"/>
      <c r="BZ405" s="41"/>
      <c r="CA405" s="41"/>
      <c r="CB405" s="41"/>
      <c r="CC405" s="41"/>
      <c r="CD405" s="41"/>
      <c r="CE405" s="41"/>
      <c r="CF405" s="41"/>
      <c r="CG405" s="41"/>
    </row>
    <row r="406" spans="1:85" ht="12.75" customHeight="1" thickBot="1" x14ac:dyDescent="0.3">
      <c r="A406" s="326"/>
      <c r="B406" s="22"/>
      <c r="C406" s="22"/>
      <c r="D406" s="327"/>
      <c r="E406" s="328"/>
      <c r="F406" s="22"/>
      <c r="G406" s="1"/>
      <c r="H406" s="1"/>
      <c r="I406" s="1"/>
      <c r="J406" s="1"/>
      <c r="K406" s="22"/>
      <c r="L406" s="1"/>
      <c r="M406" s="1"/>
      <c r="N406" s="1"/>
      <c r="O406" s="323"/>
      <c r="P406" s="301"/>
      <c r="Q406" s="23"/>
      <c r="R406" s="23"/>
      <c r="S406" s="2"/>
      <c r="T406" s="20" t="str">
        <f>IF(ISBLANK(E407),"",MATCH(E407,CNTR_SourceStreamNames,0))</f>
        <v/>
      </c>
      <c r="U406" s="329" t="str">
        <f>IF(ISBLANK(E407),"",INDEX('B_Polttoainevirtojen tiedot'!$D$67:$D$91,MATCH(E407,CNTR_SourceStreamNames,0)))</f>
        <v/>
      </c>
      <c r="V406" s="60"/>
      <c r="W406" s="37"/>
      <c r="X406" s="37"/>
      <c r="Y406" s="37"/>
      <c r="Z406" s="41"/>
      <c r="AA406" s="41"/>
      <c r="AB406" s="41"/>
      <c r="AC406" s="41"/>
      <c r="AD406" s="41"/>
      <c r="AE406" s="41"/>
      <c r="AF406" s="41"/>
      <c r="AG406" s="41"/>
      <c r="AH406" s="41"/>
      <c r="AI406" s="41"/>
      <c r="AJ406" s="41"/>
      <c r="AK406" s="23"/>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37"/>
      <c r="BK406" s="37"/>
      <c r="BL406" s="37"/>
      <c r="BM406" s="37"/>
      <c r="BN406" s="37"/>
      <c r="BO406" s="37"/>
      <c r="BP406" s="37"/>
      <c r="BQ406" s="37"/>
      <c r="BR406" s="37"/>
      <c r="BS406" s="37"/>
      <c r="BT406" s="37"/>
      <c r="BU406" s="37"/>
      <c r="BV406" s="37"/>
      <c r="BW406" s="37"/>
      <c r="BX406" s="37"/>
      <c r="BY406" s="37"/>
      <c r="BZ406" s="37"/>
      <c r="CA406" s="37"/>
      <c r="CB406" s="37"/>
      <c r="CC406" s="37"/>
      <c r="CD406" s="37"/>
      <c r="CE406" s="37"/>
      <c r="CF406" s="37"/>
      <c r="CG406" s="330" t="s">
        <v>94</v>
      </c>
    </row>
    <row r="407" spans="1:85" ht="15" customHeight="1" thickBot="1" x14ac:dyDescent="0.3">
      <c r="A407" s="331">
        <f>C407</f>
        <v>16</v>
      </c>
      <c r="B407" s="21"/>
      <c r="C407" s="332">
        <f>C383+1</f>
        <v>16</v>
      </c>
      <c r="D407" s="21"/>
      <c r="E407" s="1117"/>
      <c r="F407" s="1118"/>
      <c r="G407" s="1118"/>
      <c r="H407" s="1118"/>
      <c r="I407" s="1118"/>
      <c r="J407" s="1119"/>
      <c r="K407" s="1138" t="str">
        <f>IF(INDEX('B_Polttoainevirtojen tiedot'!$K$100:$K$124,MATCH(U406,'B_Polttoainevirtojen tiedot'!$D$100:$D$124,0))&gt;0,INDEX('B_Polttoainevirtojen tiedot'!$K$100:$K$124,MATCH(U406,'B_Polttoainevirtojen tiedot'!$D$100:$D$124,0)),"")</f>
        <v/>
      </c>
      <c r="L407" s="1139"/>
      <c r="M407" s="328" t="str">
        <f>Translations!$B$374</f>
        <v>CO2 fossiilinen:</v>
      </c>
      <c r="N407" s="401" t="str">
        <f>IF(E408="","",BG413)</f>
        <v/>
      </c>
      <c r="O407" s="333" t="str">
        <f>EUconst_tCO2</f>
        <v>tCO2</v>
      </c>
      <c r="P407" s="610" t="str">
        <f>IF(AND(E407&lt;&gt;"",COUNTIF(P408:$P$811,"PRINT")=0),"PRINT","")</f>
        <v/>
      </c>
      <c r="Q407" s="335" t="str">
        <f>EUconst_SumCO2</f>
        <v>SUM_CO2</v>
      </c>
      <c r="R407" s="23"/>
      <c r="S407" s="2"/>
      <c r="T407" s="2"/>
      <c r="U407" s="2"/>
      <c r="V407" s="60"/>
      <c r="W407" s="37"/>
      <c r="X407" s="41"/>
      <c r="Y407" s="41"/>
      <c r="Z407" s="41"/>
      <c r="AA407" s="41"/>
      <c r="AB407" s="41"/>
      <c r="AC407" s="41"/>
      <c r="AD407" s="41"/>
      <c r="AE407" s="41"/>
      <c r="AF407" s="41"/>
      <c r="AG407" s="41"/>
      <c r="AH407" s="41"/>
      <c r="AI407" s="337"/>
      <c r="AJ407" s="337"/>
      <c r="AK407" s="337"/>
      <c r="AL407" s="337"/>
      <c r="AM407" s="337"/>
      <c r="AN407" s="337"/>
      <c r="AO407" s="337"/>
      <c r="AP407" s="337"/>
      <c r="AQ407" s="337"/>
      <c r="AR407" s="337"/>
      <c r="AS407" s="337"/>
      <c r="AT407" s="337"/>
      <c r="AU407" s="337"/>
      <c r="AV407" s="337"/>
      <c r="AW407" s="337"/>
      <c r="AX407" s="337"/>
      <c r="AY407" s="337"/>
      <c r="AZ407" s="337"/>
      <c r="BA407" s="337"/>
      <c r="BB407" s="337"/>
      <c r="BC407" s="337"/>
      <c r="BD407" s="337"/>
      <c r="BE407" s="337"/>
      <c r="BF407" s="337"/>
      <c r="BG407" s="337"/>
      <c r="BH407" s="337"/>
      <c r="BI407" s="483" t="str">
        <f>IF(E407="","",E407)</f>
        <v/>
      </c>
      <c r="BJ407" s="338" t="str">
        <f>IF(F413="","",F413)</f>
        <v/>
      </c>
      <c r="BK407" s="485">
        <f>AV413</f>
        <v>0</v>
      </c>
      <c r="BL407" s="485">
        <f>IF(BK407="","",BK407*(1-BP407))</f>
        <v>0</v>
      </c>
      <c r="BM407" s="338" t="str">
        <f>AJ413</f>
        <v/>
      </c>
      <c r="BN407" s="338" t="str">
        <f>IF(F420="","",F420)</f>
        <v/>
      </c>
      <c r="BO407" s="483" t="str">
        <f>IF(G420="","",G420)</f>
        <v/>
      </c>
      <c r="BP407" s="484">
        <f>AV420</f>
        <v>0</v>
      </c>
      <c r="BQ407" s="338" t="str">
        <f>IF(F416="","",F416)</f>
        <v/>
      </c>
      <c r="BR407" s="484">
        <f>AV416</f>
        <v>0</v>
      </c>
      <c r="BS407" s="484" t="str">
        <f>AJ416</f>
        <v/>
      </c>
      <c r="BT407" s="338" t="str">
        <f>IF(F415="","",F415)</f>
        <v/>
      </c>
      <c r="BU407" s="484">
        <f>IF(F415=EUconst_NA,"",AV415)</f>
        <v>0</v>
      </c>
      <c r="BV407" s="484" t="str">
        <f>AJ415</f>
        <v/>
      </c>
      <c r="BW407" s="338" t="str">
        <f>IF(F417="","",F417)</f>
        <v/>
      </c>
      <c r="BX407" s="484">
        <f>AV417</f>
        <v>0</v>
      </c>
      <c r="BY407" s="338" t="str">
        <f>IF(F418="","",F418)</f>
        <v/>
      </c>
      <c r="BZ407" s="484">
        <f>AV418</f>
        <v>0</v>
      </c>
      <c r="CA407" s="485" t="str">
        <f>N407</f>
        <v/>
      </c>
      <c r="CB407" s="485" t="str">
        <f>N408</f>
        <v/>
      </c>
      <c r="CC407" s="485" t="str">
        <f>R410</f>
        <v/>
      </c>
      <c r="CD407" s="485" t="str">
        <f>R412</f>
        <v/>
      </c>
      <c r="CE407" s="485" t="str">
        <f>R413</f>
        <v/>
      </c>
      <c r="CF407" s="37"/>
      <c r="CG407" s="339" t="b">
        <v>0</v>
      </c>
    </row>
    <row r="408" spans="1:85" ht="15" customHeight="1" thickBot="1" x14ac:dyDescent="0.3">
      <c r="A408" s="318"/>
      <c r="B408" s="21"/>
      <c r="C408" s="21"/>
      <c r="D408" s="21"/>
      <c r="E408" s="1127" t="str">
        <f>IF(ISBLANK(E407),"",IF(INDEX('B_Polttoainevirtojen tiedot'!$E$67:$E$91,MATCH(U406,'B_Polttoainevirtojen tiedot'!$D$67:$D$91,0))&gt;0,INDEX('B_Polttoainevirtojen tiedot'!$E$67:$E$91,MATCH(U406,'B_Polttoainevirtojen tiedot'!$D$67:$D$91,0)),""))</f>
        <v/>
      </c>
      <c r="F408" s="1128"/>
      <c r="G408" s="1128"/>
      <c r="H408" s="1128"/>
      <c r="I408" s="1128"/>
      <c r="J408" s="1129"/>
      <c r="K408" s="1138" t="str">
        <f>IF(INDEX('B_Polttoainevirtojen tiedot'!$M$100:$M$124,MATCH(U406,'B_Polttoainevirtojen tiedot'!$D$100:$D$124,0))&gt;0,INDEX('B_Polttoainevirtojen tiedot'!$M$100:$M$124,MATCH(U406,'B_Polttoainevirtojen tiedot'!$D$100:$D$124,0)),"")</f>
        <v/>
      </c>
      <c r="L408" s="1139"/>
      <c r="M408" s="340" t="str">
        <f>Translations!$B$375</f>
        <v>CO2 bio:</v>
      </c>
      <c r="N408" s="482" t="str">
        <f>IF(E408="","",BG415)</f>
        <v/>
      </c>
      <c r="O408" s="341" t="str">
        <f>EUconst_tCO2</f>
        <v>tCO2</v>
      </c>
      <c r="P408" s="301"/>
      <c r="Q408" s="335" t="str">
        <f>EUconst_SumBioCO2</f>
        <v>SUM_bioCO2</v>
      </c>
      <c r="R408" s="23"/>
      <c r="S408" s="2"/>
      <c r="T408" s="2"/>
      <c r="U408" s="2"/>
      <c r="V408" s="60"/>
      <c r="W408" s="37"/>
      <c r="X408" s="41"/>
      <c r="Y408" s="20" t="str">
        <f>Translations!$B$143</f>
        <v>Määrittämistasot</v>
      </c>
      <c r="Z408" s="325"/>
      <c r="AA408" s="325"/>
      <c r="AB408" s="325"/>
      <c r="AC408" s="325"/>
      <c r="AD408" s="325"/>
      <c r="AE408" s="20" t="s">
        <v>95</v>
      </c>
      <c r="AF408" s="41"/>
      <c r="AG408" s="342"/>
      <c r="AH408" s="325"/>
      <c r="AI408" s="325"/>
      <c r="AJ408" s="342"/>
      <c r="AK408" s="342"/>
      <c r="AL408" s="337"/>
      <c r="AM408" s="337"/>
      <c r="AN408" s="337"/>
      <c r="AO408" s="337"/>
      <c r="AP408" s="337"/>
      <c r="AQ408" s="20" t="s">
        <v>96</v>
      </c>
      <c r="AR408" s="343"/>
      <c r="AS408" s="343"/>
      <c r="AT408" s="325"/>
      <c r="AU408" s="325"/>
      <c r="AV408" s="325"/>
      <c r="AW408" s="325"/>
      <c r="AX408" s="325"/>
      <c r="AY408" s="325"/>
      <c r="AZ408" s="20" t="s">
        <v>97</v>
      </c>
      <c r="BA408" s="325"/>
      <c r="BB408" s="325"/>
      <c r="BC408" s="325"/>
      <c r="BD408" s="325"/>
      <c r="BE408" s="325"/>
      <c r="BF408" s="20" t="s">
        <v>98</v>
      </c>
      <c r="BG408" s="325"/>
      <c r="BH408" s="325"/>
      <c r="BI408" s="20" t="s">
        <v>99</v>
      </c>
      <c r="BJ408" s="338" t="str">
        <f>Translations!$B$376</f>
        <v>RFA-määrittämistaso</v>
      </c>
      <c r="BK408" s="338" t="str">
        <f>Translations!$B$377</f>
        <v>RFA</v>
      </c>
      <c r="BL408" s="338" t="str">
        <f>Translations!$B$378</f>
        <v>RFA (SF:n jälkeen)</v>
      </c>
      <c r="BM408" s="338" t="str">
        <f>Translations!$B$379</f>
        <v>RFA-yksikkö</v>
      </c>
      <c r="BN408" s="338" t="str">
        <f>Translations!$B$380</f>
        <v>SF-määrittämistaso</v>
      </c>
      <c r="BO408" s="338" t="str">
        <f>Translations!$B$380</f>
        <v>SF-määrittämistaso</v>
      </c>
      <c r="BP408" s="338" t="str">
        <f>Translations!$B$381</f>
        <v>SF</v>
      </c>
      <c r="BQ408" s="338" t="str">
        <f>Translations!$B$382</f>
        <v>EF-määrittämistaso</v>
      </c>
      <c r="BR408" s="338" t="str">
        <f>Translations!$B$383</f>
        <v>EF</v>
      </c>
      <c r="BS408" s="338" t="str">
        <f>Translations!$B$384</f>
        <v>EF-yksikkö</v>
      </c>
      <c r="BT408" s="338" t="str">
        <f>Translations!$B$385</f>
        <v>UCF-määrittämistaso</v>
      </c>
      <c r="BU408" s="338" t="str">
        <f>Translations!$B$386</f>
        <v>UCF</v>
      </c>
      <c r="BV408" s="338" t="str">
        <f>Translations!$B$387</f>
        <v>UCF-yksikkö</v>
      </c>
      <c r="BW408" s="338" t="str">
        <f>Translations!$B$388</f>
        <v>Bio-määrittämistaso</v>
      </c>
      <c r="BX408" s="338" t="s">
        <v>100</v>
      </c>
      <c r="BY408" s="338" t="str">
        <f>Translations!$B$389</f>
        <v>NonSustBio-määrittämistaso</v>
      </c>
      <c r="BZ408" s="338" t="s">
        <v>101</v>
      </c>
      <c r="CA408" s="338" t="str">
        <f>Translations!$B$390</f>
        <v>CO2 fossil</v>
      </c>
      <c r="CB408" s="338" t="str">
        <f>Translations!$B$391</f>
        <v>CO2 bio</v>
      </c>
      <c r="CC408" s="338" t="str">
        <f>Translations!$B$392</f>
        <v>CO2 non-sust</v>
      </c>
      <c r="CD408" s="338" t="s">
        <v>102</v>
      </c>
      <c r="CE408" s="338" t="s">
        <v>103</v>
      </c>
      <c r="CF408" s="325"/>
      <c r="CG408" s="325"/>
    </row>
    <row r="409" spans="1:85" ht="5.15" customHeight="1" thickBot="1" x14ac:dyDescent="0.3">
      <c r="A409" s="318"/>
      <c r="B409" s="21"/>
      <c r="C409" s="21"/>
      <c r="D409" s="21"/>
      <c r="E409" s="21"/>
      <c r="F409" s="21"/>
      <c r="G409" s="21"/>
      <c r="H409" s="22"/>
      <c r="I409" s="22"/>
      <c r="J409" s="22"/>
      <c r="K409" s="22"/>
      <c r="L409" s="22"/>
      <c r="M409" s="22"/>
      <c r="N409" s="22"/>
      <c r="O409" s="323"/>
      <c r="P409" s="301"/>
      <c r="Q409" s="23"/>
      <c r="R409" s="23"/>
      <c r="S409" s="2"/>
      <c r="T409" s="2"/>
      <c r="U409" s="2"/>
      <c r="V409" s="60"/>
      <c r="W409" s="325"/>
      <c r="X409" s="325"/>
      <c r="Y409" s="23"/>
      <c r="Z409" s="325"/>
      <c r="AA409" s="325"/>
      <c r="AB409" s="325"/>
      <c r="AC409" s="325"/>
      <c r="AD409" s="325"/>
      <c r="AE409" s="325"/>
      <c r="AF409" s="41"/>
      <c r="AG409" s="325"/>
      <c r="AH409" s="325"/>
      <c r="AI409" s="325"/>
      <c r="AJ409" s="342"/>
      <c r="AK409" s="342"/>
      <c r="AL409" s="337"/>
      <c r="AM409" s="337"/>
      <c r="AN409" s="337"/>
      <c r="AO409" s="337"/>
      <c r="AP409" s="337"/>
      <c r="AQ409" s="325"/>
      <c r="AR409" s="325"/>
      <c r="AS409" s="325"/>
      <c r="AT409" s="325"/>
      <c r="AU409" s="325"/>
      <c r="AV409" s="325"/>
      <c r="AW409" s="325"/>
      <c r="AX409" s="325"/>
      <c r="AY409" s="325"/>
      <c r="AZ409" s="325"/>
      <c r="BA409" s="325"/>
      <c r="BB409" s="325"/>
      <c r="BC409" s="325"/>
      <c r="BD409" s="325"/>
      <c r="BE409" s="325"/>
      <c r="BF409" s="325"/>
      <c r="BG409" s="325"/>
      <c r="BH409" s="325"/>
      <c r="BI409" s="325"/>
      <c r="BJ409" s="325"/>
      <c r="BK409" s="325"/>
      <c r="BL409" s="325"/>
      <c r="BM409" s="325"/>
      <c r="BN409" s="325"/>
      <c r="BO409" s="325"/>
      <c r="BP409" s="325"/>
      <c r="BQ409" s="325"/>
      <c r="BR409" s="325"/>
      <c r="BS409" s="325"/>
      <c r="BT409" s="325"/>
      <c r="BU409" s="325"/>
      <c r="BV409" s="325"/>
      <c r="BW409" s="325"/>
      <c r="BX409" s="325"/>
      <c r="BY409" s="325"/>
      <c r="BZ409" s="325"/>
      <c r="CA409" s="325"/>
      <c r="CB409" s="325"/>
      <c r="CC409" s="325"/>
      <c r="CD409" s="325"/>
      <c r="CE409" s="325"/>
      <c r="CF409" s="325"/>
      <c r="CG409" s="325"/>
    </row>
    <row r="410" spans="1:85" ht="12.75" customHeight="1" thickBot="1" x14ac:dyDescent="0.3">
      <c r="A410" s="318"/>
      <c r="B410" s="21"/>
      <c r="C410" s="21"/>
      <c r="D410" s="21"/>
      <c r="E410" s="1140" t="str">
        <f>IF(E407="","",HYPERLINK("#JUMP_E_Top",EUconst_FurtherGuidancePoint1))</f>
        <v/>
      </c>
      <c r="F410" s="1140"/>
      <c r="G410" s="1140"/>
      <c r="H410" s="1140"/>
      <c r="I410" s="1140"/>
      <c r="J410" s="1140"/>
      <c r="K410" s="1140"/>
      <c r="L410" s="1140"/>
      <c r="M410" s="1140"/>
      <c r="N410" s="22"/>
      <c r="O410" s="323"/>
      <c r="P410" s="301"/>
      <c r="Q410" s="335" t="str">
        <f>EUconst_SumNonSustBioCO2</f>
        <v>SUM_bioNonSustCO2</v>
      </c>
      <c r="R410" s="500" t="str">
        <f>IF(E408="","",BG416)</f>
        <v/>
      </c>
      <c r="S410" s="2"/>
      <c r="T410" s="2"/>
      <c r="U410" s="2"/>
      <c r="V410" s="325"/>
      <c r="W410" s="325"/>
      <c r="X410" s="325"/>
      <c r="Y410" s="41"/>
      <c r="Z410" s="325"/>
      <c r="AA410" s="325"/>
      <c r="AB410" s="325"/>
      <c r="AC410" s="325"/>
      <c r="AD410" s="325"/>
      <c r="AE410" s="325"/>
      <c r="AF410" s="41"/>
      <c r="AG410" s="325"/>
      <c r="AH410" s="325"/>
      <c r="AI410" s="325"/>
      <c r="AJ410" s="342"/>
      <c r="AK410" s="342"/>
      <c r="AL410" s="337"/>
      <c r="AM410" s="337"/>
      <c r="AN410" s="337"/>
      <c r="AO410" s="337"/>
      <c r="AP410" s="337"/>
      <c r="AQ410" s="325"/>
      <c r="AR410" s="325"/>
      <c r="AS410" s="325"/>
      <c r="AT410" s="325"/>
      <c r="AU410" s="325"/>
      <c r="AV410" s="325"/>
      <c r="AW410" s="325"/>
      <c r="AX410" s="325"/>
      <c r="AY410" s="325"/>
      <c r="AZ410" s="325"/>
      <c r="BA410" s="325"/>
      <c r="BB410" s="325"/>
      <c r="BC410" s="325"/>
      <c r="BD410" s="325"/>
      <c r="BE410" s="325"/>
      <c r="BF410" s="325"/>
      <c r="BG410" s="325"/>
      <c r="BH410" s="325"/>
      <c r="BI410" s="20" t="s">
        <v>104</v>
      </c>
      <c r="BJ410" s="343"/>
      <c r="BK410" s="483" t="str">
        <f>IF(G424="","",G424)</f>
        <v/>
      </c>
      <c r="BL410" s="483" t="str">
        <f>IF(I424="","",I424)</f>
        <v/>
      </c>
      <c r="BM410" s="483" t="str">
        <f>IF(K424="","",K424)</f>
        <v/>
      </c>
      <c r="BN410" s="325"/>
      <c r="BO410" s="325"/>
      <c r="BP410" s="325"/>
      <c r="BQ410" s="325"/>
      <c r="BR410" s="325"/>
      <c r="BS410" s="325"/>
      <c r="BT410" s="330"/>
      <c r="BU410" s="325"/>
      <c r="BV410" s="325"/>
      <c r="BW410" s="325"/>
      <c r="BX410" s="325"/>
      <c r="BY410" s="325"/>
      <c r="BZ410" s="325"/>
      <c r="CA410" s="325"/>
      <c r="CB410" s="325"/>
      <c r="CC410" s="325"/>
      <c r="CD410" s="325"/>
      <c r="CE410" s="325"/>
      <c r="CF410" s="325"/>
      <c r="CG410" s="325"/>
    </row>
    <row r="411" spans="1:85" ht="5.15" customHeight="1" thickBot="1" x14ac:dyDescent="0.3">
      <c r="A411" s="318"/>
      <c r="B411" s="21"/>
      <c r="C411" s="21"/>
      <c r="D411" s="21"/>
      <c r="E411" s="21"/>
      <c r="F411" s="21"/>
      <c r="G411" s="21"/>
      <c r="H411" s="22"/>
      <c r="I411" s="22"/>
      <c r="J411" s="22"/>
      <c r="K411" s="22"/>
      <c r="L411" s="22"/>
      <c r="M411" s="22"/>
      <c r="N411" s="22"/>
      <c r="O411" s="323"/>
      <c r="P411" s="259"/>
      <c r="Q411" s="2"/>
      <c r="R411" s="259"/>
      <c r="S411" s="2"/>
      <c r="T411" s="2"/>
      <c r="U411" s="2"/>
      <c r="V411" s="325"/>
      <c r="W411" s="325"/>
      <c r="X411" s="325"/>
      <c r="Y411" s="23"/>
      <c r="Z411" s="325"/>
      <c r="AA411" s="325"/>
      <c r="AB411" s="325"/>
      <c r="AC411" s="325"/>
      <c r="AD411" s="325"/>
      <c r="AE411" s="325"/>
      <c r="AF411" s="41"/>
      <c r="AG411" s="325"/>
      <c r="AH411" s="325"/>
      <c r="AI411" s="325"/>
      <c r="AJ411" s="342"/>
      <c r="AK411" s="342"/>
      <c r="AL411" s="337"/>
      <c r="AM411" s="337"/>
      <c r="AN411" s="337"/>
      <c r="AO411" s="337"/>
      <c r="AP411" s="337"/>
      <c r="AQ411" s="325"/>
      <c r="AR411" s="325"/>
      <c r="AS411" s="325"/>
      <c r="AT411" s="325"/>
      <c r="AU411" s="325"/>
      <c r="AV411" s="325"/>
      <c r="AW411" s="325"/>
      <c r="AX411" s="325"/>
      <c r="AY411" s="325"/>
      <c r="AZ411" s="325"/>
      <c r="BA411" s="325"/>
      <c r="BB411" s="325"/>
      <c r="BC411" s="325"/>
      <c r="BD411" s="325"/>
      <c r="BE411" s="325"/>
      <c r="BF411" s="325"/>
      <c r="BG411" s="325"/>
      <c r="BH411" s="325"/>
      <c r="BI411" s="325"/>
      <c r="BJ411" s="325"/>
      <c r="BK411" s="325"/>
      <c r="BL411" s="325"/>
      <c r="BM411" s="325"/>
      <c r="BN411" s="325"/>
      <c r="BO411" s="325"/>
      <c r="BP411" s="325"/>
      <c r="BQ411" s="325"/>
      <c r="BR411" s="325"/>
      <c r="BS411" s="325"/>
      <c r="BT411" s="325"/>
      <c r="BU411" s="325"/>
      <c r="BV411" s="325"/>
      <c r="BW411" s="325"/>
      <c r="BX411" s="325"/>
      <c r="BY411" s="325"/>
      <c r="BZ411" s="325"/>
      <c r="CA411" s="325"/>
      <c r="CB411" s="325"/>
      <c r="CC411" s="325"/>
      <c r="CD411" s="325"/>
      <c r="CE411" s="325"/>
      <c r="CF411" s="325"/>
      <c r="CG411" s="325"/>
    </row>
    <row r="412" spans="1:85" ht="12.75" customHeight="1" thickBot="1" x14ac:dyDescent="0.3">
      <c r="A412" s="318"/>
      <c r="B412" s="21"/>
      <c r="C412" s="21"/>
      <c r="D412" s="21"/>
      <c r="E412" s="21"/>
      <c r="F412" s="347" t="str">
        <f>Translations!$B$127</f>
        <v>Määrittämistaso</v>
      </c>
      <c r="G412" s="1141" t="str">
        <f>Translations!$B$393</f>
        <v>määrittämistason kuvaus</v>
      </c>
      <c r="H412" s="1141"/>
      <c r="I412" s="1142" t="str">
        <f>Translations!$B$394</f>
        <v>Yksikkö</v>
      </c>
      <c r="J412" s="1142"/>
      <c r="K412" s="1142" t="str">
        <f>Translations!$B$395</f>
        <v>Arvo</v>
      </c>
      <c r="L412" s="1142"/>
      <c r="M412" s="327" t="str">
        <f>Translations!$B$396</f>
        <v>virhe</v>
      </c>
      <c r="N412" s="22"/>
      <c r="O412" s="323"/>
      <c r="P412" s="611"/>
      <c r="Q412" s="335" t="str">
        <f>EUconst_SumEnergyIN</f>
        <v>SUM_EnergyIN</v>
      </c>
      <c r="R412" s="501" t="str">
        <f>IF(E408="","",BG417)</f>
        <v/>
      </c>
      <c r="S412" s="325"/>
      <c r="T412" s="325"/>
      <c r="U412" s="325"/>
      <c r="V412" s="336" t="s">
        <v>105</v>
      </c>
      <c r="W412" s="325"/>
      <c r="X412" s="325"/>
      <c r="Y412" s="23" t="s">
        <v>106</v>
      </c>
      <c r="Z412" s="23" t="s">
        <v>107</v>
      </c>
      <c r="AA412" s="325"/>
      <c r="AB412" s="325"/>
      <c r="AC412" s="343" t="s">
        <v>108</v>
      </c>
      <c r="AD412" s="325"/>
      <c r="AE412" s="325"/>
      <c r="AF412" s="325" t="s">
        <v>109</v>
      </c>
      <c r="AG412" s="325" t="s">
        <v>110</v>
      </c>
      <c r="AH412" s="23" t="s">
        <v>111</v>
      </c>
      <c r="AI412" s="342" t="s">
        <v>112</v>
      </c>
      <c r="AJ412" s="342" t="s">
        <v>113</v>
      </c>
      <c r="AK412" s="348" t="s">
        <v>114</v>
      </c>
      <c r="AL412" s="337"/>
      <c r="AM412" s="337"/>
      <c r="AN412" s="337"/>
      <c r="AO412" s="337"/>
      <c r="AP412" s="337"/>
      <c r="AQ412" s="325"/>
      <c r="AR412" s="325" t="s">
        <v>109</v>
      </c>
      <c r="AS412" s="325" t="s">
        <v>110</v>
      </c>
      <c r="AT412" s="349" t="s">
        <v>115</v>
      </c>
      <c r="AU412" s="342" t="s">
        <v>116</v>
      </c>
      <c r="AV412" s="342" t="s">
        <v>117</v>
      </c>
      <c r="AW412" s="348" t="s">
        <v>114</v>
      </c>
      <c r="AX412" s="348" t="s">
        <v>114</v>
      </c>
      <c r="AY412" s="325"/>
      <c r="AZ412" s="325"/>
      <c r="BA412" s="325"/>
      <c r="BB412" s="325" t="s">
        <v>118</v>
      </c>
      <c r="BC412" s="325"/>
      <c r="BD412" s="325"/>
      <c r="BE412" s="325"/>
      <c r="BF412" s="325"/>
      <c r="BG412" s="330" t="str">
        <f>EUconst_Fuel</f>
        <v>Poltto</v>
      </c>
      <c r="BH412" s="325"/>
      <c r="BI412" s="325"/>
      <c r="BJ412" s="325"/>
      <c r="BK412" s="325"/>
      <c r="BL412" s="325"/>
      <c r="BM412" s="325"/>
      <c r="BN412" s="325"/>
      <c r="BO412" s="325"/>
      <c r="BP412" s="325"/>
      <c r="BQ412" s="325"/>
      <c r="BR412" s="325"/>
      <c r="BS412" s="325"/>
      <c r="BT412" s="325"/>
      <c r="BU412" s="325"/>
      <c r="BV412" s="325"/>
      <c r="BW412" s="325"/>
      <c r="BX412" s="325"/>
      <c r="BY412" s="325"/>
      <c r="BZ412" s="325"/>
      <c r="CA412" s="325"/>
      <c r="CB412" s="325"/>
      <c r="CC412" s="325"/>
      <c r="CD412" s="325"/>
      <c r="CE412" s="325"/>
      <c r="CF412" s="325"/>
      <c r="CG412" s="330" t="s">
        <v>94</v>
      </c>
    </row>
    <row r="413" spans="1:85" ht="12.75" customHeight="1" thickBot="1" x14ac:dyDescent="0.3">
      <c r="A413" s="318"/>
      <c r="B413" s="21"/>
      <c r="C413" s="344"/>
      <c r="D413" s="345" t="str">
        <f>Translations!$B$356</f>
        <v>Polttoaineen määrä:</v>
      </c>
      <c r="E413" s="350"/>
      <c r="F413" s="351"/>
      <c r="G413" s="1120" t="str">
        <f>IF(OR(ISBLANK(F413),F413=EUconst_NoTier),"",IF(Z413=0,EUconst_NA,IF(ISERROR(Z413),"",Z413)))</f>
        <v/>
      </c>
      <c r="H413" s="1122"/>
      <c r="I413" s="352" t="str">
        <f>IF(J413&lt;&gt;"","",AI413)</f>
        <v/>
      </c>
      <c r="J413" s="353"/>
      <c r="K413" s="1143"/>
      <c r="L413" s="1144"/>
      <c r="M413" s="486" t="str">
        <f>IF(AND(E408&lt;&gt;"",OR(F413="",COUNT(K413)=0),Y413&lt;&gt;EUconst_NA),EUconst_ERR_Incomplete,"")</f>
        <v/>
      </c>
      <c r="N413" s="22"/>
      <c r="O413" s="323"/>
      <c r="P413" s="612"/>
      <c r="Q413" s="335" t="str">
        <f>EUconst_SumBioEnergyIN</f>
        <v>SUM_BioEnergyIN</v>
      </c>
      <c r="R413" s="501" t="str">
        <f>IF(E408="","",BG418)</f>
        <v/>
      </c>
      <c r="S413" s="325"/>
      <c r="T413" s="355" t="str">
        <f>EUconst_CNTR_ActivityData&amp;E408</f>
        <v>ActivityData_</v>
      </c>
      <c r="U413" s="23"/>
      <c r="V413" s="355" t="str">
        <f>IF(E407="","",INDEX('B_Polttoainevirtojen tiedot'!$I$67:$I$91,MATCH(U406,'B_Polttoainevirtojen tiedot'!$D$67:$D$91,0)))</f>
        <v/>
      </c>
      <c r="W413" s="342" t="s">
        <v>121</v>
      </c>
      <c r="X413" s="23"/>
      <c r="Y413" s="356" t="str">
        <f>IF(E408="","",INDEX(EUwideConstants!$P$153:$P$180,MATCH(T413,EUwideConstants!$S$153:$S$180,0)))</f>
        <v/>
      </c>
      <c r="Z413" s="357" t="str">
        <f>IF(ISBLANK(F413),"",IF(F413=EUconst_NA,"",INDEX(EUwideConstants!$H:$O,MATCH(T413,EUwideConstants!$S:$S,0),MATCH(F413,CNTR_TierList,0))))</f>
        <v/>
      </c>
      <c r="AA413" s="358" t="s">
        <v>111</v>
      </c>
      <c r="AB413" s="342"/>
      <c r="AC413" s="339" t="b">
        <f>E407&lt;&gt;""</f>
        <v>0</v>
      </c>
      <c r="AD413" s="325"/>
      <c r="AE413" s="359" t="str">
        <f>EUconst_CNTR_ActivityData&amp;EUconst_Unit</f>
        <v>ActivityData_Yksikkö</v>
      </c>
      <c r="AF413" s="360" t="str">
        <f>IF(AC413=TRUE, IF(COUNTIF(MSPara_SourceStreamCategory,V413)=0,"",INDEX(MSPara_CalcFactorsMatrix,MATCH(V413,MSPara_SourceStreamCategory,0),MATCH(AE413&amp;"_"&amp;2,MSPara_CalcFactors,0))),"")</f>
        <v/>
      </c>
      <c r="AG413" s="361" t="str">
        <f>IF(AC413=TRUE, IF(COUNTIF(MSPara_SourceStreamCategory,V413)=0,"",INDEX(MSPara_CalcFactorsMatrix,MATCH(V413,MSPara_SourceStreamCategory,0),MATCH(AE413&amp;"_"&amp;1,MSPara_CalcFactors,0))),"")</f>
        <v/>
      </c>
      <c r="AH413" s="339" t="str">
        <f>IF(OR(AF413="",AF413=EUconst_NA),IF(OR(AG413=EUconst_NA,AG413=""),"",AG413),AF413)</f>
        <v/>
      </c>
      <c r="AI413" s="356" t="str">
        <f>IF(AC413=TRUE,IF(AH413="",EUconst_t,AH413),"")</f>
        <v/>
      </c>
      <c r="AJ413" s="362" t="str">
        <f>IF(J413="",AI413,J413)</f>
        <v/>
      </c>
      <c r="AK413" s="363" t="b">
        <f>AND(E407&lt;&gt;"",J413&lt;&gt;"")</f>
        <v>0</v>
      </c>
      <c r="AL413" s="337"/>
      <c r="AM413" s="404" t="s">
        <v>122</v>
      </c>
      <c r="AN413" s="403" t="str">
        <f>AJ413</f>
        <v/>
      </c>
      <c r="AO413" s="337"/>
      <c r="AP413" s="337"/>
      <c r="AQ413" s="355" t="str">
        <f>EUconst_CNTR_ActivityData&amp;EUconst_Value</f>
        <v>ActivityData_Arvo</v>
      </c>
      <c r="AR413" s="343"/>
      <c r="AS413" s="343"/>
      <c r="AT413" s="339" t="b">
        <f>AND(AND(AH413&lt;&gt;"",AJ413&lt;&gt;""),AJ413=AH413)</f>
        <v>0</v>
      </c>
      <c r="AU413" s="325"/>
      <c r="AV413" s="339">
        <f>IF(Y413=EUconst_NA,0,IF(COUNT(K413:K413)=0,0,IF(K413="",#REF!,K413)))</f>
        <v>0</v>
      </c>
      <c r="AW413" s="346" t="b">
        <f>AND(AC413=TRUE,OR(K413&lt;&gt;"",AU413=""))</f>
        <v>0</v>
      </c>
      <c r="AX413" s="346" t="b">
        <f>AND(AC413=TRUE,NOT(AW413))</f>
        <v>0</v>
      </c>
      <c r="AY413" s="325"/>
      <c r="AZ413" s="325" t="s">
        <v>123</v>
      </c>
      <c r="BA413" s="325" t="s">
        <v>124</v>
      </c>
      <c r="BB413" s="346"/>
      <c r="BC413" s="325" t="s">
        <v>125</v>
      </c>
      <c r="BD413" s="325"/>
      <c r="BE413" s="325"/>
      <c r="BF413" s="400" t="str">
        <f>Translations!$B$390</f>
        <v>CO2 fossil</v>
      </c>
      <c r="BG413" s="495" t="str">
        <f>IF(COUNTIF(AO416:AO417,TRUE)=0,"",AV413*IF(AO416,1,AV415*AN417)*AV416*(1-AV417)*AV420)</f>
        <v/>
      </c>
      <c r="BH413" s="325"/>
      <c r="BI413" s="325"/>
      <c r="BJ413" s="325"/>
      <c r="BK413" s="325"/>
      <c r="BL413" s="325"/>
      <c r="BM413" s="325"/>
      <c r="BN413" s="325"/>
      <c r="BO413" s="325"/>
      <c r="BP413" s="325"/>
      <c r="BQ413" s="325"/>
      <c r="BR413" s="325"/>
      <c r="BS413" s="325"/>
      <c r="BT413" s="325"/>
      <c r="BU413" s="325"/>
      <c r="BV413" s="325"/>
      <c r="BW413" s="325"/>
      <c r="BX413" s="325"/>
      <c r="BY413" s="325"/>
      <c r="BZ413" s="325"/>
      <c r="CA413" s="325"/>
      <c r="CB413" s="325"/>
      <c r="CC413" s="325"/>
      <c r="CD413" s="325"/>
      <c r="CE413" s="325"/>
      <c r="CF413" s="325"/>
      <c r="CG413" s="346" t="b">
        <v>0</v>
      </c>
    </row>
    <row r="414" spans="1:85" ht="5.15" customHeight="1" thickBot="1" x14ac:dyDescent="0.3">
      <c r="A414" s="318"/>
      <c r="B414" s="21"/>
      <c r="C414" s="344"/>
      <c r="D414" s="188"/>
      <c r="E414" s="22"/>
      <c r="F414" s="22"/>
      <c r="G414" s="22"/>
      <c r="H414" s="22" t="str">
        <f>Translations!$B$397</f>
        <v xml:space="preserve"> </v>
      </c>
      <c r="I414" s="364"/>
      <c r="J414" s="364"/>
      <c r="K414" s="22"/>
      <c r="L414" s="22"/>
      <c r="M414" s="487"/>
      <c r="N414" s="22"/>
      <c r="O414" s="323"/>
      <c r="P414" s="301"/>
      <c r="Q414" s="23"/>
      <c r="R414" s="23"/>
      <c r="S414" s="325"/>
      <c r="T414" s="277"/>
      <c r="U414" s="23"/>
      <c r="V414" s="325"/>
      <c r="W414" s="325"/>
      <c r="X414" s="23"/>
      <c r="Y414" s="330"/>
      <c r="Z414" s="325"/>
      <c r="AA414" s="325"/>
      <c r="AB414" s="325"/>
      <c r="AC414" s="325"/>
      <c r="AD414" s="325"/>
      <c r="AE414" s="325"/>
      <c r="AF414" s="325"/>
      <c r="AG414" s="325"/>
      <c r="AH414" s="325"/>
      <c r="AI414" s="325"/>
      <c r="AJ414" s="325"/>
      <c r="AK414" s="325"/>
      <c r="AL414" s="337"/>
      <c r="AM414" s="337"/>
      <c r="AN414" s="337"/>
      <c r="AO414" s="337"/>
      <c r="AP414" s="337"/>
      <c r="AQ414" s="325"/>
      <c r="AR414" s="325"/>
      <c r="AS414" s="325"/>
      <c r="AT414" s="325"/>
      <c r="AU414" s="325"/>
      <c r="AV414" s="325"/>
      <c r="AW414" s="325"/>
      <c r="AX414" s="325"/>
      <c r="AY414" s="325"/>
      <c r="AZ414" s="325"/>
      <c r="BA414" s="325"/>
      <c r="BB414" s="325"/>
      <c r="BC414" s="325"/>
      <c r="BD414" s="325"/>
      <c r="BE414" s="325"/>
      <c r="BF414" s="325"/>
      <c r="BG414" s="496"/>
      <c r="BH414" s="325"/>
      <c r="BI414" s="325"/>
      <c r="BJ414" s="325"/>
      <c r="BK414" s="325"/>
      <c r="BL414" s="325"/>
      <c r="BM414" s="325"/>
      <c r="BN414" s="325"/>
      <c r="BO414" s="325"/>
      <c r="BP414" s="325"/>
      <c r="BQ414" s="325"/>
      <c r="BR414" s="325"/>
      <c r="BS414" s="325"/>
      <c r="BT414" s="325"/>
      <c r="BU414" s="325"/>
      <c r="BV414" s="325"/>
      <c r="BW414" s="325"/>
      <c r="BX414" s="325"/>
      <c r="BY414" s="325"/>
      <c r="BZ414" s="325"/>
      <c r="CA414" s="325"/>
      <c r="CB414" s="325"/>
      <c r="CC414" s="325"/>
      <c r="CD414" s="325"/>
      <c r="CE414" s="325"/>
      <c r="CF414" s="325"/>
      <c r="CG414" s="330"/>
    </row>
    <row r="415" spans="1:85" ht="12.75" customHeight="1" thickBot="1" x14ac:dyDescent="0.3">
      <c r="A415" s="318"/>
      <c r="B415" s="21"/>
      <c r="C415" s="344"/>
      <c r="D415" s="345" t="str">
        <f>Translations!$B$360</f>
        <v>Yksikön muuntokerroin:</v>
      </c>
      <c r="E415" s="350"/>
      <c r="F415" s="443"/>
      <c r="G415" s="1120" t="str">
        <f>IF(OR(ISBLANK(F415),F415=EUconst_NoTier),"",IF(Z415=0,EUconst_NotApplicable,IF(ISERROR(Z415),"",Z415)))</f>
        <v/>
      </c>
      <c r="H415" s="1122"/>
      <c r="I415" s="444" t="str">
        <f>IF(J415&lt;&gt;"","",AI415)</f>
        <v/>
      </c>
      <c r="J415" s="445"/>
      <c r="K415" s="632" t="str">
        <f>IF(L415="",AU415,"")</f>
        <v/>
      </c>
      <c r="L415" s="633"/>
      <c r="M415" s="486" t="str">
        <f>IF(AND(E408&lt;&gt;"",OR(F415="",COUNT(K415:L415)=0),Y415&lt;&gt;EUconst_NA),EUconst_ERR_Incomplete,IF(COUNTIF(BB415:BD415,TRUE)&gt;0,EUconst_ERR_Inconsistent,""))</f>
        <v/>
      </c>
      <c r="N415" s="752"/>
      <c r="O415" s="323"/>
      <c r="P415" s="301"/>
      <c r="Q415" s="23"/>
      <c r="R415" s="23"/>
      <c r="S415" s="325"/>
      <c r="T415" s="365" t="str">
        <f>EUconst_CNTR_UCF&amp;E408</f>
        <v>UCF_</v>
      </c>
      <c r="U415" s="23"/>
      <c r="V415" s="366" t="str">
        <f>V416</f>
        <v/>
      </c>
      <c r="W415" s="325"/>
      <c r="X415" s="23"/>
      <c r="Y415" s="448" t="str">
        <f>IF(E408="","",IF(OR(F415=EUconst_NA,W415=TRUE),EUconst_NA,INDEX(EUwideConstants!$P$153:$P$180,MATCH(T415,EUwideConstants!$S$153:$S$180,0))))</f>
        <v/>
      </c>
      <c r="Z415" s="471" t="str">
        <f>IF(ISBLANK(F415),"",IF(F415=EUconst_NA,"",INDEX(EUwideConstants!$H:$O,MATCH(T415,EUwideConstants!$S:$S,0),MATCH(F415,CNTR_TierList,0))))</f>
        <v/>
      </c>
      <c r="AA415" s="449" t="str">
        <f>IF(COUNTIF(EUconst_DefaultValues,Z415)&gt;0,MATCH(Z415,EUconst_DefaultValues,0),"")</f>
        <v/>
      </c>
      <c r="AB415" s="325"/>
      <c r="AC415" s="367" t="b">
        <f>AND(AC413,Y415&lt;&gt;EUconst_NA)</f>
        <v>0</v>
      </c>
      <c r="AD415" s="325"/>
      <c r="AE415" s="359" t="str">
        <f>EUconst_CNTR_UCF&amp;EUconst_Unit</f>
        <v>UCF_Yksikkö</v>
      </c>
      <c r="AF415" s="368" t="str">
        <f>IF(AC415=TRUE, IF(COUNTIF(MSPara_SourceStreamCategory,V415)=0,"",INDEX(MSPara_CalcFactorsMatrix,MATCH(V415,MSPara_SourceStreamCategory,0),MATCH(AE415&amp;"_"&amp;2,MSPara_CalcFactors,0))),"")</f>
        <v/>
      </c>
      <c r="AG415" s="372" t="str">
        <f>IF(AC415=TRUE, IF(COUNTIF(MSPara_SourceStreamCategory,V415)=0,"",INDEX(MSPara_CalcFactorsMatrix,MATCH(V415,MSPara_SourceStreamCategory,0),MATCH(AE415&amp;"_"&amp;1,MSPara_CalcFactors,0))),"")</f>
        <v/>
      </c>
      <c r="AH415" s="367" t="str">
        <f>IF(AA415="","",INDEX(AF415:AG415,3-AA415))</f>
        <v/>
      </c>
      <c r="AI415" s="367" t="str">
        <f>IF(AC415=TRUE,IF(OR(AH415="",AH415=EUconst_NA),EUconst_GJ&amp;"/"&amp;AJ413,AH415),"")</f>
        <v/>
      </c>
      <c r="AJ415" s="367" t="str">
        <f>IF(J415="",AI415,J415)</f>
        <v/>
      </c>
      <c r="AK415" s="366" t="b">
        <f>AND(E407&lt;&gt;"",J415&lt;&gt;"")</f>
        <v>0</v>
      </c>
      <c r="AL415" s="337"/>
      <c r="AM415" s="404" t="s">
        <v>127</v>
      </c>
      <c r="AN415" s="403" t="str">
        <f>IF(AJ415="",EUconst_NA,IF(AN413=EUconst_TJ,EUconst_TJ,INDEX(EUwideConstants!$C$124:$G$128,MATCH(AN413,RFAUnits,0),MATCH(AJ415,UCFUnits,0))))</f>
        <v>ei sovellettavissa</v>
      </c>
      <c r="AO415" s="337"/>
      <c r="AP415" s="337"/>
      <c r="AQ415" s="454" t="str">
        <f>EUconst_CNTR_UCF&amp;EUconst_Value</f>
        <v>UCF_Arvo</v>
      </c>
      <c r="AR415" s="475" t="str">
        <f>IF(AC415=TRUE,IF(COUNTIF(MSPara_SourceStreamCategory,V415)=0,"",INDEX(MSPara_CalcFactorsMatrix,MATCH(V415,MSPara_SourceStreamCategory,0),MATCH(AQ415&amp;"_"&amp;2,MSPara_CalcFactors,0))),"")</f>
        <v/>
      </c>
      <c r="AS415" s="371" t="str">
        <f>IF(AC415=TRUE,IF(COUNTIF(MSPara_SourceStreamCategory,V415)=0,"",INDEX(MSPara_CalcFactorsMatrix,MATCH(V415,MSPara_SourceStreamCategory,0),MATCH(AQ415&amp;"_"&amp;1,MSPara_CalcFactors,0))),"")</f>
        <v/>
      </c>
      <c r="AT415" s="369" t="b">
        <f>AND(AND(AH415&lt;&gt;"",AJ415&lt;&gt;""),AJ415=AH415)</f>
        <v>0</v>
      </c>
      <c r="AU415" s="381" t="str">
        <f>IF(AND(AA415&lt;&gt;"",AT415=TRUE),IF(OR(INDEX(AR415:AS415,3-AA415)=EUconst_NA,INDEX(AR415:AS415,3-AA415)=0),"",INDEX(AR415:AS415,3-AA415)),"")</f>
        <v/>
      </c>
      <c r="AV415" s="367">
        <f>IF(AC415=TRUE,IF(COUNT(K415:L415)=0,0,IF(L415="",K415,L415)),0)</f>
        <v>0</v>
      </c>
      <c r="AW415" s="366" t="b">
        <f>AND(AC415=TRUE,OR(AND(F415&lt;&gt;"",NOT(ISNUMBER(AA415))),L415&lt;&gt;"",F415="",AU415=""))</f>
        <v>0</v>
      </c>
      <c r="AX415" s="370" t="b">
        <f>AND(AC415=TRUE,NOT(AW415))</f>
        <v>0</v>
      </c>
      <c r="AY415" s="325"/>
      <c r="AZ415" s="373" t="b">
        <f>AND(ISNUMBER(AA415),AU415="")</f>
        <v>0</v>
      </c>
      <c r="BA415" s="399" t="b">
        <f>AND(ISNUMBER(AA415),AU415&lt;&gt;AV415)</f>
        <v>0</v>
      </c>
      <c r="BB415" s="366" t="b">
        <f>AND(E408&lt;&gt;"",F415&lt;&gt;EUconst_NA,AN415=EUconst_NA)</f>
        <v>0</v>
      </c>
      <c r="BC415" s="366" t="b">
        <f>AND(L415&lt;&gt;"",Y415=EUconst_NA)</f>
        <v>0</v>
      </c>
      <c r="BD415" s="325"/>
      <c r="BE415" s="325"/>
      <c r="BF415" s="373" t="s">
        <v>128</v>
      </c>
      <c r="BG415" s="497" t="str">
        <f>IF(COUNTIF(AO416:AO417,TRUE)=0,"",AV413*IF(AO416,1,AV415*AN417)*AV416*AV417*AV420)</f>
        <v/>
      </c>
      <c r="BH415" s="325"/>
      <c r="BI415" s="325"/>
      <c r="BJ415" s="325"/>
      <c r="BK415" s="325"/>
      <c r="BL415" s="325"/>
      <c r="BM415" s="325"/>
      <c r="BN415" s="325"/>
      <c r="BO415" s="325"/>
      <c r="BP415" s="325"/>
      <c r="BQ415" s="325"/>
      <c r="BR415" s="325"/>
      <c r="BS415" s="325"/>
      <c r="BT415" s="325"/>
      <c r="BU415" s="325"/>
      <c r="BV415" s="325"/>
      <c r="BW415" s="325"/>
      <c r="BX415" s="325"/>
      <c r="BY415" s="325"/>
      <c r="BZ415" s="325"/>
      <c r="CA415" s="325"/>
      <c r="CB415" s="325"/>
      <c r="CC415" s="325"/>
      <c r="CD415" s="325"/>
      <c r="CE415" s="325"/>
      <c r="CF415" s="325"/>
      <c r="CG415" s="375" t="b">
        <f>OR(CG413,Y415=EUconst_NA)</f>
        <v>0</v>
      </c>
    </row>
    <row r="416" spans="1:85" ht="12.75" customHeight="1" thickBot="1" x14ac:dyDescent="0.3">
      <c r="A416" s="318"/>
      <c r="B416" s="21"/>
      <c r="C416" s="344"/>
      <c r="D416" s="345" t="str">
        <f>Translations!$B$358</f>
        <v>Päästökerroin (alustava):</v>
      </c>
      <c r="E416" s="350"/>
      <c r="F416" s="624"/>
      <c r="G416" s="1120" t="str">
        <f>IF(OR(ISBLANK(F416),F416=EUconst_NoTier),"",IF(Z416=0,EUconst_NotApplicable,IF(ISERROR(Z416),"",Z416)))</f>
        <v/>
      </c>
      <c r="H416" s="1121"/>
      <c r="I416" s="625" t="str">
        <f>IF(J416&lt;&gt;"","",AI416)</f>
        <v/>
      </c>
      <c r="J416" s="631"/>
      <c r="K416" s="634" t="str">
        <f>IF(L416="",AU416,"")</f>
        <v/>
      </c>
      <c r="L416" s="754"/>
      <c r="M416" s="486" t="str">
        <f>IF(AND(E408&lt;&gt;"",OR(F416="",COUNT(K416:L416)=0),Y416&lt;&gt;EUconst_NA),EUconst_ERR_Incomplete,IF(COUNTIF(BB416:BD416,TRUE)&gt;0,EUconst_ERR_Inconsistent,""))</f>
        <v/>
      </c>
      <c r="N416" s="753"/>
      <c r="O416" s="323"/>
      <c r="P416" s="301"/>
      <c r="Q416" s="23"/>
      <c r="R416" s="23"/>
      <c r="S416" s="325"/>
      <c r="T416" s="374" t="str">
        <f>EUconst_CNTR_EF&amp;E408</f>
        <v>EF_</v>
      </c>
      <c r="U416" s="23"/>
      <c r="V416" s="375" t="str">
        <f>V413</f>
        <v/>
      </c>
      <c r="W416" s="325"/>
      <c r="X416" s="23"/>
      <c r="Y416" s="450" t="str">
        <f>IF(E408="","",IF(OR(F416=EUconst_NA,W416=TRUE),EUconst_NA,INDEX(EUwideConstants!$P$153:$P$180,MATCH(T416,EUwideConstants!$S$153:$S$180,0))))</f>
        <v/>
      </c>
      <c r="Z416" s="472" t="str">
        <f>IF(ISBLANK(F416),"",IF(F416=EUconst_NA,"",INDEX(EUwideConstants!$H:$O,MATCH(T416,EUwideConstants!$S:$S,0),MATCH(F416,CNTR_TierList,0))))</f>
        <v/>
      </c>
      <c r="AA416" s="451" t="str">
        <f>IF(COUNTIF(EUconst_DefaultValues,Z416)&gt;0,MATCH(Z416,EUconst_DefaultValues,0),"")</f>
        <v/>
      </c>
      <c r="AB416" s="325"/>
      <c r="AC416" s="376" t="b">
        <f>AND(AC413,Y416&lt;&gt;EUconst_NA)</f>
        <v>0</v>
      </c>
      <c r="AD416" s="325"/>
      <c r="AE416" s="377" t="str">
        <f>EUconst_CNTR_EF&amp;EUconst_Unit</f>
        <v>EF_Yksikkö</v>
      </c>
      <c r="AF416" s="378" t="str">
        <f>IF(AC416=TRUE, IF(COUNTIF(MSPara_SourceStreamCategory,V416)=0,"",INDEX(MSPara_CalcFactorsMatrix,MATCH(V416,MSPara_SourceStreamCategory,0),MATCH(AE416&amp;"_"&amp;2,MSPara_CalcFactors,0))),"")</f>
        <v/>
      </c>
      <c r="AG416" s="464" t="str">
        <f>IF(AC416=TRUE, IF(COUNTIF(MSPara_SourceStreamCategory,V416)=0,"",INDEX(MSPara_CalcFactorsMatrix,MATCH(V416,MSPara_SourceStreamCategory,0),MATCH(AE416&amp;"_"&amp;1,MSPara_CalcFactors,0))),"")</f>
        <v/>
      </c>
      <c r="AH416" s="376" t="str">
        <f>IF(AA416="","",INDEX(AF416:AG416,3-AA416))</f>
        <v/>
      </c>
      <c r="AI416" s="376" t="str">
        <f>IF(AC416=TRUE,IF(OR(AH416="",AH416=EUconst_NA),EUconst_tCO2&amp;"/"&amp;IF(AN415=EUconst_NA,AN413,IF(AN415=EUconst_GJ,EUconst_TJ,AN415)),AH416),"")</f>
        <v/>
      </c>
      <c r="AJ416" s="376" t="str">
        <f>IF(J416="",AI416,J416)</f>
        <v/>
      </c>
      <c r="AK416" s="375" t="b">
        <f>AND(E408&lt;&gt;"",J416&lt;&gt;"")</f>
        <v>0</v>
      </c>
      <c r="AL416" s="337"/>
      <c r="AM416" s="404" t="s">
        <v>130</v>
      </c>
      <c r="AN416" s="403" t="str">
        <f>IF(COUNTIF(RFAUnits,AN413)=0,EUconst_NA,INDEX(EUwideConstants!$C$139:$H$143,MATCH(AJ416,EFUnits,0),MATCH(AN413,EUwideConstants!$C$138:$H$138,0)))</f>
        <v>ei sovellettavissa</v>
      </c>
      <c r="AO416" s="403" t="b">
        <f>AN416&lt;&gt;EUconst_NA</f>
        <v>0</v>
      </c>
      <c r="AP416" s="337"/>
      <c r="AQ416" s="455" t="str">
        <f>EUconst_CNTR_EF&amp;EUconst_Value</f>
        <v>EF_Arvo</v>
      </c>
      <c r="AR416" s="476" t="str">
        <f>IF(AC416=TRUE,IF(COUNTIF(MSPara_SourceStreamCategory,V416)=0,"",INDEX(MSPara_CalcFactorsMatrix,MATCH(V416,MSPara_SourceStreamCategory,0),MATCH(AQ416&amp;"_"&amp;2,MSPara_CalcFactors,0))),"")</f>
        <v/>
      </c>
      <c r="AS416" s="383" t="str">
        <f>IF(AC416=TRUE,IF(COUNTIF(MSPara_SourceStreamCategory,V416)=0,"",INDEX(MSPara_CalcFactorsMatrix,MATCH(V416,MSPara_SourceStreamCategory,0),MATCH(AQ416&amp;"_"&amp;1,MSPara_CalcFactors,0))),"")</f>
        <v/>
      </c>
      <c r="AT416" s="456" t="b">
        <f>AND(AND(AH416&lt;&gt;"",AJ416&lt;&gt;""),AJ416=AH416)</f>
        <v>0</v>
      </c>
      <c r="AU416" s="334" t="str">
        <f>IF(AND(AA416&lt;&gt;"",AT416=TRUE),IF(OR(INDEX(AR416:AS416,3-AA416)=EUconst_NA,INDEX(AR416:AS416,3-AA416)=0),"",INDEX(AR416:AS416,3-AA416)),"")</f>
        <v/>
      </c>
      <c r="AV416" s="376">
        <f>IF(AC416=TRUE,IF(COUNT(K416:L416)=0,0,IF(L416="",K416,L416)),0)</f>
        <v>0</v>
      </c>
      <c r="AW416" s="375" t="b">
        <f>AND(AC416=TRUE,OR(AND(F416&lt;&gt;"",NOT(ISNUMBER(AA416))),L416&lt;&gt;"",F416="",AU416=""))</f>
        <v>0</v>
      </c>
      <c r="AX416" s="457" t="b">
        <f>AND(AC416=TRUE,NOT(AW416))</f>
        <v>0</v>
      </c>
      <c r="AY416" s="325"/>
      <c r="AZ416" s="379" t="b">
        <f>AND(ISNUMBER(AA416),AU416="")</f>
        <v>0</v>
      </c>
      <c r="BA416" s="380" t="b">
        <f>AND(ISNUMBER(AA416),AU416&lt;&gt;AV416)</f>
        <v>0</v>
      </c>
      <c r="BB416" s="382" t="b">
        <f>AND(E408&lt;&gt;"",COUNTIF(AO416:AO417,TRUE)=0)</f>
        <v>0</v>
      </c>
      <c r="BC416" s="375" t="b">
        <f>AND(L416&lt;&gt;"",Y416=EUconst_NA)</f>
        <v>0</v>
      </c>
      <c r="BD416" s="325"/>
      <c r="BE416" s="325"/>
      <c r="BF416" s="379" t="s">
        <v>131</v>
      </c>
      <c r="BG416" s="498" t="str">
        <f>IF(COUNTIF(AO416:AO417,TRUE)=0,"",AV413*IF(AO416,1,AV415*AN417)*AV416*AV418*AV420)</f>
        <v/>
      </c>
      <c r="BH416" s="325"/>
      <c r="BI416" s="325"/>
      <c r="BJ416" s="325"/>
      <c r="BK416" s="325"/>
      <c r="BL416" s="325"/>
      <c r="BM416" s="325"/>
      <c r="BN416" s="325"/>
      <c r="BO416" s="325"/>
      <c r="BP416" s="325"/>
      <c r="BQ416" s="325"/>
      <c r="BR416" s="325"/>
      <c r="BS416" s="325"/>
      <c r="BT416" s="325"/>
      <c r="BU416" s="325"/>
      <c r="BV416" s="325"/>
      <c r="BW416" s="325"/>
      <c r="BX416" s="325"/>
      <c r="BY416" s="325"/>
      <c r="BZ416" s="325"/>
      <c r="CA416" s="325"/>
      <c r="CB416" s="325"/>
      <c r="CC416" s="325"/>
      <c r="CD416" s="325"/>
      <c r="CE416" s="325"/>
      <c r="CF416" s="325"/>
      <c r="CG416" s="366" t="b">
        <f>OR(CG413,Y416=EUconst_NA)</f>
        <v>0</v>
      </c>
    </row>
    <row r="417" spans="1:85" ht="12.75" customHeight="1" x14ac:dyDescent="0.25">
      <c r="A417" s="318"/>
      <c r="B417" s="21"/>
      <c r="C417" s="344"/>
      <c r="D417" s="345" t="str">
        <f>Translations!$B$362</f>
        <v>Biomassaosuus:</v>
      </c>
      <c r="E417" s="350"/>
      <c r="F417" s="624"/>
      <c r="G417" s="1120" t="str">
        <f>IF(OR(ISBLANK(F417),F417=EUconst_NoTier),"",IF(Z417=0,EUconst_NotApplicable,IF(ISERROR(Z417),"",Z417)))</f>
        <v/>
      </c>
      <c r="H417" s="1122"/>
      <c r="I417" s="626" t="str">
        <f>IF(OR(AC417=FALSE,Y417=EUconst_NA),"","-")</f>
        <v/>
      </c>
      <c r="J417" s="446"/>
      <c r="K417" s="635" t="str">
        <f>IF(L417="",AU417,"")</f>
        <v/>
      </c>
      <c r="L417" s="627"/>
      <c r="M417" s="486" t="str">
        <f>IF(AND(E408&lt;&gt;"",OR(F417="",COUNT(K417:L417)=0),Y417&lt;&gt;EUconst_NA),EUconst_ERR_Incomplete,IF(COUNTIF(BB417:BD417,TRUE)&gt;0,EUconst_ERR_Inconsistent,""))</f>
        <v/>
      </c>
      <c r="O417" s="323"/>
      <c r="P417" s="612"/>
      <c r="Q417" s="354"/>
      <c r="R417" s="354"/>
      <c r="S417" s="325"/>
      <c r="T417" s="374" t="str">
        <f>EUconst_CNTR_BiomassContent&amp;E408</f>
        <v>BioC_</v>
      </c>
      <c r="U417" s="23"/>
      <c r="V417" s="375" t="str">
        <f>V415</f>
        <v/>
      </c>
      <c r="W417" s="366" t="e">
        <f>IF(COUNTIF(MSPara_SourceStreamCategory,V417)=0,"",INDEX(MSPara_IsFossil,MATCH(V417,MSPara_SourceStreamCategory,0)))</f>
        <v>#N/A</v>
      </c>
      <c r="X417" s="23"/>
      <c r="Y417" s="450" t="str">
        <f>IF(E408="","",IF(OR(F417=EUconst_NA,W417=TRUE),EUconst_NA,INDEX(EUwideConstants!$P$153:$P$180,MATCH(T417,EUwideConstants!$S$153:$S$180,0))))</f>
        <v/>
      </c>
      <c r="Z417" s="472" t="str">
        <f>IF(ISBLANK(F417),"",IF(F417=EUconst_NA,"",INDEX(EUwideConstants!$H:$O,MATCH(T417,EUwideConstants!$S:$S,0),MATCH(F417,CNTR_TierList,0))))</f>
        <v/>
      </c>
      <c r="AA417" s="681" t="str">
        <f>IF(F417=1,1,"")</f>
        <v/>
      </c>
      <c r="AB417" s="325"/>
      <c r="AC417" s="376" t="b">
        <f>AND(AC413,Y417&lt;&gt;EUconst_NA)</f>
        <v>0</v>
      </c>
      <c r="AD417" s="325"/>
      <c r="AE417" s="462"/>
      <c r="AF417" s="460"/>
      <c r="AG417" s="465"/>
      <c r="AH417" s="467"/>
      <c r="AI417" s="467"/>
      <c r="AJ417" s="467"/>
      <c r="AK417" s="469"/>
      <c r="AL417" s="337"/>
      <c r="AM417" s="404" t="s">
        <v>132</v>
      </c>
      <c r="AN417" s="403" t="str">
        <f>IF(AN415=EUconst_NA,EUconst_NA,INDEX(EUwideConstants!$C$139:$H$143,MATCH(AJ416,EFUnits,0),MATCH(AN415,EUwideConstants!$C$138:$H$138,0)))</f>
        <v>ei sovellettavissa</v>
      </c>
      <c r="AO417" s="403" t="b">
        <f>AN417&lt;&gt;EUconst_NA</f>
        <v>0</v>
      </c>
      <c r="AP417" s="337"/>
      <c r="AQ417" s="455" t="str">
        <f>EUconst_CNTR_BiomassContent&amp;EUconst_Value</f>
        <v>BioC_Arvo</v>
      </c>
      <c r="AR417" s="462"/>
      <c r="AS417" s="383" t="str">
        <f>IF(AC417=TRUE,IF(COUNTIF(MSPara_SourceStreamCategory,V417)=0,"",INDEX(MSPara_CalcFactorsMatrix,MATCH(V417,MSPara_SourceStreamCategory,0),MATCH(AQ417&amp;"_"&amp;2,MSPara_CalcFactors,0))),"")</f>
        <v/>
      </c>
      <c r="AT417" s="458"/>
      <c r="AU417" s="334" t="str">
        <f>IF(OR(AA417="",AS417=EUconst_NA),"",AS417)</f>
        <v/>
      </c>
      <c r="AV417" s="376">
        <f>IF(AC417=TRUE,IF(COUNT(K417:L417)=0,0,IF(L417="",K417,L417)),0)</f>
        <v>0</v>
      </c>
      <c r="AW417" s="375" t="b">
        <f>AND(AC417=TRUE,OR(AND(F417&lt;&gt;"",NOT(ISNUMBER(AA417))),L417&lt;&gt;"",F417="",AU417=""))</f>
        <v>0</v>
      </c>
      <c r="AX417" s="457" t="b">
        <f>AND(AC417=TRUE,NOT(AW417))</f>
        <v>0</v>
      </c>
      <c r="AY417" s="325"/>
      <c r="AZ417" s="379" t="b">
        <f>AND(ISNUMBER(AA417),AU417="")</f>
        <v>0</v>
      </c>
      <c r="BA417" s="380" t="b">
        <f>AND(ISNUMBER(AA417),AU417&lt;&gt;AV417)</f>
        <v>0</v>
      </c>
      <c r="BB417" s="325"/>
      <c r="BC417" s="375" t="b">
        <f>AND(L417&lt;&gt;"",Y417=EUconst_NA)</f>
        <v>0</v>
      </c>
      <c r="BD417" s="366" t="b">
        <f>OR(AV417&gt;100%,(AV417+AV418)&gt;100%)</f>
        <v>0</v>
      </c>
      <c r="BE417" s="325"/>
      <c r="BF417" s="379" t="s">
        <v>133</v>
      </c>
      <c r="BG417" s="498" t="str">
        <f>IF(AN413=EUconst_TJ,AV413*(1-AV417),IF(AN415=EUconst_GJ,AV413*AV415/1000*(1-AV417),""))</f>
        <v/>
      </c>
      <c r="BH417" s="325"/>
      <c r="BI417" s="325"/>
      <c r="BJ417" s="325"/>
      <c r="BK417" s="325"/>
      <c r="BL417" s="325"/>
      <c r="BM417" s="325"/>
      <c r="BN417" s="325"/>
      <c r="BO417" s="325"/>
      <c r="BP417" s="325"/>
      <c r="BQ417" s="325"/>
      <c r="BR417" s="325"/>
      <c r="BS417" s="325"/>
      <c r="BT417" s="325"/>
      <c r="BU417" s="325"/>
      <c r="BV417" s="325"/>
      <c r="BW417" s="325"/>
      <c r="BX417" s="325"/>
      <c r="BY417" s="325"/>
      <c r="BZ417" s="325"/>
      <c r="CA417" s="325"/>
      <c r="CB417" s="325"/>
      <c r="CC417" s="325"/>
      <c r="CD417" s="325"/>
      <c r="CE417" s="325"/>
      <c r="CF417" s="325"/>
      <c r="CG417" s="375" t="b">
        <f>OR(CG413,Y417=EUconst_NA)</f>
        <v>0</v>
      </c>
    </row>
    <row r="418" spans="1:85" ht="12.75" customHeight="1" thickBot="1" x14ac:dyDescent="0.3">
      <c r="A418" s="318"/>
      <c r="B418" s="21"/>
      <c r="C418" s="344"/>
      <c r="D418" s="345" t="str">
        <f>Translations!$B$368</f>
        <v>Ei kestävä biomassaosuus:</v>
      </c>
      <c r="E418" s="350"/>
      <c r="F418" s="628"/>
      <c r="G418" s="1120" t="str">
        <f>IF(OR(ISBLANK(F418),F418=EUconst_NoTier),"",IF(Z418=0,EUconst_NotApplicable,IF(ISERROR(Z418),"",Z418)))</f>
        <v/>
      </c>
      <c r="H418" s="1122"/>
      <c r="I418" s="629" t="str">
        <f>IF(OR(AC418=FALSE,Y418=EUconst_NA),"","-")</f>
        <v/>
      </c>
      <c r="J418" s="447"/>
      <c r="K418" s="636" t="str">
        <f>IF(L418="",AU418,"")</f>
        <v/>
      </c>
      <c r="L418" s="630"/>
      <c r="M418" s="486" t="str">
        <f>IF(AND(E408&lt;&gt;"",OR(F418="",COUNT(K418:L418)=0),Y418&lt;&gt;EUconst_NA),EUconst_ERR_Incomplete,IF(COUNTIF(BB418:BD418,TRUE)&gt;0,EUconst_ERR_Inconsistent,""))</f>
        <v/>
      </c>
      <c r="N418" s="22"/>
      <c r="O418" s="323"/>
      <c r="P418" s="612"/>
      <c r="Q418" s="354"/>
      <c r="R418" s="354"/>
      <c r="S418" s="325"/>
      <c r="T418" s="384" t="str">
        <f>EUconst_CNTR_BiomassContent&amp;E408</f>
        <v>BioC_</v>
      </c>
      <c r="U418" s="23"/>
      <c r="V418" s="382" t="str">
        <f>V417</f>
        <v/>
      </c>
      <c r="W418" s="382" t="e">
        <f>IF(COUNTIF(MSPara_SourceStreamCategory,V418)=0,"",INDEX(MSPara_IsFossil,MATCH(V418,MSPara_SourceStreamCategory,0)))</f>
        <v>#N/A</v>
      </c>
      <c r="X418" s="23"/>
      <c r="Y418" s="452" t="str">
        <f>IF(E408="","",IF(OR(F418=EUconst_NA,W418=TRUE),EUconst_NA,INDEX(EUwideConstants!$P$153:$P$180,MATCH(T418,EUwideConstants!$S$153:$S$180,0))))</f>
        <v/>
      </c>
      <c r="Z418" s="473" t="str">
        <f>IF(ISBLANK(F418),"",IF(F418=EUconst_NA,"",INDEX(EUwideConstants!$H:$O,MATCH(T418,EUwideConstants!$S:$S,0),MATCH(F418,CNTR_TierList,0))))</f>
        <v/>
      </c>
      <c r="AA418" s="682" t="str">
        <f>IF(F418=1,1,"")</f>
        <v/>
      </c>
      <c r="AB418" s="325"/>
      <c r="AC418" s="453" t="b">
        <f>AND(AC413,Y418&lt;&gt;EUconst_NA)</f>
        <v>0</v>
      </c>
      <c r="AD418" s="325"/>
      <c r="AE418" s="463"/>
      <c r="AF418" s="461"/>
      <c r="AG418" s="466"/>
      <c r="AH418" s="468"/>
      <c r="AI418" s="468"/>
      <c r="AJ418" s="468"/>
      <c r="AK418" s="470"/>
      <c r="AL418" s="337"/>
      <c r="AM418" s="337"/>
      <c r="AN418" s="337"/>
      <c r="AO418" s="337"/>
      <c r="AP418" s="337"/>
      <c r="AQ418" s="474" t="str">
        <f>EUconst_CNTR_BiomassContent&amp;EUconst_Value</f>
        <v>BioC_Arvo</v>
      </c>
      <c r="AR418" s="463"/>
      <c r="AS418" s="385" t="str">
        <f>IF(AC418=TRUE,IF(COUNTIF(MSPara_SourceStreamCategory,V418)=0,"",INDEX(MSPara_CalcFactorsMatrix,MATCH(V418,MSPara_SourceStreamCategory,0),MATCH(AQ418&amp;"_"&amp;2,MSPara_CalcFactors,0))),"")</f>
        <v/>
      </c>
      <c r="AT418" s="459"/>
      <c r="AU418" s="477" t="str">
        <f>IF(OR(AA418="",AS418=EUconst_NA),"",AS418)</f>
        <v/>
      </c>
      <c r="AV418" s="453">
        <f>IF(AC418=TRUE,IF(COUNT(K418:L418)=0,0,IF(L418="",K418,L418)),0)</f>
        <v>0</v>
      </c>
      <c r="AW418" s="382" t="b">
        <f>AND(AC418=TRUE,OR(AND(F418&lt;&gt;"",NOT(ISNUMBER(AA418))),L418&lt;&gt;"",F418="",AU418=""))</f>
        <v>0</v>
      </c>
      <c r="AX418" s="478" t="b">
        <f>AND(AC418=TRUE,NOT(AW418))</f>
        <v>0</v>
      </c>
      <c r="AY418" s="325"/>
      <c r="AZ418" s="386" t="b">
        <f>AND(ISNUMBER(AA418),AU418="")</f>
        <v>0</v>
      </c>
      <c r="BA418" s="387" t="b">
        <f>AND(ISNUMBER(AA418),AU418&lt;&gt;AV418)</f>
        <v>0</v>
      </c>
      <c r="BB418" s="325"/>
      <c r="BC418" s="382" t="b">
        <f>AND(L418&lt;&gt;"",Y418=EUconst_NA)</f>
        <v>0</v>
      </c>
      <c r="BD418" s="382" t="b">
        <f>OR(AV417&gt;100%,(AV417+AV418)&gt;100%)</f>
        <v>0</v>
      </c>
      <c r="BE418" s="325"/>
      <c r="BF418" s="386" t="s">
        <v>134</v>
      </c>
      <c r="BG418" s="499" t="str">
        <f>IF(AN413=EUconst_TJ,AV413*AV417,IF(AN415=EUconst_GJ,AV413*AV415/1000*AV417,""))</f>
        <v/>
      </c>
      <c r="BH418" s="325"/>
      <c r="BI418" s="325"/>
      <c r="BJ418" s="325"/>
      <c r="BK418" s="325"/>
      <c r="BL418" s="325"/>
      <c r="BM418" s="325"/>
      <c r="BN418" s="325"/>
      <c r="BO418" s="325"/>
      <c r="BP418" s="325"/>
      <c r="BQ418" s="325"/>
      <c r="BR418" s="325"/>
      <c r="BS418" s="325"/>
      <c r="BT418" s="325"/>
      <c r="BU418" s="325"/>
      <c r="BV418" s="325"/>
      <c r="BW418" s="325"/>
      <c r="BX418" s="325"/>
      <c r="BY418" s="325"/>
      <c r="BZ418" s="325"/>
      <c r="CA418" s="325"/>
      <c r="CB418" s="325"/>
      <c r="CC418" s="325"/>
      <c r="CD418" s="325"/>
      <c r="CE418" s="325"/>
      <c r="CF418" s="325"/>
      <c r="CG418" s="382" t="b">
        <f>OR(CG413,Y418=EUconst_NA)</f>
        <v>0</v>
      </c>
    </row>
    <row r="419" spans="1:85" ht="5.15" customHeight="1" thickBot="1" x14ac:dyDescent="0.3">
      <c r="A419" s="318"/>
      <c r="B419" s="21"/>
      <c r="C419" s="21"/>
      <c r="D419" s="327"/>
      <c r="E419" s="22"/>
      <c r="F419" s="22"/>
      <c r="G419" s="22"/>
      <c r="H419" s="22"/>
      <c r="I419" s="22"/>
      <c r="J419" s="22"/>
      <c r="K419" s="22"/>
      <c r="L419" s="22"/>
      <c r="M419" s="488"/>
      <c r="N419" s="22"/>
      <c r="O419" s="323"/>
      <c r="P419" s="301"/>
      <c r="Q419" s="23"/>
      <c r="R419" s="23"/>
      <c r="S419" s="325"/>
      <c r="T419" s="325"/>
      <c r="U419" s="325"/>
      <c r="V419" s="325"/>
      <c r="W419" s="325"/>
      <c r="X419" s="325"/>
      <c r="Y419" s="325"/>
      <c r="Z419" s="325"/>
      <c r="AA419" s="325"/>
      <c r="AB419" s="325"/>
      <c r="AC419" s="325"/>
      <c r="AD419" s="325"/>
      <c r="AE419" s="325"/>
      <c r="AF419" s="325"/>
      <c r="AG419" s="325"/>
      <c r="AH419" s="325"/>
      <c r="AI419" s="325"/>
      <c r="AJ419" s="325"/>
      <c r="AK419" s="325"/>
      <c r="AL419" s="325"/>
      <c r="AM419" s="325"/>
      <c r="AN419" s="325"/>
      <c r="AO419" s="325"/>
      <c r="AP419" s="325"/>
      <c r="AQ419" s="325"/>
      <c r="AR419" s="325"/>
      <c r="AS419" s="325"/>
      <c r="AT419" s="325"/>
      <c r="AU419" s="325"/>
      <c r="AV419" s="325"/>
      <c r="AW419" s="325"/>
      <c r="AX419" s="325"/>
      <c r="AY419" s="325"/>
      <c r="AZ419" s="325"/>
      <c r="BA419" s="325"/>
      <c r="BB419" s="325"/>
      <c r="BC419" s="325"/>
      <c r="BD419" s="325"/>
      <c r="BE419" s="325"/>
      <c r="BF419" s="325"/>
      <c r="BG419" s="325"/>
      <c r="BH419" s="325"/>
      <c r="BI419" s="325"/>
      <c r="BJ419" s="325"/>
      <c r="BK419" s="325"/>
      <c r="BL419" s="325"/>
      <c r="BM419" s="325"/>
      <c r="BN419" s="325"/>
      <c r="BO419" s="325"/>
      <c r="BP419" s="325"/>
      <c r="BQ419" s="325"/>
      <c r="BR419" s="325"/>
      <c r="BS419" s="325"/>
      <c r="BT419" s="325"/>
      <c r="BU419" s="325"/>
      <c r="BV419" s="325"/>
      <c r="BW419" s="325"/>
      <c r="BX419" s="325"/>
      <c r="BY419" s="325"/>
      <c r="BZ419" s="325"/>
      <c r="CA419" s="325"/>
      <c r="CB419" s="325"/>
      <c r="CC419" s="325"/>
      <c r="CD419" s="325"/>
      <c r="CE419" s="325"/>
      <c r="CF419" s="325"/>
      <c r="CG419" s="325"/>
    </row>
    <row r="420" spans="1:85" ht="12.75" customHeight="1" thickBot="1" x14ac:dyDescent="0.3">
      <c r="A420" s="318"/>
      <c r="B420" s="21"/>
      <c r="C420" s="344"/>
      <c r="D420" s="345" t="str">
        <f>Translations!$B$398</f>
        <v>Soveltamisalakerroin:</v>
      </c>
      <c r="E420" s="479"/>
      <c r="F420" s="803"/>
      <c r="G420" s="1125"/>
      <c r="H420" s="1126"/>
      <c r="I420" s="492" t="s">
        <v>52</v>
      </c>
      <c r="J420" s="480"/>
      <c r="K420" s="481" t="str">
        <f>IF(L420="",AU420,"")</f>
        <v/>
      </c>
      <c r="L420" s="607"/>
      <c r="M420" s="489" t="str">
        <f>IF(AND(E408&lt;&gt;"",OR(F420="",G420="",COUNT(K420:L420)=0)),EUconst_ERR_Incomplete,IF(COUNTIF(BB420:BD420,TRUE)&gt;0,EUconst_ERR_Inconsistent,""))</f>
        <v/>
      </c>
      <c r="N420" s="22"/>
      <c r="O420" s="323"/>
      <c r="P420" s="301"/>
      <c r="Q420" s="23"/>
      <c r="R420" s="325"/>
      <c r="S420" s="10"/>
      <c r="T420" s="48" t="str">
        <f>EUconst_CNTR_ScopeFactor&amp;E408</f>
        <v>ScopeFactor_</v>
      </c>
      <c r="U420" s="248" t="str">
        <f>IF(F420="","",INDEX(ScopeAddress,MATCH(F420,ScopeTiers,0)))</f>
        <v/>
      </c>
      <c r="V420" s="382" t="str">
        <f>V413</f>
        <v/>
      </c>
      <c r="W420" s="325"/>
      <c r="X420" s="325"/>
      <c r="Y420" s="452" t="str">
        <f>IF(E408="","",IF(F420=EUconst_NA,EUconst_NA,INDEX(EUwideConstants!$P$153:$P$180,MATCH(T420,EUwideConstants!$S$153:$S$180,0))))</f>
        <v/>
      </c>
      <c r="Z420" s="473" t="str">
        <f>IF(ISBLANK(F420),"",IF(F420=EUconst_NA,"",INDEX(EUwideConstants!$H:$O,MATCH(T420,EUwideConstants!$S:$S,0),MATCH(F420,CNTR_TierList,0))))</f>
        <v/>
      </c>
      <c r="AA420" s="339" t="str">
        <f>IF(G420=EUwideConstants!$A$88,1,"")</f>
        <v/>
      </c>
      <c r="AB420" s="325"/>
      <c r="AC420" s="376" t="b">
        <f>AND(AC413,Y420&lt;&gt;EUconst_NA)</f>
        <v>0</v>
      </c>
      <c r="AD420" s="325"/>
      <c r="AE420" s="325"/>
      <c r="AF420" s="325"/>
      <c r="AG420" s="330"/>
      <c r="AH420" s="325"/>
      <c r="AI420" s="325"/>
      <c r="AJ420" s="325"/>
      <c r="AK420" s="325"/>
      <c r="AL420" s="325"/>
      <c r="AM420" s="325"/>
      <c r="AN420" s="325"/>
      <c r="AO420" s="325"/>
      <c r="AP420" s="325"/>
      <c r="AQ420" s="325"/>
      <c r="AR420" s="325"/>
      <c r="AS420" s="338">
        <v>1</v>
      </c>
      <c r="AT420" s="325"/>
      <c r="AU420" s="330" t="str">
        <f>IF(G420=EUwideConstants!$A$88,AS420,"")</f>
        <v/>
      </c>
      <c r="AV420" s="376">
        <f>IF(AC420=TRUE,IF(COUNT(K420:L420)=0,0,IF(L420="",K420,L420)),0)</f>
        <v>0</v>
      </c>
      <c r="AW420" s="375" t="b">
        <f>AND(AC420=TRUE,OR(AND(F420&lt;&gt;"",NOT(ISNUMBER(AA420))),L420&lt;&gt;"",F420="",AU420=""))</f>
        <v>0</v>
      </c>
      <c r="AX420" s="457" t="b">
        <f>AND(AC420=TRUE,NOT(AW420))</f>
        <v>0</v>
      </c>
      <c r="AY420" s="325"/>
      <c r="AZ420" s="379" t="b">
        <f>AND(ISNUMBER(AA420),AU420="")</f>
        <v>0</v>
      </c>
      <c r="BA420" s="380" t="b">
        <f>AND(ISNUMBER(AA420),AU420&lt;&gt;AV420)</f>
        <v>0</v>
      </c>
      <c r="BB420" s="325"/>
      <c r="BC420" s="33" t="b">
        <f>AND(F420&lt;&gt;"",OR(COUNTIF(INDEX(ScopeMethods,F420,),G420)=0,AND(AA420&lt;&gt;"",AU420&lt;&gt;AV420)))</f>
        <v>0</v>
      </c>
      <c r="BD420" s="325"/>
      <c r="BE420" s="325"/>
      <c r="BF420" s="325"/>
      <c r="BG420" s="325"/>
      <c r="BH420" s="325"/>
      <c r="BI420" s="325"/>
      <c r="BJ420" s="325"/>
      <c r="BK420" s="325"/>
      <c r="BL420" s="325"/>
      <c r="BM420" s="325"/>
      <c r="BN420" s="325"/>
      <c r="BO420" s="325"/>
      <c r="BP420" s="325"/>
      <c r="BQ420" s="325"/>
      <c r="BR420" s="325"/>
      <c r="BS420" s="325"/>
      <c r="BT420" s="325"/>
      <c r="BU420" s="325"/>
      <c r="BV420" s="325"/>
      <c r="BW420" s="325"/>
      <c r="BX420" s="325"/>
      <c r="BY420" s="325"/>
      <c r="BZ420" s="325"/>
      <c r="CA420" s="325"/>
      <c r="CB420" s="325"/>
      <c r="CC420" s="325"/>
      <c r="CD420" s="325"/>
      <c r="CE420" s="325"/>
      <c r="CF420" s="325"/>
      <c r="CG420" s="325"/>
    </row>
    <row r="421" spans="1:85" ht="12.75" customHeight="1" x14ac:dyDescent="0.25">
      <c r="A421" s="318"/>
      <c r="B421" s="21"/>
      <c r="C421" s="21"/>
      <c r="D421" s="21"/>
      <c r="E421" s="21"/>
      <c r="F421" s="21"/>
      <c r="G421" s="1130" t="str">
        <f>IF(G420="","",INDEX(ScopeMethodsDetails,MATCH(G420,INDEX(ScopeMethodsDetails,,1),0),2))</f>
        <v/>
      </c>
      <c r="H421" s="1131"/>
      <c r="I421" s="1131"/>
      <c r="J421" s="1131"/>
      <c r="K421" s="1131"/>
      <c r="L421" s="1131"/>
      <c r="M421" s="1132"/>
      <c r="N421" s="22"/>
      <c r="O421" s="323"/>
      <c r="P421" s="301"/>
      <c r="Q421" s="23"/>
      <c r="R421" s="23"/>
      <c r="S421" s="325"/>
      <c r="T421" s="325"/>
      <c r="U421" s="325"/>
      <c r="V421" s="325"/>
      <c r="W421" s="325"/>
      <c r="X421" s="325"/>
      <c r="Y421" s="325"/>
      <c r="Z421" s="325"/>
      <c r="AA421" s="325"/>
      <c r="AB421" s="325"/>
      <c r="AC421" s="325"/>
      <c r="AD421" s="325"/>
      <c r="AE421" s="325"/>
      <c r="AF421" s="325"/>
      <c r="AG421" s="325"/>
      <c r="AH421" s="325"/>
      <c r="AI421" s="325"/>
      <c r="AJ421" s="325"/>
      <c r="AK421" s="325"/>
      <c r="AL421" s="325"/>
      <c r="AM421" s="325"/>
      <c r="AN421" s="325"/>
      <c r="AO421" s="325"/>
      <c r="AP421" s="325"/>
      <c r="AQ421" s="325"/>
      <c r="AR421" s="325"/>
      <c r="AS421" s="325"/>
      <c r="AT421" s="325"/>
      <c r="AU421" s="325"/>
      <c r="AV421" s="325"/>
      <c r="AW421" s="325"/>
      <c r="AX421" s="325"/>
      <c r="AY421" s="325"/>
      <c r="AZ421" s="325"/>
      <c r="BA421" s="325"/>
      <c r="BB421" s="325"/>
      <c r="BC421" s="325"/>
      <c r="BD421" s="325"/>
      <c r="BE421" s="325"/>
      <c r="BF421" s="325"/>
      <c r="BG421" s="325"/>
      <c r="BH421" s="325"/>
      <c r="BI421" s="325"/>
      <c r="BJ421" s="325"/>
      <c r="BK421" s="325"/>
      <c r="BL421" s="325"/>
      <c r="BM421" s="325"/>
      <c r="BN421" s="325"/>
      <c r="BO421" s="325"/>
      <c r="BP421" s="325"/>
      <c r="BQ421" s="325"/>
      <c r="BR421" s="325"/>
      <c r="BS421" s="325"/>
      <c r="BT421" s="325"/>
      <c r="BU421" s="325"/>
      <c r="BV421" s="325"/>
      <c r="BW421" s="325"/>
      <c r="BX421" s="325"/>
      <c r="BY421" s="325"/>
      <c r="BZ421" s="325"/>
      <c r="CA421" s="325"/>
      <c r="CB421" s="325"/>
      <c r="CC421" s="325"/>
      <c r="CD421" s="325"/>
      <c r="CE421" s="325"/>
      <c r="CF421" s="325"/>
      <c r="CG421" s="325"/>
    </row>
    <row r="422" spans="1:85" ht="5.15" customHeight="1" x14ac:dyDescent="0.25">
      <c r="A422" s="318"/>
      <c r="C422" s="22"/>
      <c r="D422" s="22"/>
      <c r="E422" s="22"/>
      <c r="F422" s="22"/>
      <c r="G422" s="22"/>
      <c r="H422" s="22"/>
      <c r="I422" s="22"/>
      <c r="J422" s="22"/>
      <c r="K422" s="22"/>
      <c r="L422" s="22"/>
      <c r="O422" s="323"/>
      <c r="P422" s="301"/>
      <c r="Q422" s="23"/>
      <c r="R422" s="23"/>
      <c r="S422" s="325"/>
      <c r="T422" s="325"/>
      <c r="U422" s="325"/>
      <c r="V422" s="325"/>
      <c r="W422" s="325"/>
      <c r="X422" s="325"/>
      <c r="Y422" s="325"/>
      <c r="Z422" s="325"/>
      <c r="AA422" s="325"/>
      <c r="AB422" s="325"/>
      <c r="AC422" s="325"/>
      <c r="AD422" s="325"/>
      <c r="AE422" s="325"/>
      <c r="AF422" s="325"/>
      <c r="AG422" s="325"/>
      <c r="AH422" s="325"/>
      <c r="AI422" s="325"/>
      <c r="AJ422" s="325"/>
      <c r="AK422" s="325"/>
      <c r="AL422" s="325"/>
      <c r="AM422" s="325"/>
      <c r="AN422" s="325"/>
      <c r="AO422" s="325"/>
      <c r="AP422" s="325"/>
      <c r="AQ422" s="325"/>
      <c r="AR422" s="325"/>
      <c r="AS422" s="325"/>
      <c r="AT422" s="325"/>
      <c r="AU422" s="325"/>
      <c r="AV422" s="325"/>
      <c r="AW422" s="325"/>
      <c r="AX422" s="325"/>
      <c r="AY422" s="325"/>
      <c r="AZ422" s="325"/>
      <c r="BA422" s="325"/>
      <c r="BB422" s="325"/>
      <c r="BC422" s="325"/>
      <c r="BD422" s="325"/>
      <c r="BE422" s="325"/>
      <c r="BF422" s="325"/>
      <c r="BG422" s="325"/>
      <c r="BH422" s="325"/>
      <c r="BI422" s="325"/>
      <c r="BJ422" s="325"/>
      <c r="BK422" s="325"/>
      <c r="BL422" s="325"/>
      <c r="BM422" s="325"/>
      <c r="BN422" s="325"/>
      <c r="BO422" s="325"/>
      <c r="BP422" s="325"/>
      <c r="BQ422" s="325"/>
      <c r="BR422" s="325"/>
      <c r="BS422" s="325"/>
      <c r="BT422" s="325"/>
      <c r="BU422" s="325"/>
      <c r="BV422" s="325"/>
      <c r="BW422" s="325"/>
      <c r="BX422" s="325"/>
      <c r="BY422" s="325"/>
      <c r="BZ422" s="325"/>
      <c r="CA422" s="325"/>
      <c r="CB422" s="325"/>
      <c r="CC422" s="325"/>
      <c r="CD422" s="325"/>
      <c r="CE422" s="325"/>
      <c r="CF422" s="325"/>
      <c r="CG422" s="325"/>
    </row>
    <row r="423" spans="1:85" ht="12.75" customHeight="1" x14ac:dyDescent="0.25">
      <c r="A423" s="318"/>
      <c r="C423" s="22"/>
      <c r="D423" s="22"/>
      <c r="E423" s="22"/>
      <c r="F423" s="22"/>
      <c r="G423" s="1133">
        <v>1</v>
      </c>
      <c r="H423" s="1133"/>
      <c r="I423" s="1133">
        <v>2</v>
      </c>
      <c r="J423" s="1133"/>
      <c r="K423" s="1133">
        <v>3</v>
      </c>
      <c r="L423" s="1133"/>
      <c r="O423" s="323"/>
      <c r="P423" s="301"/>
      <c r="Q423" s="23"/>
      <c r="R423" s="23"/>
      <c r="S423" s="325"/>
      <c r="T423" s="325"/>
      <c r="U423" s="325"/>
      <c r="V423" s="325"/>
      <c r="W423" s="325"/>
      <c r="X423" s="325"/>
      <c r="Y423" s="325"/>
      <c r="Z423" s="325"/>
      <c r="AA423" s="325"/>
      <c r="AB423" s="325"/>
      <c r="AC423" s="325"/>
      <c r="AD423" s="325"/>
      <c r="AE423" s="325"/>
      <c r="AF423" s="325"/>
      <c r="AG423" s="325"/>
      <c r="AH423" s="325"/>
      <c r="AI423" s="325"/>
      <c r="AJ423" s="325"/>
      <c r="AK423" s="325"/>
      <c r="AL423" s="325"/>
      <c r="AM423" s="325"/>
      <c r="AN423" s="325"/>
      <c r="AO423" s="325"/>
      <c r="AP423" s="325"/>
      <c r="AQ423" s="325"/>
      <c r="AR423" s="325"/>
      <c r="AS423" s="325"/>
      <c r="AT423" s="325"/>
      <c r="AU423" s="325"/>
      <c r="AV423" s="325"/>
      <c r="AW423" s="325"/>
      <c r="AX423" s="325"/>
      <c r="AY423" s="325"/>
      <c r="AZ423" s="325"/>
      <c r="BA423" s="325"/>
      <c r="BB423" s="325"/>
      <c r="BC423" s="325"/>
      <c r="BD423" s="325"/>
      <c r="BE423" s="325"/>
      <c r="BF423" s="325"/>
      <c r="BG423" s="325"/>
      <c r="BH423" s="325"/>
      <c r="BI423" s="325"/>
      <c r="BJ423" s="325"/>
      <c r="BK423" s="325"/>
      <c r="BL423" s="325"/>
      <c r="BM423" s="325"/>
      <c r="BN423" s="325"/>
      <c r="BO423" s="325"/>
      <c r="BP423" s="325"/>
      <c r="BQ423" s="325"/>
      <c r="BR423" s="325"/>
      <c r="BS423" s="325"/>
      <c r="BT423" s="325"/>
      <c r="BU423" s="325"/>
      <c r="BV423" s="325"/>
      <c r="BW423" s="325"/>
      <c r="BX423" s="325"/>
      <c r="BY423" s="325"/>
      <c r="BZ423" s="325"/>
      <c r="CA423" s="325"/>
      <c r="CB423" s="325"/>
      <c r="CC423" s="325"/>
      <c r="CD423" s="325"/>
      <c r="CE423" s="325"/>
      <c r="CF423" s="325"/>
      <c r="CG423" s="325"/>
    </row>
    <row r="424" spans="1:85" ht="12.75" customHeight="1" x14ac:dyDescent="0.25">
      <c r="A424" s="389"/>
      <c r="B424" s="22"/>
      <c r="C424" s="22"/>
      <c r="D424" s="1134" t="str">
        <f>Translations!$B$372</f>
        <v>CRF-luokka</v>
      </c>
      <c r="E424" s="1134"/>
      <c r="F424" s="1135"/>
      <c r="G424" s="1123"/>
      <c r="H424" s="1124"/>
      <c r="I424" s="1123"/>
      <c r="J424" s="1124"/>
      <c r="K424" s="1123"/>
      <c r="L424" s="1124"/>
      <c r="M424" s="623" t="str">
        <f>IF(AND(E407&lt;&gt;"",COUNTA(G424:L424)=0,AX424=FALSE),EUconst_ERR_Incomplete,"")</f>
        <v/>
      </c>
      <c r="N424" s="22"/>
      <c r="O424" s="323"/>
      <c r="P424" s="301"/>
      <c r="Q424" s="23"/>
      <c r="R424" s="23"/>
      <c r="S424" s="325"/>
      <c r="T424" s="325"/>
      <c r="U424" s="325"/>
      <c r="V424" s="325"/>
      <c r="W424" s="325"/>
      <c r="X424" s="325"/>
      <c r="Y424" s="325"/>
      <c r="Z424" s="325"/>
      <c r="AA424" s="325"/>
      <c r="AB424" s="325"/>
      <c r="AC424" s="325"/>
      <c r="AD424" s="325"/>
      <c r="AE424" s="325"/>
      <c r="AF424" s="325"/>
      <c r="AG424" s="325"/>
      <c r="AH424" s="325"/>
      <c r="AI424" s="325"/>
      <c r="AJ424" s="325"/>
      <c r="AK424" s="325"/>
      <c r="AL424" s="325"/>
      <c r="AM424" s="325"/>
      <c r="AN424" s="325"/>
      <c r="AO424" s="325"/>
      <c r="AP424" s="325"/>
      <c r="AQ424" s="325"/>
      <c r="AR424" s="325"/>
      <c r="AS424" s="325"/>
      <c r="AT424" s="325"/>
      <c r="AU424" s="325"/>
      <c r="AV424" s="325"/>
      <c r="AW424" s="325"/>
      <c r="AX424" s="33" t="b">
        <f>AND(AV420&lt;&gt;"",SUM(AV420=1))</f>
        <v>0</v>
      </c>
      <c r="AY424" s="325"/>
      <c r="AZ424" s="325"/>
      <c r="BA424" s="325"/>
      <c r="BB424" s="325"/>
      <c r="BC424" s="325"/>
      <c r="BD424" s="325"/>
      <c r="BE424" s="325"/>
      <c r="BF424" s="325"/>
      <c r="BG424" s="325"/>
      <c r="BH424" s="325"/>
      <c r="BI424" s="325"/>
      <c r="BJ424" s="325"/>
      <c r="BK424" s="325"/>
      <c r="BL424" s="325"/>
      <c r="BM424" s="325"/>
      <c r="BN424" s="325"/>
      <c r="BO424" s="325"/>
      <c r="BP424" s="325"/>
      <c r="BQ424" s="325"/>
      <c r="BR424" s="325"/>
      <c r="BS424" s="325"/>
      <c r="BT424" s="325"/>
      <c r="BU424" s="325"/>
      <c r="BV424" s="325"/>
      <c r="BW424" s="325"/>
      <c r="BX424" s="325"/>
      <c r="BY424" s="325"/>
      <c r="BZ424" s="325"/>
      <c r="CA424" s="325"/>
      <c r="CB424" s="325"/>
      <c r="CC424" s="325"/>
      <c r="CD424" s="325"/>
      <c r="CE424" s="325"/>
      <c r="CF424" s="325"/>
      <c r="CG424" s="325"/>
    </row>
    <row r="425" spans="1:85" ht="5.15" customHeight="1" x14ac:dyDescent="0.25">
      <c r="A425" s="318"/>
      <c r="B425" s="21"/>
      <c r="C425" s="21"/>
      <c r="D425" s="233"/>
      <c r="E425" s="21"/>
      <c r="F425" s="21"/>
      <c r="G425" s="22"/>
      <c r="H425" s="22"/>
      <c r="I425" s="22"/>
      <c r="J425" s="22"/>
      <c r="K425" s="22"/>
      <c r="L425" s="22"/>
      <c r="M425" s="22"/>
      <c r="N425" s="22"/>
      <c r="O425" s="323"/>
      <c r="P425" s="301"/>
      <c r="Q425" s="23"/>
      <c r="R425" s="23"/>
      <c r="S425" s="325"/>
      <c r="T425" s="325"/>
      <c r="U425" s="325"/>
      <c r="V425" s="325"/>
      <c r="W425" s="325"/>
      <c r="X425" s="325"/>
      <c r="Y425" s="325"/>
      <c r="Z425" s="325"/>
      <c r="AA425" s="325"/>
      <c r="AB425" s="325"/>
      <c r="AC425" s="325"/>
      <c r="AD425" s="325"/>
      <c r="AE425" s="325"/>
      <c r="AF425" s="325"/>
      <c r="AG425" s="325"/>
      <c r="AH425" s="325"/>
      <c r="AI425" s="325"/>
      <c r="AJ425" s="325"/>
      <c r="AK425" s="325"/>
      <c r="AL425" s="325"/>
      <c r="AM425" s="325"/>
      <c r="AN425" s="325"/>
      <c r="AO425" s="325"/>
      <c r="AP425" s="325"/>
      <c r="AQ425" s="325"/>
      <c r="AR425" s="325"/>
      <c r="AS425" s="325"/>
      <c r="AT425" s="325"/>
      <c r="AU425" s="325"/>
      <c r="AV425" s="325"/>
      <c r="AW425" s="325"/>
      <c r="AX425" s="325"/>
      <c r="AY425" s="325"/>
      <c r="AZ425" s="325"/>
      <c r="BA425" s="325"/>
      <c r="BB425" s="325"/>
      <c r="BC425" s="325"/>
      <c r="BD425" s="325"/>
      <c r="BE425" s="325"/>
      <c r="BF425" s="325"/>
      <c r="BG425" s="325"/>
      <c r="BH425" s="325"/>
      <c r="BI425" s="325"/>
      <c r="BJ425" s="325"/>
      <c r="BK425" s="325"/>
      <c r="BL425" s="325"/>
      <c r="BM425" s="325"/>
      <c r="BN425" s="325"/>
      <c r="BO425" s="325"/>
      <c r="BP425" s="325"/>
      <c r="BQ425" s="325"/>
      <c r="BR425" s="325"/>
      <c r="BS425" s="325"/>
      <c r="BT425" s="325"/>
      <c r="BU425" s="325"/>
      <c r="BV425" s="325"/>
      <c r="BW425" s="325"/>
      <c r="BX425" s="325"/>
      <c r="BY425" s="325"/>
      <c r="BZ425" s="325"/>
      <c r="CA425" s="325"/>
      <c r="CB425" s="325"/>
      <c r="CC425" s="325"/>
      <c r="CD425" s="325"/>
      <c r="CE425" s="325"/>
      <c r="CF425" s="325"/>
      <c r="CG425" s="325"/>
    </row>
    <row r="426" spans="1:85" ht="8.5" customHeight="1" x14ac:dyDescent="0.25">
      <c r="A426" s="318"/>
      <c r="B426" s="21"/>
      <c r="C426" s="21"/>
      <c r="D426" s="1145"/>
      <c r="E426" s="1145"/>
      <c r="F426" s="1145"/>
      <c r="G426" s="806"/>
      <c r="H426" s="807"/>
      <c r="I426" s="806"/>
      <c r="J426" s="236"/>
      <c r="K426" s="236"/>
      <c r="L426" s="236"/>
      <c r="M426" s="807"/>
      <c r="N426" s="808"/>
      <c r="O426" s="323"/>
      <c r="P426" s="301"/>
      <c r="Q426" s="23"/>
      <c r="R426" s="23"/>
      <c r="S426" s="388"/>
      <c r="T426" s="325"/>
      <c r="U426" s="325"/>
      <c r="V426" s="325"/>
      <c r="W426" s="325"/>
      <c r="X426" s="325"/>
      <c r="Y426" s="325"/>
      <c r="Z426" s="325"/>
      <c r="AA426" s="325"/>
      <c r="AB426" s="325"/>
      <c r="AC426" s="325"/>
      <c r="AD426" s="325"/>
      <c r="AE426" s="325"/>
      <c r="AF426" s="325"/>
      <c r="AG426" s="325"/>
      <c r="AH426" s="325"/>
      <c r="AI426" s="325"/>
      <c r="AJ426" s="325"/>
      <c r="AK426" s="325"/>
      <c r="AL426" s="325"/>
      <c r="AM426" s="325"/>
      <c r="AN426" s="325"/>
      <c r="AO426" s="325"/>
      <c r="AP426" s="325"/>
      <c r="AQ426" s="325"/>
      <c r="AR426" s="325"/>
      <c r="AS426" s="325"/>
      <c r="AT426" s="325"/>
      <c r="AU426" s="325"/>
      <c r="AV426" s="325"/>
      <c r="AW426" s="325"/>
      <c r="AX426" s="325"/>
      <c r="AY426" s="325"/>
      <c r="AZ426" s="325"/>
      <c r="BA426" s="325"/>
      <c r="BB426" s="325"/>
      <c r="BC426" s="325"/>
      <c r="BD426" s="325"/>
      <c r="BE426" s="325"/>
      <c r="BF426" s="325"/>
      <c r="BG426" s="325"/>
      <c r="BH426" s="325"/>
      <c r="BI426" s="325"/>
      <c r="BJ426" s="325"/>
      <c r="BK426" s="325"/>
      <c r="BL426" s="325"/>
      <c r="BM426" s="325"/>
      <c r="BN426" s="325"/>
      <c r="BO426" s="325"/>
      <c r="BP426" s="325"/>
      <c r="BQ426" s="325"/>
      <c r="BR426" s="325"/>
      <c r="BS426" s="325"/>
      <c r="BT426" s="325"/>
      <c r="BU426" s="325"/>
      <c r="BV426" s="325"/>
      <c r="BW426" s="325"/>
      <c r="BX426" s="325"/>
      <c r="BY426" s="325"/>
      <c r="BZ426" s="325"/>
      <c r="CA426" s="325"/>
      <c r="CB426" s="325"/>
      <c r="CC426" s="325"/>
      <c r="CD426" s="325"/>
      <c r="CE426" s="325"/>
      <c r="CF426" s="325"/>
      <c r="CG426" s="33" t="b">
        <f>CG413</f>
        <v>0</v>
      </c>
    </row>
    <row r="427" spans="1:85" ht="5.15" customHeight="1" x14ac:dyDescent="0.25">
      <c r="A427" s="389"/>
      <c r="B427" s="22"/>
      <c r="C427" s="22"/>
      <c r="D427" s="1116" t="str">
        <f>Translations!$B$304</f>
        <v xml:space="preserve">Lisätiedot: 
tapa, jolla biomassan kestävyys on osoitettu; 
muut polttoainevirtaa koskevat lisätiedot. </v>
      </c>
      <c r="E427" s="1116"/>
      <c r="F427" s="1116"/>
      <c r="G427" s="22"/>
      <c r="H427" s="22"/>
      <c r="I427" s="22"/>
      <c r="J427" s="22"/>
      <c r="K427" s="22"/>
      <c r="L427" s="22"/>
      <c r="M427" s="22"/>
      <c r="N427" s="22"/>
      <c r="O427" s="323"/>
      <c r="P427" s="301"/>
      <c r="Q427" s="23"/>
      <c r="R427" s="23"/>
      <c r="S427" s="325"/>
      <c r="T427" s="325"/>
      <c r="U427" s="325"/>
      <c r="V427" s="325"/>
      <c r="W427" s="325"/>
      <c r="X427" s="325"/>
      <c r="Y427" s="325"/>
      <c r="Z427" s="325"/>
      <c r="AA427" s="325"/>
      <c r="AB427" s="325"/>
      <c r="AC427" s="325"/>
      <c r="AD427" s="325"/>
      <c r="AE427" s="325"/>
      <c r="AF427" s="325"/>
      <c r="AG427" s="325"/>
      <c r="AH427" s="325"/>
      <c r="AI427" s="325"/>
      <c r="AJ427" s="325"/>
      <c r="AK427" s="325"/>
      <c r="AL427" s="325"/>
      <c r="AM427" s="325"/>
      <c r="AN427" s="325"/>
      <c r="AO427" s="325"/>
      <c r="AP427" s="325"/>
      <c r="AQ427" s="325"/>
      <c r="AR427" s="325"/>
      <c r="AS427" s="325"/>
      <c r="AT427" s="325"/>
      <c r="AU427" s="325"/>
      <c r="AV427" s="325"/>
      <c r="AW427" s="325"/>
      <c r="AX427" s="325"/>
      <c r="AY427" s="325"/>
      <c r="AZ427" s="325"/>
      <c r="BA427" s="325"/>
      <c r="BB427" s="325"/>
      <c r="BC427" s="325"/>
      <c r="BD427" s="325"/>
      <c r="BE427" s="325"/>
      <c r="BF427" s="325"/>
      <c r="BG427" s="325"/>
      <c r="BH427" s="325"/>
      <c r="BI427" s="325"/>
      <c r="BJ427" s="325"/>
      <c r="BK427" s="325"/>
      <c r="BL427" s="325"/>
      <c r="BM427" s="325"/>
      <c r="BN427" s="325"/>
      <c r="BO427" s="325"/>
      <c r="BP427" s="325"/>
      <c r="BQ427" s="325"/>
      <c r="BR427" s="325"/>
      <c r="BS427" s="325"/>
      <c r="BT427" s="325"/>
      <c r="BU427" s="325"/>
      <c r="BV427" s="325"/>
      <c r="BW427" s="325"/>
      <c r="BX427" s="325"/>
      <c r="BY427" s="325"/>
      <c r="BZ427" s="325"/>
      <c r="CA427" s="325"/>
      <c r="CB427" s="325"/>
      <c r="CC427" s="325"/>
      <c r="CD427" s="325"/>
      <c r="CE427" s="325"/>
      <c r="CF427" s="325"/>
      <c r="CG427" s="325"/>
    </row>
    <row r="428" spans="1:85" ht="38.5" customHeight="1" x14ac:dyDescent="0.25">
      <c r="A428" s="389"/>
      <c r="B428" s="22"/>
      <c r="C428" s="22"/>
      <c r="D428" s="1116"/>
      <c r="E428" s="1116"/>
      <c r="F428" s="1116"/>
      <c r="G428" s="1146"/>
      <c r="H428" s="1147"/>
      <c r="I428" s="1147"/>
      <c r="J428" s="1147"/>
      <c r="K428" s="1147"/>
      <c r="L428" s="1147"/>
      <c r="M428" s="1147"/>
      <c r="N428" s="1148"/>
      <c r="O428" s="323"/>
      <c r="P428" s="301"/>
      <c r="Q428" s="23"/>
      <c r="R428" s="23"/>
      <c r="S428" s="325"/>
      <c r="T428" s="325"/>
      <c r="U428" s="325"/>
      <c r="V428" s="325"/>
      <c r="W428" s="325"/>
      <c r="X428" s="325"/>
      <c r="Y428" s="325"/>
      <c r="Z428" s="325"/>
      <c r="AA428" s="325"/>
      <c r="AB428" s="325"/>
      <c r="AC428" s="325"/>
      <c r="AD428" s="325"/>
      <c r="AE428" s="325"/>
      <c r="AF428" s="325"/>
      <c r="AG428" s="325"/>
      <c r="AH428" s="325"/>
      <c r="AI428" s="325"/>
      <c r="AJ428" s="325"/>
      <c r="AK428" s="325"/>
      <c r="AL428" s="325"/>
      <c r="AM428" s="325"/>
      <c r="AN428" s="325"/>
      <c r="AO428" s="325"/>
      <c r="AP428" s="325"/>
      <c r="AQ428" s="325"/>
      <c r="AR428" s="325"/>
      <c r="AS428" s="325"/>
      <c r="AT428" s="325"/>
      <c r="AU428" s="325"/>
      <c r="AV428" s="325"/>
      <c r="AW428" s="325"/>
      <c r="AX428" s="325"/>
      <c r="AY428" s="325"/>
      <c r="AZ428" s="325"/>
      <c r="BA428" s="325"/>
      <c r="BB428" s="325"/>
      <c r="BC428" s="325"/>
      <c r="BD428" s="325"/>
      <c r="BE428" s="325"/>
      <c r="BF428" s="325"/>
      <c r="BG428" s="325"/>
      <c r="BH428" s="325"/>
      <c r="BI428" s="325"/>
      <c r="BJ428" s="325"/>
      <c r="BK428" s="325"/>
      <c r="BL428" s="325"/>
      <c r="BM428" s="325"/>
      <c r="BN428" s="325"/>
      <c r="BO428" s="325"/>
      <c r="BP428" s="325"/>
      <c r="BQ428" s="325"/>
      <c r="BR428" s="325"/>
      <c r="BS428" s="325"/>
      <c r="BT428" s="325"/>
      <c r="BU428" s="325"/>
      <c r="BV428" s="325"/>
      <c r="BW428" s="325"/>
      <c r="BX428" s="325"/>
      <c r="BY428" s="325"/>
      <c r="BZ428" s="325"/>
      <c r="CA428" s="325"/>
      <c r="CB428" s="325"/>
      <c r="CC428" s="325"/>
      <c r="CD428" s="325"/>
      <c r="CE428" s="325"/>
      <c r="CF428" s="325"/>
      <c r="CG428" s="33" t="b">
        <f>CG426</f>
        <v>0</v>
      </c>
    </row>
    <row r="429" spans="1:85" ht="12.75" customHeight="1" thickBot="1" x14ac:dyDescent="0.3">
      <c r="A429" s="318"/>
      <c r="B429" s="22"/>
      <c r="C429" s="319"/>
      <c r="D429" s="320"/>
      <c r="E429" s="321"/>
      <c r="F429" s="319"/>
      <c r="G429" s="322"/>
      <c r="H429" s="322"/>
      <c r="I429" s="322"/>
      <c r="J429" s="322"/>
      <c r="K429" s="322"/>
      <c r="L429" s="322"/>
      <c r="M429" s="322"/>
      <c r="N429" s="322"/>
      <c r="O429" s="323"/>
      <c r="P429" s="301"/>
      <c r="Q429" s="23"/>
      <c r="R429" s="23"/>
      <c r="S429" s="41"/>
      <c r="T429" s="41"/>
      <c r="U429" s="324"/>
      <c r="V429" s="41"/>
      <c r="W429" s="41"/>
      <c r="X429" s="324"/>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41"/>
      <c r="BM429" s="325"/>
      <c r="BN429" s="325"/>
      <c r="BO429" s="325"/>
      <c r="BP429" s="325"/>
      <c r="BQ429" s="325"/>
      <c r="BR429" s="325"/>
      <c r="BS429" s="325"/>
      <c r="BT429" s="325"/>
      <c r="BU429" s="41"/>
      <c r="BV429" s="41"/>
      <c r="BW429" s="41"/>
      <c r="BX429" s="41"/>
      <c r="BY429" s="41"/>
      <c r="BZ429" s="41"/>
      <c r="CA429" s="41"/>
      <c r="CB429" s="41"/>
      <c r="CC429" s="41"/>
      <c r="CD429" s="41"/>
      <c r="CE429" s="41"/>
      <c r="CF429" s="41"/>
      <c r="CG429" s="41"/>
    </row>
    <row r="430" spans="1:85" ht="12.75" customHeight="1" thickBot="1" x14ac:dyDescent="0.3">
      <c r="A430" s="326"/>
      <c r="B430" s="22"/>
      <c r="C430" s="22"/>
      <c r="D430" s="327"/>
      <c r="E430" s="328"/>
      <c r="F430" s="22"/>
      <c r="G430" s="1"/>
      <c r="H430" s="1"/>
      <c r="I430" s="1"/>
      <c r="J430" s="1"/>
      <c r="K430" s="22"/>
      <c r="L430" s="1"/>
      <c r="M430" s="1"/>
      <c r="N430" s="1"/>
      <c r="O430" s="323"/>
      <c r="P430" s="301"/>
      <c r="Q430" s="23"/>
      <c r="R430" s="23"/>
      <c r="S430" s="2"/>
      <c r="T430" s="20" t="str">
        <f>IF(ISBLANK(E431),"",MATCH(E431,CNTR_SourceStreamNames,0))</f>
        <v/>
      </c>
      <c r="U430" s="329" t="str">
        <f>IF(ISBLANK(E431),"",INDEX('B_Polttoainevirtojen tiedot'!$D$67:$D$91,MATCH(E431,CNTR_SourceStreamNames,0)))</f>
        <v/>
      </c>
      <c r="V430" s="60"/>
      <c r="W430" s="37"/>
      <c r="X430" s="37"/>
      <c r="Y430" s="37"/>
      <c r="Z430" s="41"/>
      <c r="AA430" s="41"/>
      <c r="AB430" s="41"/>
      <c r="AC430" s="41"/>
      <c r="AD430" s="41"/>
      <c r="AE430" s="41"/>
      <c r="AF430" s="41"/>
      <c r="AG430" s="41"/>
      <c r="AH430" s="41"/>
      <c r="AI430" s="41"/>
      <c r="AJ430" s="41"/>
      <c r="AK430" s="23"/>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37"/>
      <c r="BK430" s="37"/>
      <c r="BL430" s="37"/>
      <c r="BM430" s="37"/>
      <c r="BN430" s="37"/>
      <c r="BO430" s="37"/>
      <c r="BP430" s="37"/>
      <c r="BQ430" s="37"/>
      <c r="BR430" s="37"/>
      <c r="BS430" s="37"/>
      <c r="BT430" s="37"/>
      <c r="BU430" s="37"/>
      <c r="BV430" s="37"/>
      <c r="BW430" s="37"/>
      <c r="BX430" s="37"/>
      <c r="BY430" s="37"/>
      <c r="BZ430" s="37"/>
      <c r="CA430" s="37"/>
      <c r="CB430" s="37"/>
      <c r="CC430" s="37"/>
      <c r="CD430" s="37"/>
      <c r="CE430" s="37"/>
      <c r="CF430" s="37"/>
      <c r="CG430" s="330" t="s">
        <v>94</v>
      </c>
    </row>
    <row r="431" spans="1:85" ht="15" customHeight="1" thickBot="1" x14ac:dyDescent="0.3">
      <c r="A431" s="331">
        <f>C431</f>
        <v>17</v>
      </c>
      <c r="B431" s="21"/>
      <c r="C431" s="332">
        <f>C407+1</f>
        <v>17</v>
      </c>
      <c r="D431" s="21"/>
      <c r="E431" s="1117"/>
      <c r="F431" s="1118"/>
      <c r="G431" s="1118"/>
      <c r="H431" s="1118"/>
      <c r="I431" s="1118"/>
      <c r="J431" s="1119"/>
      <c r="K431" s="1138" t="str">
        <f>IF(INDEX('B_Polttoainevirtojen tiedot'!$K$100:$K$124,MATCH(U430,'B_Polttoainevirtojen tiedot'!$D$100:$D$124,0))&gt;0,INDEX('B_Polttoainevirtojen tiedot'!$K$100:$K$124,MATCH(U430,'B_Polttoainevirtojen tiedot'!$D$100:$D$124,0)),"")</f>
        <v/>
      </c>
      <c r="L431" s="1139"/>
      <c r="M431" s="328" t="str">
        <f>Translations!$B$374</f>
        <v>CO2 fossiilinen:</v>
      </c>
      <c r="N431" s="401" t="str">
        <f>IF(E432="","",BG437)</f>
        <v/>
      </c>
      <c r="O431" s="333" t="str">
        <f>EUconst_tCO2</f>
        <v>tCO2</v>
      </c>
      <c r="P431" s="610" t="str">
        <f>IF(AND(E431&lt;&gt;"",COUNTIF(P432:$P$811,"PRINT")=0),"PRINT","")</f>
        <v/>
      </c>
      <c r="Q431" s="335" t="str">
        <f>EUconst_SumCO2</f>
        <v>SUM_CO2</v>
      </c>
      <c r="R431" s="23"/>
      <c r="S431" s="2"/>
      <c r="T431" s="2"/>
      <c r="U431" s="2"/>
      <c r="V431" s="60"/>
      <c r="W431" s="37"/>
      <c r="X431" s="41"/>
      <c r="Y431" s="41"/>
      <c r="Z431" s="41"/>
      <c r="AA431" s="41"/>
      <c r="AB431" s="41"/>
      <c r="AC431" s="41"/>
      <c r="AD431" s="41"/>
      <c r="AE431" s="41"/>
      <c r="AF431" s="41"/>
      <c r="AG431" s="41"/>
      <c r="AH431" s="41"/>
      <c r="AI431" s="337"/>
      <c r="AJ431" s="337"/>
      <c r="AK431" s="337"/>
      <c r="AL431" s="337"/>
      <c r="AM431" s="337"/>
      <c r="AN431" s="337"/>
      <c r="AO431" s="337"/>
      <c r="AP431" s="337"/>
      <c r="AQ431" s="337"/>
      <c r="AR431" s="337"/>
      <c r="AS431" s="337"/>
      <c r="AT431" s="337"/>
      <c r="AU431" s="337"/>
      <c r="AV431" s="337"/>
      <c r="AW431" s="337"/>
      <c r="AX431" s="337"/>
      <c r="AY431" s="337"/>
      <c r="AZ431" s="337"/>
      <c r="BA431" s="337"/>
      <c r="BB431" s="337"/>
      <c r="BC431" s="337"/>
      <c r="BD431" s="337"/>
      <c r="BE431" s="337"/>
      <c r="BF431" s="337"/>
      <c r="BG431" s="337"/>
      <c r="BH431" s="337"/>
      <c r="BI431" s="483" t="str">
        <f>IF(E431="","",E431)</f>
        <v/>
      </c>
      <c r="BJ431" s="338" t="str">
        <f>IF(F437="","",F437)</f>
        <v/>
      </c>
      <c r="BK431" s="485">
        <f>AV437</f>
        <v>0</v>
      </c>
      <c r="BL431" s="485">
        <f>IF(BK431="","",BK431*(1-BP431))</f>
        <v>0</v>
      </c>
      <c r="BM431" s="338" t="str">
        <f>AJ437</f>
        <v/>
      </c>
      <c r="BN431" s="338" t="str">
        <f>IF(F444="","",F444)</f>
        <v/>
      </c>
      <c r="BO431" s="483" t="str">
        <f>IF(G444="","",G444)</f>
        <v/>
      </c>
      <c r="BP431" s="484">
        <f>AV444</f>
        <v>0</v>
      </c>
      <c r="BQ431" s="338" t="str">
        <f>IF(F440="","",F440)</f>
        <v/>
      </c>
      <c r="BR431" s="484">
        <f>AV440</f>
        <v>0</v>
      </c>
      <c r="BS431" s="484" t="str">
        <f>AJ440</f>
        <v/>
      </c>
      <c r="BT431" s="338" t="str">
        <f>IF(F439="","",F439)</f>
        <v/>
      </c>
      <c r="BU431" s="484">
        <f>IF(F439=EUconst_NA,"",AV439)</f>
        <v>0</v>
      </c>
      <c r="BV431" s="484" t="str">
        <f>AJ439</f>
        <v/>
      </c>
      <c r="BW431" s="338" t="str">
        <f>IF(F441="","",F441)</f>
        <v/>
      </c>
      <c r="BX431" s="484">
        <f>AV441</f>
        <v>0</v>
      </c>
      <c r="BY431" s="338" t="str">
        <f>IF(F442="","",F442)</f>
        <v/>
      </c>
      <c r="BZ431" s="484">
        <f>AV442</f>
        <v>0</v>
      </c>
      <c r="CA431" s="485" t="str">
        <f>N431</f>
        <v/>
      </c>
      <c r="CB431" s="485" t="str">
        <f>N432</f>
        <v/>
      </c>
      <c r="CC431" s="485" t="str">
        <f>R434</f>
        <v/>
      </c>
      <c r="CD431" s="485" t="str">
        <f>R436</f>
        <v/>
      </c>
      <c r="CE431" s="485" t="str">
        <f>R437</f>
        <v/>
      </c>
      <c r="CF431" s="37"/>
      <c r="CG431" s="339" t="b">
        <v>0</v>
      </c>
    </row>
    <row r="432" spans="1:85" ht="15" customHeight="1" thickBot="1" x14ac:dyDescent="0.3">
      <c r="A432" s="318"/>
      <c r="B432" s="21"/>
      <c r="C432" s="21"/>
      <c r="D432" s="21"/>
      <c r="E432" s="1127" t="str">
        <f>IF(ISBLANK(E431),"",IF(INDEX('B_Polttoainevirtojen tiedot'!$E$67:$E$91,MATCH(U430,'B_Polttoainevirtojen tiedot'!$D$67:$D$91,0))&gt;0,INDEX('B_Polttoainevirtojen tiedot'!$E$67:$E$91,MATCH(U430,'B_Polttoainevirtojen tiedot'!$D$67:$D$91,0)),""))</f>
        <v/>
      </c>
      <c r="F432" s="1128"/>
      <c r="G432" s="1128"/>
      <c r="H432" s="1128"/>
      <c r="I432" s="1128"/>
      <c r="J432" s="1129"/>
      <c r="K432" s="1138" t="str">
        <f>IF(INDEX('B_Polttoainevirtojen tiedot'!$M$100:$M$124,MATCH(U430,'B_Polttoainevirtojen tiedot'!$D$100:$D$124,0))&gt;0,INDEX('B_Polttoainevirtojen tiedot'!$M$100:$M$124,MATCH(U430,'B_Polttoainevirtojen tiedot'!$D$100:$D$124,0)),"")</f>
        <v/>
      </c>
      <c r="L432" s="1139"/>
      <c r="M432" s="340" t="str">
        <f>Translations!$B$375</f>
        <v>CO2 bio:</v>
      </c>
      <c r="N432" s="482" t="str">
        <f>IF(E432="","",BG439)</f>
        <v/>
      </c>
      <c r="O432" s="341" t="str">
        <f>EUconst_tCO2</f>
        <v>tCO2</v>
      </c>
      <c r="P432" s="301"/>
      <c r="Q432" s="335" t="str">
        <f>EUconst_SumBioCO2</f>
        <v>SUM_bioCO2</v>
      </c>
      <c r="R432" s="23"/>
      <c r="S432" s="2"/>
      <c r="T432" s="2"/>
      <c r="U432" s="2"/>
      <c r="V432" s="60"/>
      <c r="W432" s="37"/>
      <c r="X432" s="41"/>
      <c r="Y432" s="20" t="str">
        <f>Translations!$B$143</f>
        <v>Määrittämistasot</v>
      </c>
      <c r="Z432" s="325"/>
      <c r="AA432" s="325"/>
      <c r="AB432" s="325"/>
      <c r="AC432" s="325"/>
      <c r="AD432" s="325"/>
      <c r="AE432" s="20" t="s">
        <v>95</v>
      </c>
      <c r="AF432" s="41"/>
      <c r="AG432" s="342"/>
      <c r="AH432" s="325"/>
      <c r="AI432" s="325"/>
      <c r="AJ432" s="342"/>
      <c r="AK432" s="342"/>
      <c r="AL432" s="337"/>
      <c r="AM432" s="337"/>
      <c r="AN432" s="337"/>
      <c r="AO432" s="337"/>
      <c r="AP432" s="337"/>
      <c r="AQ432" s="20" t="s">
        <v>96</v>
      </c>
      <c r="AR432" s="343"/>
      <c r="AS432" s="343"/>
      <c r="AT432" s="325"/>
      <c r="AU432" s="325"/>
      <c r="AV432" s="325"/>
      <c r="AW432" s="325"/>
      <c r="AX432" s="325"/>
      <c r="AY432" s="325"/>
      <c r="AZ432" s="20" t="s">
        <v>97</v>
      </c>
      <c r="BA432" s="325"/>
      <c r="BB432" s="325"/>
      <c r="BC432" s="325"/>
      <c r="BD432" s="325"/>
      <c r="BE432" s="325"/>
      <c r="BF432" s="20" t="s">
        <v>98</v>
      </c>
      <c r="BG432" s="325"/>
      <c r="BH432" s="325"/>
      <c r="BI432" s="20" t="s">
        <v>99</v>
      </c>
      <c r="BJ432" s="338" t="str">
        <f>Translations!$B$376</f>
        <v>RFA-määrittämistaso</v>
      </c>
      <c r="BK432" s="338" t="str">
        <f>Translations!$B$377</f>
        <v>RFA</v>
      </c>
      <c r="BL432" s="338" t="str">
        <f>Translations!$B$378</f>
        <v>RFA (SF:n jälkeen)</v>
      </c>
      <c r="BM432" s="338" t="str">
        <f>Translations!$B$379</f>
        <v>RFA-yksikkö</v>
      </c>
      <c r="BN432" s="338" t="str">
        <f>Translations!$B$380</f>
        <v>SF-määrittämistaso</v>
      </c>
      <c r="BO432" s="338" t="str">
        <f>Translations!$B$380</f>
        <v>SF-määrittämistaso</v>
      </c>
      <c r="BP432" s="338" t="str">
        <f>Translations!$B$381</f>
        <v>SF</v>
      </c>
      <c r="BQ432" s="338" t="str">
        <f>Translations!$B$382</f>
        <v>EF-määrittämistaso</v>
      </c>
      <c r="BR432" s="338" t="str">
        <f>Translations!$B$383</f>
        <v>EF</v>
      </c>
      <c r="BS432" s="338" t="str">
        <f>Translations!$B$384</f>
        <v>EF-yksikkö</v>
      </c>
      <c r="BT432" s="338" t="str">
        <f>Translations!$B$385</f>
        <v>UCF-määrittämistaso</v>
      </c>
      <c r="BU432" s="338" t="str">
        <f>Translations!$B$386</f>
        <v>UCF</v>
      </c>
      <c r="BV432" s="338" t="str">
        <f>Translations!$B$387</f>
        <v>UCF-yksikkö</v>
      </c>
      <c r="BW432" s="338" t="str">
        <f>Translations!$B$388</f>
        <v>Bio-määrittämistaso</v>
      </c>
      <c r="BX432" s="338" t="s">
        <v>100</v>
      </c>
      <c r="BY432" s="338" t="str">
        <f>Translations!$B$389</f>
        <v>NonSustBio-määrittämistaso</v>
      </c>
      <c r="BZ432" s="338" t="s">
        <v>101</v>
      </c>
      <c r="CA432" s="338" t="str">
        <f>Translations!$B$390</f>
        <v>CO2 fossil</v>
      </c>
      <c r="CB432" s="338" t="str">
        <f>Translations!$B$391</f>
        <v>CO2 bio</v>
      </c>
      <c r="CC432" s="338" t="str">
        <f>Translations!$B$392</f>
        <v>CO2 non-sust</v>
      </c>
      <c r="CD432" s="338" t="s">
        <v>102</v>
      </c>
      <c r="CE432" s="338" t="s">
        <v>103</v>
      </c>
      <c r="CF432" s="325"/>
      <c r="CG432" s="325"/>
    </row>
    <row r="433" spans="1:85" ht="5.15" customHeight="1" thickBot="1" x14ac:dyDescent="0.3">
      <c r="A433" s="318"/>
      <c r="B433" s="21"/>
      <c r="C433" s="21"/>
      <c r="D433" s="21"/>
      <c r="E433" s="21"/>
      <c r="F433" s="21"/>
      <c r="G433" s="21"/>
      <c r="H433" s="22"/>
      <c r="I433" s="22"/>
      <c r="J433" s="22"/>
      <c r="K433" s="22"/>
      <c r="L433" s="22"/>
      <c r="M433" s="22"/>
      <c r="N433" s="22"/>
      <c r="O433" s="323"/>
      <c r="P433" s="301"/>
      <c r="Q433" s="23"/>
      <c r="R433" s="23"/>
      <c r="S433" s="2"/>
      <c r="T433" s="2"/>
      <c r="U433" s="2"/>
      <c r="V433" s="60"/>
      <c r="W433" s="325"/>
      <c r="X433" s="325"/>
      <c r="Y433" s="23"/>
      <c r="Z433" s="325"/>
      <c r="AA433" s="325"/>
      <c r="AB433" s="325"/>
      <c r="AC433" s="325"/>
      <c r="AD433" s="325"/>
      <c r="AE433" s="325"/>
      <c r="AF433" s="41"/>
      <c r="AG433" s="325"/>
      <c r="AH433" s="325"/>
      <c r="AI433" s="325"/>
      <c r="AJ433" s="342"/>
      <c r="AK433" s="342"/>
      <c r="AL433" s="337"/>
      <c r="AM433" s="337"/>
      <c r="AN433" s="337"/>
      <c r="AO433" s="337"/>
      <c r="AP433" s="337"/>
      <c r="AQ433" s="325"/>
      <c r="AR433" s="325"/>
      <c r="AS433" s="325"/>
      <c r="AT433" s="325"/>
      <c r="AU433" s="325"/>
      <c r="AV433" s="325"/>
      <c r="AW433" s="325"/>
      <c r="AX433" s="325"/>
      <c r="AY433" s="325"/>
      <c r="AZ433" s="325"/>
      <c r="BA433" s="325"/>
      <c r="BB433" s="325"/>
      <c r="BC433" s="325"/>
      <c r="BD433" s="325"/>
      <c r="BE433" s="325"/>
      <c r="BF433" s="325"/>
      <c r="BG433" s="325"/>
      <c r="BH433" s="325"/>
      <c r="BI433" s="325"/>
      <c r="BJ433" s="325"/>
      <c r="BK433" s="325"/>
      <c r="BL433" s="325"/>
      <c r="BM433" s="325"/>
      <c r="BN433" s="325"/>
      <c r="BO433" s="325"/>
      <c r="BP433" s="325"/>
      <c r="BQ433" s="325"/>
      <c r="BR433" s="325"/>
      <c r="BS433" s="325"/>
      <c r="BT433" s="325"/>
      <c r="BU433" s="325"/>
      <c r="BV433" s="325"/>
      <c r="BW433" s="325"/>
      <c r="BX433" s="325"/>
      <c r="BY433" s="325"/>
      <c r="BZ433" s="325"/>
      <c r="CA433" s="325"/>
      <c r="CB433" s="325"/>
      <c r="CC433" s="325"/>
      <c r="CD433" s="325"/>
      <c r="CE433" s="325"/>
      <c r="CF433" s="325"/>
      <c r="CG433" s="325"/>
    </row>
    <row r="434" spans="1:85" ht="12.75" customHeight="1" thickBot="1" x14ac:dyDescent="0.3">
      <c r="A434" s="318"/>
      <c r="B434" s="21"/>
      <c r="C434" s="21"/>
      <c r="D434" s="21"/>
      <c r="E434" s="1140" t="str">
        <f>IF(E431="","",HYPERLINK("#JUMP_E_Top",EUconst_FurtherGuidancePoint1))</f>
        <v/>
      </c>
      <c r="F434" s="1140"/>
      <c r="G434" s="1140"/>
      <c r="H434" s="1140"/>
      <c r="I434" s="1140"/>
      <c r="J434" s="1140"/>
      <c r="K434" s="1140"/>
      <c r="L434" s="1140"/>
      <c r="M434" s="1140"/>
      <c r="N434" s="22"/>
      <c r="O434" s="323"/>
      <c r="P434" s="301"/>
      <c r="Q434" s="335" t="str">
        <f>EUconst_SumNonSustBioCO2</f>
        <v>SUM_bioNonSustCO2</v>
      </c>
      <c r="R434" s="500" t="str">
        <f>IF(E432="","",BG440)</f>
        <v/>
      </c>
      <c r="S434" s="2"/>
      <c r="T434" s="2"/>
      <c r="U434" s="2"/>
      <c r="V434" s="325"/>
      <c r="W434" s="325"/>
      <c r="X434" s="325"/>
      <c r="Y434" s="41"/>
      <c r="Z434" s="325"/>
      <c r="AA434" s="325"/>
      <c r="AB434" s="325"/>
      <c r="AC434" s="325"/>
      <c r="AD434" s="325"/>
      <c r="AE434" s="325"/>
      <c r="AF434" s="41"/>
      <c r="AG434" s="325"/>
      <c r="AH434" s="325"/>
      <c r="AI434" s="325"/>
      <c r="AJ434" s="342"/>
      <c r="AK434" s="342"/>
      <c r="AL434" s="337"/>
      <c r="AM434" s="337"/>
      <c r="AN434" s="337"/>
      <c r="AO434" s="337"/>
      <c r="AP434" s="337"/>
      <c r="AQ434" s="325"/>
      <c r="AR434" s="325"/>
      <c r="AS434" s="325"/>
      <c r="AT434" s="325"/>
      <c r="AU434" s="325"/>
      <c r="AV434" s="325"/>
      <c r="AW434" s="325"/>
      <c r="AX434" s="325"/>
      <c r="AY434" s="325"/>
      <c r="AZ434" s="325"/>
      <c r="BA434" s="325"/>
      <c r="BB434" s="325"/>
      <c r="BC434" s="325"/>
      <c r="BD434" s="325"/>
      <c r="BE434" s="325"/>
      <c r="BF434" s="325"/>
      <c r="BG434" s="325"/>
      <c r="BH434" s="325"/>
      <c r="BI434" s="20" t="s">
        <v>104</v>
      </c>
      <c r="BJ434" s="343"/>
      <c r="BK434" s="483" t="str">
        <f>IF(G448="","",G448)</f>
        <v/>
      </c>
      <c r="BL434" s="483" t="str">
        <f>IF(I448="","",I448)</f>
        <v/>
      </c>
      <c r="BM434" s="483" t="str">
        <f>IF(K448="","",K448)</f>
        <v/>
      </c>
      <c r="BN434" s="325"/>
      <c r="BO434" s="325"/>
      <c r="BP434" s="325"/>
      <c r="BQ434" s="325"/>
      <c r="BR434" s="325"/>
      <c r="BS434" s="325"/>
      <c r="BT434" s="330"/>
      <c r="BU434" s="325"/>
      <c r="BV434" s="325"/>
      <c r="BW434" s="325"/>
      <c r="BX434" s="325"/>
      <c r="BY434" s="325"/>
      <c r="BZ434" s="325"/>
      <c r="CA434" s="325"/>
      <c r="CB434" s="325"/>
      <c r="CC434" s="325"/>
      <c r="CD434" s="325"/>
      <c r="CE434" s="325"/>
      <c r="CF434" s="325"/>
      <c r="CG434" s="325"/>
    </row>
    <row r="435" spans="1:85" ht="5.15" customHeight="1" thickBot="1" x14ac:dyDescent="0.3">
      <c r="A435" s="318"/>
      <c r="B435" s="21"/>
      <c r="C435" s="21"/>
      <c r="D435" s="21"/>
      <c r="E435" s="21"/>
      <c r="F435" s="21"/>
      <c r="G435" s="21"/>
      <c r="H435" s="22"/>
      <c r="I435" s="22"/>
      <c r="J435" s="22"/>
      <c r="K435" s="22"/>
      <c r="L435" s="22"/>
      <c r="M435" s="22"/>
      <c r="N435" s="22"/>
      <c r="O435" s="323"/>
      <c r="P435" s="259"/>
      <c r="Q435" s="2"/>
      <c r="R435" s="259"/>
      <c r="S435" s="2"/>
      <c r="T435" s="2"/>
      <c r="U435" s="2"/>
      <c r="V435" s="325"/>
      <c r="W435" s="325"/>
      <c r="X435" s="325"/>
      <c r="Y435" s="23"/>
      <c r="Z435" s="325"/>
      <c r="AA435" s="325"/>
      <c r="AB435" s="325"/>
      <c r="AC435" s="325"/>
      <c r="AD435" s="325"/>
      <c r="AE435" s="325"/>
      <c r="AF435" s="41"/>
      <c r="AG435" s="325"/>
      <c r="AH435" s="325"/>
      <c r="AI435" s="325"/>
      <c r="AJ435" s="342"/>
      <c r="AK435" s="342"/>
      <c r="AL435" s="337"/>
      <c r="AM435" s="337"/>
      <c r="AN435" s="337"/>
      <c r="AO435" s="337"/>
      <c r="AP435" s="337"/>
      <c r="AQ435" s="325"/>
      <c r="AR435" s="325"/>
      <c r="AS435" s="325"/>
      <c r="AT435" s="325"/>
      <c r="AU435" s="325"/>
      <c r="AV435" s="325"/>
      <c r="AW435" s="325"/>
      <c r="AX435" s="325"/>
      <c r="AY435" s="325"/>
      <c r="AZ435" s="325"/>
      <c r="BA435" s="325"/>
      <c r="BB435" s="325"/>
      <c r="BC435" s="325"/>
      <c r="BD435" s="325"/>
      <c r="BE435" s="325"/>
      <c r="BF435" s="325"/>
      <c r="BG435" s="325"/>
      <c r="BH435" s="325"/>
      <c r="BI435" s="325"/>
      <c r="BJ435" s="325"/>
      <c r="BK435" s="325"/>
      <c r="BL435" s="325"/>
      <c r="BM435" s="325"/>
      <c r="BN435" s="325"/>
      <c r="BO435" s="325"/>
      <c r="BP435" s="325"/>
      <c r="BQ435" s="325"/>
      <c r="BR435" s="325"/>
      <c r="BS435" s="325"/>
      <c r="BT435" s="325"/>
      <c r="BU435" s="325"/>
      <c r="BV435" s="325"/>
      <c r="BW435" s="325"/>
      <c r="BX435" s="325"/>
      <c r="BY435" s="325"/>
      <c r="BZ435" s="325"/>
      <c r="CA435" s="325"/>
      <c r="CB435" s="325"/>
      <c r="CC435" s="325"/>
      <c r="CD435" s="325"/>
      <c r="CE435" s="325"/>
      <c r="CF435" s="325"/>
      <c r="CG435" s="325"/>
    </row>
    <row r="436" spans="1:85" ht="12.75" customHeight="1" thickBot="1" x14ac:dyDescent="0.3">
      <c r="A436" s="318"/>
      <c r="B436" s="21"/>
      <c r="C436" s="21"/>
      <c r="D436" s="21"/>
      <c r="E436" s="21"/>
      <c r="F436" s="347" t="str">
        <f>Translations!$B$127</f>
        <v>Määrittämistaso</v>
      </c>
      <c r="G436" s="1141" t="str">
        <f>Translations!$B$393</f>
        <v>määrittämistason kuvaus</v>
      </c>
      <c r="H436" s="1141"/>
      <c r="I436" s="1142" t="str">
        <f>Translations!$B$394</f>
        <v>Yksikkö</v>
      </c>
      <c r="J436" s="1142"/>
      <c r="K436" s="1142" t="str">
        <f>Translations!$B$395</f>
        <v>Arvo</v>
      </c>
      <c r="L436" s="1142"/>
      <c r="M436" s="327" t="str">
        <f>Translations!$B$396</f>
        <v>virhe</v>
      </c>
      <c r="N436" s="22"/>
      <c r="O436" s="323"/>
      <c r="P436" s="611"/>
      <c r="Q436" s="335" t="str">
        <f>EUconst_SumEnergyIN</f>
        <v>SUM_EnergyIN</v>
      </c>
      <c r="R436" s="501" t="str">
        <f>IF(E432="","",BG441)</f>
        <v/>
      </c>
      <c r="S436" s="325"/>
      <c r="T436" s="325"/>
      <c r="U436" s="325"/>
      <c r="V436" s="336" t="s">
        <v>105</v>
      </c>
      <c r="W436" s="325"/>
      <c r="X436" s="325"/>
      <c r="Y436" s="23" t="s">
        <v>106</v>
      </c>
      <c r="Z436" s="23" t="s">
        <v>107</v>
      </c>
      <c r="AA436" s="325"/>
      <c r="AB436" s="325"/>
      <c r="AC436" s="343" t="s">
        <v>108</v>
      </c>
      <c r="AD436" s="325"/>
      <c r="AE436" s="325"/>
      <c r="AF436" s="325" t="s">
        <v>109</v>
      </c>
      <c r="AG436" s="325" t="s">
        <v>110</v>
      </c>
      <c r="AH436" s="23" t="s">
        <v>111</v>
      </c>
      <c r="AI436" s="342" t="s">
        <v>112</v>
      </c>
      <c r="AJ436" s="342" t="s">
        <v>113</v>
      </c>
      <c r="AK436" s="348" t="s">
        <v>114</v>
      </c>
      <c r="AL436" s="337"/>
      <c r="AM436" s="337"/>
      <c r="AN436" s="337"/>
      <c r="AO436" s="337"/>
      <c r="AP436" s="337"/>
      <c r="AQ436" s="325"/>
      <c r="AR436" s="325" t="s">
        <v>109</v>
      </c>
      <c r="AS436" s="325" t="s">
        <v>110</v>
      </c>
      <c r="AT436" s="349" t="s">
        <v>115</v>
      </c>
      <c r="AU436" s="342" t="s">
        <v>116</v>
      </c>
      <c r="AV436" s="342" t="s">
        <v>117</v>
      </c>
      <c r="AW436" s="348" t="s">
        <v>114</v>
      </c>
      <c r="AX436" s="348" t="s">
        <v>114</v>
      </c>
      <c r="AY436" s="325"/>
      <c r="AZ436" s="325"/>
      <c r="BA436" s="325"/>
      <c r="BB436" s="325" t="s">
        <v>118</v>
      </c>
      <c r="BC436" s="325"/>
      <c r="BD436" s="325"/>
      <c r="BE436" s="325"/>
      <c r="BF436" s="325"/>
      <c r="BG436" s="330" t="str">
        <f>EUconst_Fuel</f>
        <v>Poltto</v>
      </c>
      <c r="BH436" s="325"/>
      <c r="BI436" s="325"/>
      <c r="BJ436" s="325"/>
      <c r="BK436" s="325"/>
      <c r="BL436" s="325"/>
      <c r="BM436" s="325"/>
      <c r="BN436" s="325"/>
      <c r="BO436" s="325"/>
      <c r="BP436" s="325"/>
      <c r="BQ436" s="325"/>
      <c r="BR436" s="325"/>
      <c r="BS436" s="325"/>
      <c r="BT436" s="325"/>
      <c r="BU436" s="325"/>
      <c r="BV436" s="325"/>
      <c r="BW436" s="325"/>
      <c r="BX436" s="325"/>
      <c r="BY436" s="325"/>
      <c r="BZ436" s="325"/>
      <c r="CA436" s="325"/>
      <c r="CB436" s="325"/>
      <c r="CC436" s="325"/>
      <c r="CD436" s="325"/>
      <c r="CE436" s="325"/>
      <c r="CF436" s="325"/>
      <c r="CG436" s="330" t="s">
        <v>94</v>
      </c>
    </row>
    <row r="437" spans="1:85" ht="12.75" customHeight="1" thickBot="1" x14ac:dyDescent="0.3">
      <c r="A437" s="318"/>
      <c r="B437" s="21"/>
      <c r="C437" s="344"/>
      <c r="D437" s="345" t="str">
        <f>Translations!$B$356</f>
        <v>Polttoaineen määrä:</v>
      </c>
      <c r="E437" s="350"/>
      <c r="F437" s="351"/>
      <c r="G437" s="1120" t="str">
        <f>IF(OR(ISBLANK(F437),F437=EUconst_NoTier),"",IF(Z437=0,EUconst_NA,IF(ISERROR(Z437),"",Z437)))</f>
        <v/>
      </c>
      <c r="H437" s="1122"/>
      <c r="I437" s="352" t="str">
        <f>IF(J437&lt;&gt;"","",AI437)</f>
        <v/>
      </c>
      <c r="J437" s="353"/>
      <c r="K437" s="1143"/>
      <c r="L437" s="1144"/>
      <c r="M437" s="486" t="str">
        <f>IF(AND(E432&lt;&gt;"",OR(F437="",COUNT(K437)=0),Y437&lt;&gt;EUconst_NA),EUconst_ERR_Incomplete,"")</f>
        <v/>
      </c>
      <c r="N437" s="22"/>
      <c r="O437" s="323"/>
      <c r="P437" s="612"/>
      <c r="Q437" s="335" t="str">
        <f>EUconst_SumBioEnergyIN</f>
        <v>SUM_BioEnergyIN</v>
      </c>
      <c r="R437" s="501" t="str">
        <f>IF(E432="","",BG442)</f>
        <v/>
      </c>
      <c r="S437" s="325"/>
      <c r="T437" s="355" t="str">
        <f>EUconst_CNTR_ActivityData&amp;E432</f>
        <v>ActivityData_</v>
      </c>
      <c r="U437" s="23"/>
      <c r="V437" s="355" t="str">
        <f>IF(E431="","",INDEX('B_Polttoainevirtojen tiedot'!$I$67:$I$91,MATCH(U430,'B_Polttoainevirtojen tiedot'!$D$67:$D$91,0)))</f>
        <v/>
      </c>
      <c r="W437" s="342" t="s">
        <v>121</v>
      </c>
      <c r="X437" s="23"/>
      <c r="Y437" s="356" t="str">
        <f>IF(E432="","",INDEX(EUwideConstants!$P$153:$P$180,MATCH(T437,EUwideConstants!$S$153:$S$180,0)))</f>
        <v/>
      </c>
      <c r="Z437" s="357" t="str">
        <f>IF(ISBLANK(F437),"",IF(F437=EUconst_NA,"",INDEX(EUwideConstants!$H:$O,MATCH(T437,EUwideConstants!$S:$S,0),MATCH(F437,CNTR_TierList,0))))</f>
        <v/>
      </c>
      <c r="AA437" s="358" t="s">
        <v>111</v>
      </c>
      <c r="AB437" s="342"/>
      <c r="AC437" s="339" t="b">
        <f>E431&lt;&gt;""</f>
        <v>0</v>
      </c>
      <c r="AD437" s="325"/>
      <c r="AE437" s="359" t="str">
        <f>EUconst_CNTR_ActivityData&amp;EUconst_Unit</f>
        <v>ActivityData_Yksikkö</v>
      </c>
      <c r="AF437" s="360" t="str">
        <f>IF(AC437=TRUE, IF(COUNTIF(MSPara_SourceStreamCategory,V437)=0,"",INDEX(MSPara_CalcFactorsMatrix,MATCH(V437,MSPara_SourceStreamCategory,0),MATCH(AE437&amp;"_"&amp;2,MSPara_CalcFactors,0))),"")</f>
        <v/>
      </c>
      <c r="AG437" s="361" t="str">
        <f>IF(AC437=TRUE, IF(COUNTIF(MSPara_SourceStreamCategory,V437)=0,"",INDEX(MSPara_CalcFactorsMatrix,MATCH(V437,MSPara_SourceStreamCategory,0),MATCH(AE437&amp;"_"&amp;1,MSPara_CalcFactors,0))),"")</f>
        <v/>
      </c>
      <c r="AH437" s="339" t="str">
        <f>IF(OR(AF437="",AF437=EUconst_NA),IF(OR(AG437=EUconst_NA,AG437=""),"",AG437),AF437)</f>
        <v/>
      </c>
      <c r="AI437" s="356" t="str">
        <f>IF(AC437=TRUE,IF(AH437="",EUconst_t,AH437),"")</f>
        <v/>
      </c>
      <c r="AJ437" s="362" t="str">
        <f>IF(J437="",AI437,J437)</f>
        <v/>
      </c>
      <c r="AK437" s="363" t="b">
        <f>AND(E431&lt;&gt;"",J437&lt;&gt;"")</f>
        <v>0</v>
      </c>
      <c r="AL437" s="337"/>
      <c r="AM437" s="404" t="s">
        <v>122</v>
      </c>
      <c r="AN437" s="403" t="str">
        <f>AJ437</f>
        <v/>
      </c>
      <c r="AO437" s="337"/>
      <c r="AP437" s="337"/>
      <c r="AQ437" s="355" t="str">
        <f>EUconst_CNTR_ActivityData&amp;EUconst_Value</f>
        <v>ActivityData_Arvo</v>
      </c>
      <c r="AR437" s="343"/>
      <c r="AS437" s="343"/>
      <c r="AT437" s="339" t="b">
        <f>AND(AND(AH437&lt;&gt;"",AJ437&lt;&gt;""),AJ437=AH437)</f>
        <v>0</v>
      </c>
      <c r="AU437" s="325"/>
      <c r="AV437" s="339">
        <f>IF(Y437=EUconst_NA,0,IF(COUNT(K437:K437)=0,0,IF(K437="",#REF!,K437)))</f>
        <v>0</v>
      </c>
      <c r="AW437" s="346" t="b">
        <f>AND(AC437=TRUE,OR(K437&lt;&gt;"",AU437=""))</f>
        <v>0</v>
      </c>
      <c r="AX437" s="346" t="b">
        <f>AND(AC437=TRUE,NOT(AW437))</f>
        <v>0</v>
      </c>
      <c r="AY437" s="325"/>
      <c r="AZ437" s="325" t="s">
        <v>123</v>
      </c>
      <c r="BA437" s="325" t="s">
        <v>124</v>
      </c>
      <c r="BB437" s="346"/>
      <c r="BC437" s="325" t="s">
        <v>125</v>
      </c>
      <c r="BD437" s="325"/>
      <c r="BE437" s="325"/>
      <c r="BF437" s="400" t="str">
        <f>Translations!$B$390</f>
        <v>CO2 fossil</v>
      </c>
      <c r="BG437" s="495" t="str">
        <f>IF(COUNTIF(AO440:AO441,TRUE)=0,"",AV437*IF(AO440,1,AV439*AN441)*AV440*(1-AV441)*AV444)</f>
        <v/>
      </c>
      <c r="BH437" s="325"/>
      <c r="BI437" s="325"/>
      <c r="BJ437" s="325"/>
      <c r="BK437" s="325"/>
      <c r="BL437" s="325"/>
      <c r="BM437" s="325"/>
      <c r="BN437" s="325"/>
      <c r="BO437" s="325"/>
      <c r="BP437" s="325"/>
      <c r="BQ437" s="325"/>
      <c r="BR437" s="325"/>
      <c r="BS437" s="325"/>
      <c r="BT437" s="325"/>
      <c r="BU437" s="325"/>
      <c r="BV437" s="325"/>
      <c r="BW437" s="325"/>
      <c r="BX437" s="325"/>
      <c r="BY437" s="325"/>
      <c r="BZ437" s="325"/>
      <c r="CA437" s="325"/>
      <c r="CB437" s="325"/>
      <c r="CC437" s="325"/>
      <c r="CD437" s="325"/>
      <c r="CE437" s="325"/>
      <c r="CF437" s="325"/>
      <c r="CG437" s="346" t="b">
        <v>0</v>
      </c>
    </row>
    <row r="438" spans="1:85" ht="5.15" customHeight="1" thickBot="1" x14ac:dyDescent="0.3">
      <c r="A438" s="318"/>
      <c r="B438" s="21"/>
      <c r="C438" s="344"/>
      <c r="D438" s="188"/>
      <c r="E438" s="22"/>
      <c r="F438" s="22"/>
      <c r="G438" s="22"/>
      <c r="H438" s="22" t="str">
        <f>Translations!$B$397</f>
        <v xml:space="preserve"> </v>
      </c>
      <c r="I438" s="364"/>
      <c r="J438" s="364"/>
      <c r="K438" s="22"/>
      <c r="L438" s="22"/>
      <c r="M438" s="487"/>
      <c r="N438" s="22"/>
      <c r="O438" s="323"/>
      <c r="P438" s="301"/>
      <c r="Q438" s="23"/>
      <c r="R438" s="23"/>
      <c r="S438" s="325"/>
      <c r="T438" s="277"/>
      <c r="U438" s="23"/>
      <c r="V438" s="325"/>
      <c r="W438" s="325"/>
      <c r="X438" s="23"/>
      <c r="Y438" s="330"/>
      <c r="Z438" s="325"/>
      <c r="AA438" s="325"/>
      <c r="AB438" s="325"/>
      <c r="AC438" s="325"/>
      <c r="AD438" s="325"/>
      <c r="AE438" s="325"/>
      <c r="AF438" s="325"/>
      <c r="AG438" s="325"/>
      <c r="AH438" s="325"/>
      <c r="AI438" s="325"/>
      <c r="AJ438" s="325"/>
      <c r="AK438" s="325"/>
      <c r="AL438" s="337"/>
      <c r="AM438" s="337"/>
      <c r="AN438" s="337"/>
      <c r="AO438" s="337"/>
      <c r="AP438" s="337"/>
      <c r="AQ438" s="325"/>
      <c r="AR438" s="325"/>
      <c r="AS438" s="325"/>
      <c r="AT438" s="325"/>
      <c r="AU438" s="325"/>
      <c r="AV438" s="325"/>
      <c r="AW438" s="325"/>
      <c r="AX438" s="325"/>
      <c r="AY438" s="325"/>
      <c r="AZ438" s="325"/>
      <c r="BA438" s="325"/>
      <c r="BB438" s="325"/>
      <c r="BC438" s="325"/>
      <c r="BD438" s="325"/>
      <c r="BE438" s="325"/>
      <c r="BF438" s="325"/>
      <c r="BG438" s="496"/>
      <c r="BH438" s="325"/>
      <c r="BI438" s="325"/>
      <c r="BJ438" s="325"/>
      <c r="BK438" s="325"/>
      <c r="BL438" s="325"/>
      <c r="BM438" s="325"/>
      <c r="BN438" s="325"/>
      <c r="BO438" s="325"/>
      <c r="BP438" s="325"/>
      <c r="BQ438" s="325"/>
      <c r="BR438" s="325"/>
      <c r="BS438" s="325"/>
      <c r="BT438" s="325"/>
      <c r="BU438" s="325"/>
      <c r="BV438" s="325"/>
      <c r="BW438" s="325"/>
      <c r="BX438" s="325"/>
      <c r="BY438" s="325"/>
      <c r="BZ438" s="325"/>
      <c r="CA438" s="325"/>
      <c r="CB438" s="325"/>
      <c r="CC438" s="325"/>
      <c r="CD438" s="325"/>
      <c r="CE438" s="325"/>
      <c r="CF438" s="325"/>
      <c r="CG438" s="330"/>
    </row>
    <row r="439" spans="1:85" ht="12.75" customHeight="1" thickBot="1" x14ac:dyDescent="0.3">
      <c r="A439" s="318"/>
      <c r="B439" s="21"/>
      <c r="C439" s="344"/>
      <c r="D439" s="345" t="str">
        <f>Translations!$B$360</f>
        <v>Yksikön muuntokerroin:</v>
      </c>
      <c r="E439" s="350"/>
      <c r="F439" s="443"/>
      <c r="G439" s="1120" t="str">
        <f>IF(OR(ISBLANK(F439),F439=EUconst_NoTier),"",IF(Z439=0,EUconst_NotApplicable,IF(ISERROR(Z439),"",Z439)))</f>
        <v/>
      </c>
      <c r="H439" s="1122"/>
      <c r="I439" s="444" t="str">
        <f>IF(J439&lt;&gt;"","",AI439)</f>
        <v/>
      </c>
      <c r="J439" s="445"/>
      <c r="K439" s="632" t="str">
        <f>IF(L439="",AU439,"")</f>
        <v/>
      </c>
      <c r="L439" s="633"/>
      <c r="M439" s="486" t="str">
        <f>IF(AND(E432&lt;&gt;"",OR(F439="",COUNT(K439:L439)=0),Y439&lt;&gt;EUconst_NA),EUconst_ERR_Incomplete,IF(COUNTIF(BB439:BD439,TRUE)&gt;0,EUconst_ERR_Inconsistent,""))</f>
        <v/>
      </c>
      <c r="N439" s="752"/>
      <c r="O439" s="323"/>
      <c r="P439" s="301"/>
      <c r="Q439" s="23"/>
      <c r="R439" s="23"/>
      <c r="S439" s="325"/>
      <c r="T439" s="365" t="str">
        <f>EUconst_CNTR_UCF&amp;E432</f>
        <v>UCF_</v>
      </c>
      <c r="U439" s="23"/>
      <c r="V439" s="366" t="str">
        <f>V440</f>
        <v/>
      </c>
      <c r="W439" s="325"/>
      <c r="X439" s="23"/>
      <c r="Y439" s="448" t="str">
        <f>IF(E432="","",IF(OR(F439=EUconst_NA,W439=TRUE),EUconst_NA,INDEX(EUwideConstants!$P$153:$P$180,MATCH(T439,EUwideConstants!$S$153:$S$180,0))))</f>
        <v/>
      </c>
      <c r="Z439" s="471" t="str">
        <f>IF(ISBLANK(F439),"",IF(F439=EUconst_NA,"",INDEX(EUwideConstants!$H:$O,MATCH(T439,EUwideConstants!$S:$S,0),MATCH(F439,CNTR_TierList,0))))</f>
        <v/>
      </c>
      <c r="AA439" s="449" t="str">
        <f>IF(COUNTIF(EUconst_DefaultValues,Z439)&gt;0,MATCH(Z439,EUconst_DefaultValues,0),"")</f>
        <v/>
      </c>
      <c r="AB439" s="325"/>
      <c r="AC439" s="367" t="b">
        <f>AND(AC437,Y439&lt;&gt;EUconst_NA)</f>
        <v>0</v>
      </c>
      <c r="AD439" s="325"/>
      <c r="AE439" s="359" t="str">
        <f>EUconst_CNTR_UCF&amp;EUconst_Unit</f>
        <v>UCF_Yksikkö</v>
      </c>
      <c r="AF439" s="368" t="str">
        <f>IF(AC439=TRUE, IF(COUNTIF(MSPara_SourceStreamCategory,V439)=0,"",INDEX(MSPara_CalcFactorsMatrix,MATCH(V439,MSPara_SourceStreamCategory,0),MATCH(AE439&amp;"_"&amp;2,MSPara_CalcFactors,0))),"")</f>
        <v/>
      </c>
      <c r="AG439" s="372" t="str">
        <f>IF(AC439=TRUE, IF(COUNTIF(MSPara_SourceStreamCategory,V439)=0,"",INDEX(MSPara_CalcFactorsMatrix,MATCH(V439,MSPara_SourceStreamCategory,0),MATCH(AE439&amp;"_"&amp;1,MSPara_CalcFactors,0))),"")</f>
        <v/>
      </c>
      <c r="AH439" s="367" t="str">
        <f>IF(AA439="","",INDEX(AF439:AG439,3-AA439))</f>
        <v/>
      </c>
      <c r="AI439" s="367" t="str">
        <f>IF(AC439=TRUE,IF(OR(AH439="",AH439=EUconst_NA),EUconst_GJ&amp;"/"&amp;AJ437,AH439),"")</f>
        <v/>
      </c>
      <c r="AJ439" s="367" t="str">
        <f>IF(J439="",AI439,J439)</f>
        <v/>
      </c>
      <c r="AK439" s="366" t="b">
        <f>AND(E431&lt;&gt;"",J439&lt;&gt;"")</f>
        <v>0</v>
      </c>
      <c r="AL439" s="337"/>
      <c r="AM439" s="404" t="s">
        <v>127</v>
      </c>
      <c r="AN439" s="403" t="str">
        <f>IF(AJ439="",EUconst_NA,IF(AN437=EUconst_TJ,EUconst_TJ,INDEX(EUwideConstants!$C$124:$G$128,MATCH(AN437,RFAUnits,0),MATCH(AJ439,UCFUnits,0))))</f>
        <v>ei sovellettavissa</v>
      </c>
      <c r="AO439" s="337"/>
      <c r="AP439" s="337"/>
      <c r="AQ439" s="454" t="str">
        <f>EUconst_CNTR_UCF&amp;EUconst_Value</f>
        <v>UCF_Arvo</v>
      </c>
      <c r="AR439" s="475" t="str">
        <f>IF(AC439=TRUE,IF(COUNTIF(MSPara_SourceStreamCategory,V439)=0,"",INDEX(MSPara_CalcFactorsMatrix,MATCH(V439,MSPara_SourceStreamCategory,0),MATCH(AQ439&amp;"_"&amp;2,MSPara_CalcFactors,0))),"")</f>
        <v/>
      </c>
      <c r="AS439" s="371" t="str">
        <f>IF(AC439=TRUE,IF(COUNTIF(MSPara_SourceStreamCategory,V439)=0,"",INDEX(MSPara_CalcFactorsMatrix,MATCH(V439,MSPara_SourceStreamCategory,0),MATCH(AQ439&amp;"_"&amp;1,MSPara_CalcFactors,0))),"")</f>
        <v/>
      </c>
      <c r="AT439" s="369" t="b">
        <f>AND(AND(AH439&lt;&gt;"",AJ439&lt;&gt;""),AJ439=AH439)</f>
        <v>0</v>
      </c>
      <c r="AU439" s="381" t="str">
        <f>IF(AND(AA439&lt;&gt;"",AT439=TRUE),IF(OR(INDEX(AR439:AS439,3-AA439)=EUconst_NA,INDEX(AR439:AS439,3-AA439)=0),"",INDEX(AR439:AS439,3-AA439)),"")</f>
        <v/>
      </c>
      <c r="AV439" s="367">
        <f>IF(AC439=TRUE,IF(COUNT(K439:L439)=0,0,IF(L439="",K439,L439)),0)</f>
        <v>0</v>
      </c>
      <c r="AW439" s="366" t="b">
        <f>AND(AC439=TRUE,OR(AND(F439&lt;&gt;"",NOT(ISNUMBER(AA439))),L439&lt;&gt;"",F439="",AU439=""))</f>
        <v>0</v>
      </c>
      <c r="AX439" s="370" t="b">
        <f>AND(AC439=TRUE,NOT(AW439))</f>
        <v>0</v>
      </c>
      <c r="AY439" s="325"/>
      <c r="AZ439" s="373" t="b">
        <f>AND(ISNUMBER(AA439),AU439="")</f>
        <v>0</v>
      </c>
      <c r="BA439" s="399" t="b">
        <f>AND(ISNUMBER(AA439),AU439&lt;&gt;AV439)</f>
        <v>0</v>
      </c>
      <c r="BB439" s="366" t="b">
        <f>AND(E432&lt;&gt;"",F439&lt;&gt;EUconst_NA,AN439=EUconst_NA)</f>
        <v>0</v>
      </c>
      <c r="BC439" s="366" t="b">
        <f>AND(L439&lt;&gt;"",Y439=EUconst_NA)</f>
        <v>0</v>
      </c>
      <c r="BD439" s="325"/>
      <c r="BE439" s="325"/>
      <c r="BF439" s="373" t="s">
        <v>128</v>
      </c>
      <c r="BG439" s="497" t="str">
        <f>IF(COUNTIF(AO440:AO441,TRUE)=0,"",AV437*IF(AO440,1,AV439*AN441)*AV440*AV441*AV444)</f>
        <v/>
      </c>
      <c r="BH439" s="325"/>
      <c r="BI439" s="325"/>
      <c r="BJ439" s="325"/>
      <c r="BK439" s="325"/>
      <c r="BL439" s="325"/>
      <c r="BM439" s="325"/>
      <c r="BN439" s="325"/>
      <c r="BO439" s="325"/>
      <c r="BP439" s="325"/>
      <c r="BQ439" s="325"/>
      <c r="BR439" s="325"/>
      <c r="BS439" s="325"/>
      <c r="BT439" s="325"/>
      <c r="BU439" s="325"/>
      <c r="BV439" s="325"/>
      <c r="BW439" s="325"/>
      <c r="BX439" s="325"/>
      <c r="BY439" s="325"/>
      <c r="BZ439" s="325"/>
      <c r="CA439" s="325"/>
      <c r="CB439" s="325"/>
      <c r="CC439" s="325"/>
      <c r="CD439" s="325"/>
      <c r="CE439" s="325"/>
      <c r="CF439" s="325"/>
      <c r="CG439" s="375" t="b">
        <f>OR(CG437,Y439=EUconst_NA)</f>
        <v>0</v>
      </c>
    </row>
    <row r="440" spans="1:85" ht="12.75" customHeight="1" thickBot="1" x14ac:dyDescent="0.3">
      <c r="A440" s="318"/>
      <c r="B440" s="21"/>
      <c r="C440" s="344"/>
      <c r="D440" s="345" t="str">
        <f>Translations!$B$358</f>
        <v>Päästökerroin (alustava):</v>
      </c>
      <c r="E440" s="350"/>
      <c r="F440" s="624"/>
      <c r="G440" s="1120" t="str">
        <f>IF(OR(ISBLANK(F440),F440=EUconst_NoTier),"",IF(Z440=0,EUconst_NotApplicable,IF(ISERROR(Z440),"",Z440)))</f>
        <v/>
      </c>
      <c r="H440" s="1121"/>
      <c r="I440" s="625" t="str">
        <f>IF(J440&lt;&gt;"","",AI440)</f>
        <v/>
      </c>
      <c r="J440" s="631"/>
      <c r="K440" s="634" t="str">
        <f>IF(L440="",AU440,"")</f>
        <v/>
      </c>
      <c r="L440" s="754"/>
      <c r="M440" s="486" t="str">
        <f>IF(AND(E432&lt;&gt;"",OR(F440="",COUNT(K440:L440)=0),Y440&lt;&gt;EUconst_NA),EUconst_ERR_Incomplete,IF(COUNTIF(BB440:BD440,TRUE)&gt;0,EUconst_ERR_Inconsistent,""))</f>
        <v/>
      </c>
      <c r="N440" s="753"/>
      <c r="O440" s="323"/>
      <c r="P440" s="301"/>
      <c r="Q440" s="23"/>
      <c r="R440" s="23"/>
      <c r="S440" s="325"/>
      <c r="T440" s="374" t="str">
        <f>EUconst_CNTR_EF&amp;E432</f>
        <v>EF_</v>
      </c>
      <c r="U440" s="23"/>
      <c r="V440" s="375" t="str">
        <f>V437</f>
        <v/>
      </c>
      <c r="W440" s="325"/>
      <c r="X440" s="23"/>
      <c r="Y440" s="450" t="str">
        <f>IF(E432="","",IF(OR(F440=EUconst_NA,W440=TRUE),EUconst_NA,INDEX(EUwideConstants!$P$153:$P$180,MATCH(T440,EUwideConstants!$S$153:$S$180,0))))</f>
        <v/>
      </c>
      <c r="Z440" s="472" t="str">
        <f>IF(ISBLANK(F440),"",IF(F440=EUconst_NA,"",INDEX(EUwideConstants!$H:$O,MATCH(T440,EUwideConstants!$S:$S,0),MATCH(F440,CNTR_TierList,0))))</f>
        <v/>
      </c>
      <c r="AA440" s="451" t="str">
        <f>IF(COUNTIF(EUconst_DefaultValues,Z440)&gt;0,MATCH(Z440,EUconst_DefaultValues,0),"")</f>
        <v/>
      </c>
      <c r="AB440" s="325"/>
      <c r="AC440" s="376" t="b">
        <f>AND(AC437,Y440&lt;&gt;EUconst_NA)</f>
        <v>0</v>
      </c>
      <c r="AD440" s="325"/>
      <c r="AE440" s="377" t="str">
        <f>EUconst_CNTR_EF&amp;EUconst_Unit</f>
        <v>EF_Yksikkö</v>
      </c>
      <c r="AF440" s="378" t="str">
        <f>IF(AC440=TRUE, IF(COUNTIF(MSPara_SourceStreamCategory,V440)=0,"",INDEX(MSPara_CalcFactorsMatrix,MATCH(V440,MSPara_SourceStreamCategory,0),MATCH(AE440&amp;"_"&amp;2,MSPara_CalcFactors,0))),"")</f>
        <v/>
      </c>
      <c r="AG440" s="464" t="str">
        <f>IF(AC440=TRUE, IF(COUNTIF(MSPara_SourceStreamCategory,V440)=0,"",INDEX(MSPara_CalcFactorsMatrix,MATCH(V440,MSPara_SourceStreamCategory,0),MATCH(AE440&amp;"_"&amp;1,MSPara_CalcFactors,0))),"")</f>
        <v/>
      </c>
      <c r="AH440" s="376" t="str">
        <f>IF(AA440="","",INDEX(AF440:AG440,3-AA440))</f>
        <v/>
      </c>
      <c r="AI440" s="376" t="str">
        <f>IF(AC440=TRUE,IF(OR(AH440="",AH440=EUconst_NA),EUconst_tCO2&amp;"/"&amp;IF(AN439=EUconst_NA,AN437,IF(AN439=EUconst_GJ,EUconst_TJ,AN439)),AH440),"")</f>
        <v/>
      </c>
      <c r="AJ440" s="376" t="str">
        <f>IF(J440="",AI440,J440)</f>
        <v/>
      </c>
      <c r="AK440" s="375" t="b">
        <f>AND(E432&lt;&gt;"",J440&lt;&gt;"")</f>
        <v>0</v>
      </c>
      <c r="AL440" s="337"/>
      <c r="AM440" s="404" t="s">
        <v>130</v>
      </c>
      <c r="AN440" s="403" t="str">
        <f>IF(COUNTIF(RFAUnits,AN437)=0,EUconst_NA,INDEX(EUwideConstants!$C$139:$H$143,MATCH(AJ440,EFUnits,0),MATCH(AN437,EUwideConstants!$C$138:$H$138,0)))</f>
        <v>ei sovellettavissa</v>
      </c>
      <c r="AO440" s="403" t="b">
        <f>AN440&lt;&gt;EUconst_NA</f>
        <v>0</v>
      </c>
      <c r="AP440" s="337"/>
      <c r="AQ440" s="455" t="str">
        <f>EUconst_CNTR_EF&amp;EUconst_Value</f>
        <v>EF_Arvo</v>
      </c>
      <c r="AR440" s="476" t="str">
        <f>IF(AC440=TRUE,IF(COUNTIF(MSPara_SourceStreamCategory,V440)=0,"",INDEX(MSPara_CalcFactorsMatrix,MATCH(V440,MSPara_SourceStreamCategory,0),MATCH(AQ440&amp;"_"&amp;2,MSPara_CalcFactors,0))),"")</f>
        <v/>
      </c>
      <c r="AS440" s="383" t="str">
        <f>IF(AC440=TRUE,IF(COUNTIF(MSPara_SourceStreamCategory,V440)=0,"",INDEX(MSPara_CalcFactorsMatrix,MATCH(V440,MSPara_SourceStreamCategory,0),MATCH(AQ440&amp;"_"&amp;1,MSPara_CalcFactors,0))),"")</f>
        <v/>
      </c>
      <c r="AT440" s="456" t="b">
        <f>AND(AND(AH440&lt;&gt;"",AJ440&lt;&gt;""),AJ440=AH440)</f>
        <v>0</v>
      </c>
      <c r="AU440" s="334" t="str">
        <f>IF(AND(AA440&lt;&gt;"",AT440=TRUE),IF(OR(INDEX(AR440:AS440,3-AA440)=EUconst_NA,INDEX(AR440:AS440,3-AA440)=0),"",INDEX(AR440:AS440,3-AA440)),"")</f>
        <v/>
      </c>
      <c r="AV440" s="376">
        <f>IF(AC440=TRUE,IF(COUNT(K440:L440)=0,0,IF(L440="",K440,L440)),0)</f>
        <v>0</v>
      </c>
      <c r="AW440" s="375" t="b">
        <f>AND(AC440=TRUE,OR(AND(F440&lt;&gt;"",NOT(ISNUMBER(AA440))),L440&lt;&gt;"",F440="",AU440=""))</f>
        <v>0</v>
      </c>
      <c r="AX440" s="457" t="b">
        <f>AND(AC440=TRUE,NOT(AW440))</f>
        <v>0</v>
      </c>
      <c r="AY440" s="325"/>
      <c r="AZ440" s="379" t="b">
        <f>AND(ISNUMBER(AA440),AU440="")</f>
        <v>0</v>
      </c>
      <c r="BA440" s="380" t="b">
        <f>AND(ISNUMBER(AA440),AU440&lt;&gt;AV440)</f>
        <v>0</v>
      </c>
      <c r="BB440" s="382" t="b">
        <f>AND(E432&lt;&gt;"",COUNTIF(AO440:AO441,TRUE)=0)</f>
        <v>0</v>
      </c>
      <c r="BC440" s="375" t="b">
        <f>AND(L440&lt;&gt;"",Y440=EUconst_NA)</f>
        <v>0</v>
      </c>
      <c r="BD440" s="325"/>
      <c r="BE440" s="325"/>
      <c r="BF440" s="379" t="s">
        <v>131</v>
      </c>
      <c r="BG440" s="498" t="str">
        <f>IF(COUNTIF(AO440:AO441,TRUE)=0,"",AV437*IF(AO440,1,AV439*AN441)*AV440*AV442*AV444)</f>
        <v/>
      </c>
      <c r="BH440" s="325"/>
      <c r="BI440" s="325"/>
      <c r="BJ440" s="325"/>
      <c r="BK440" s="325"/>
      <c r="BL440" s="325"/>
      <c r="BM440" s="325"/>
      <c r="BN440" s="325"/>
      <c r="BO440" s="325"/>
      <c r="BP440" s="325"/>
      <c r="BQ440" s="325"/>
      <c r="BR440" s="325"/>
      <c r="BS440" s="325"/>
      <c r="BT440" s="325"/>
      <c r="BU440" s="325"/>
      <c r="BV440" s="325"/>
      <c r="BW440" s="325"/>
      <c r="BX440" s="325"/>
      <c r="BY440" s="325"/>
      <c r="BZ440" s="325"/>
      <c r="CA440" s="325"/>
      <c r="CB440" s="325"/>
      <c r="CC440" s="325"/>
      <c r="CD440" s="325"/>
      <c r="CE440" s="325"/>
      <c r="CF440" s="325"/>
      <c r="CG440" s="366" t="b">
        <f>OR(CG437,Y440=EUconst_NA)</f>
        <v>0</v>
      </c>
    </row>
    <row r="441" spans="1:85" ht="12.75" customHeight="1" x14ac:dyDescent="0.25">
      <c r="A441" s="318"/>
      <c r="B441" s="21"/>
      <c r="C441" s="344"/>
      <c r="D441" s="345" t="str">
        <f>Translations!$B$362</f>
        <v>Biomassaosuus:</v>
      </c>
      <c r="E441" s="350"/>
      <c r="F441" s="624"/>
      <c r="G441" s="1120" t="str">
        <f>IF(OR(ISBLANK(F441),F441=EUconst_NoTier),"",IF(Z441=0,EUconst_NotApplicable,IF(ISERROR(Z441),"",Z441)))</f>
        <v/>
      </c>
      <c r="H441" s="1122"/>
      <c r="I441" s="626" t="str">
        <f>IF(OR(AC441=FALSE,Y441=EUconst_NA),"","-")</f>
        <v/>
      </c>
      <c r="J441" s="446"/>
      <c r="K441" s="635" t="str">
        <f>IF(L441="",AU441,"")</f>
        <v/>
      </c>
      <c r="L441" s="627"/>
      <c r="M441" s="486" t="str">
        <f>IF(AND(E432&lt;&gt;"",OR(F441="",COUNT(K441:L441)=0),Y441&lt;&gt;EUconst_NA),EUconst_ERR_Incomplete,IF(COUNTIF(BB441:BD441,TRUE)&gt;0,EUconst_ERR_Inconsistent,""))</f>
        <v/>
      </c>
      <c r="O441" s="323"/>
      <c r="P441" s="612"/>
      <c r="Q441" s="354"/>
      <c r="R441" s="354"/>
      <c r="S441" s="325"/>
      <c r="T441" s="374" t="str">
        <f>EUconst_CNTR_BiomassContent&amp;E432</f>
        <v>BioC_</v>
      </c>
      <c r="U441" s="23"/>
      <c r="V441" s="375" t="str">
        <f>V439</f>
        <v/>
      </c>
      <c r="W441" s="366" t="e">
        <f>IF(COUNTIF(MSPara_SourceStreamCategory,V441)=0,"",INDEX(MSPara_IsFossil,MATCH(V441,MSPara_SourceStreamCategory,0)))</f>
        <v>#N/A</v>
      </c>
      <c r="X441" s="23"/>
      <c r="Y441" s="450" t="str">
        <f>IF(E432="","",IF(OR(F441=EUconst_NA,W441=TRUE),EUconst_NA,INDEX(EUwideConstants!$P$153:$P$180,MATCH(T441,EUwideConstants!$S$153:$S$180,0))))</f>
        <v/>
      </c>
      <c r="Z441" s="472" t="str">
        <f>IF(ISBLANK(F441),"",IF(F441=EUconst_NA,"",INDEX(EUwideConstants!$H:$O,MATCH(T441,EUwideConstants!$S:$S,0),MATCH(F441,CNTR_TierList,0))))</f>
        <v/>
      </c>
      <c r="AA441" s="681" t="str">
        <f>IF(F441=1,1,"")</f>
        <v/>
      </c>
      <c r="AB441" s="325"/>
      <c r="AC441" s="376" t="b">
        <f>AND(AC437,Y441&lt;&gt;EUconst_NA)</f>
        <v>0</v>
      </c>
      <c r="AD441" s="325"/>
      <c r="AE441" s="462"/>
      <c r="AF441" s="460"/>
      <c r="AG441" s="465"/>
      <c r="AH441" s="467"/>
      <c r="AI441" s="467"/>
      <c r="AJ441" s="467"/>
      <c r="AK441" s="469"/>
      <c r="AL441" s="337"/>
      <c r="AM441" s="404" t="s">
        <v>132</v>
      </c>
      <c r="AN441" s="403" t="str">
        <f>IF(AN439=EUconst_NA,EUconst_NA,INDEX(EUwideConstants!$C$139:$H$143,MATCH(AJ440,EFUnits,0),MATCH(AN439,EUwideConstants!$C$138:$H$138,0)))</f>
        <v>ei sovellettavissa</v>
      </c>
      <c r="AO441" s="403" t="b">
        <f>AN441&lt;&gt;EUconst_NA</f>
        <v>0</v>
      </c>
      <c r="AP441" s="337"/>
      <c r="AQ441" s="455" t="str">
        <f>EUconst_CNTR_BiomassContent&amp;EUconst_Value</f>
        <v>BioC_Arvo</v>
      </c>
      <c r="AR441" s="462"/>
      <c r="AS441" s="383" t="str">
        <f>IF(AC441=TRUE,IF(COUNTIF(MSPara_SourceStreamCategory,V441)=0,"",INDEX(MSPara_CalcFactorsMatrix,MATCH(V441,MSPara_SourceStreamCategory,0),MATCH(AQ441&amp;"_"&amp;2,MSPara_CalcFactors,0))),"")</f>
        <v/>
      </c>
      <c r="AT441" s="458"/>
      <c r="AU441" s="334" t="str">
        <f>IF(OR(AA441="",AS441=EUconst_NA),"",AS441)</f>
        <v/>
      </c>
      <c r="AV441" s="376">
        <f>IF(AC441=TRUE,IF(COUNT(K441:L441)=0,0,IF(L441="",K441,L441)),0)</f>
        <v>0</v>
      </c>
      <c r="AW441" s="375" t="b">
        <f>AND(AC441=TRUE,OR(AND(F441&lt;&gt;"",NOT(ISNUMBER(AA441))),L441&lt;&gt;"",F441="",AU441=""))</f>
        <v>0</v>
      </c>
      <c r="AX441" s="457" t="b">
        <f>AND(AC441=TRUE,NOT(AW441))</f>
        <v>0</v>
      </c>
      <c r="AY441" s="325"/>
      <c r="AZ441" s="379" t="b">
        <f>AND(ISNUMBER(AA441),AU441="")</f>
        <v>0</v>
      </c>
      <c r="BA441" s="380" t="b">
        <f>AND(ISNUMBER(AA441),AU441&lt;&gt;AV441)</f>
        <v>0</v>
      </c>
      <c r="BB441" s="325"/>
      <c r="BC441" s="375" t="b">
        <f>AND(L441&lt;&gt;"",Y441=EUconst_NA)</f>
        <v>0</v>
      </c>
      <c r="BD441" s="366" t="b">
        <f>OR(AV441&gt;100%,(AV441+AV442)&gt;100%)</f>
        <v>0</v>
      </c>
      <c r="BE441" s="325"/>
      <c r="BF441" s="379" t="s">
        <v>133</v>
      </c>
      <c r="BG441" s="498" t="str">
        <f>IF(AN437=EUconst_TJ,AV437*(1-AV441),IF(AN439=EUconst_GJ,AV437*AV439/1000*(1-AV441),""))</f>
        <v/>
      </c>
      <c r="BH441" s="325"/>
      <c r="BI441" s="325"/>
      <c r="BJ441" s="325"/>
      <c r="BK441" s="325"/>
      <c r="BL441" s="325"/>
      <c r="BM441" s="325"/>
      <c r="BN441" s="325"/>
      <c r="BO441" s="325"/>
      <c r="BP441" s="325"/>
      <c r="BQ441" s="325"/>
      <c r="BR441" s="325"/>
      <c r="BS441" s="325"/>
      <c r="BT441" s="325"/>
      <c r="BU441" s="325"/>
      <c r="BV441" s="325"/>
      <c r="BW441" s="325"/>
      <c r="BX441" s="325"/>
      <c r="BY441" s="325"/>
      <c r="BZ441" s="325"/>
      <c r="CA441" s="325"/>
      <c r="CB441" s="325"/>
      <c r="CC441" s="325"/>
      <c r="CD441" s="325"/>
      <c r="CE441" s="325"/>
      <c r="CF441" s="325"/>
      <c r="CG441" s="375" t="b">
        <f>OR(CG437,Y441=EUconst_NA)</f>
        <v>0</v>
      </c>
    </row>
    <row r="442" spans="1:85" ht="12.75" customHeight="1" thickBot="1" x14ac:dyDescent="0.3">
      <c r="A442" s="318"/>
      <c r="B442" s="21"/>
      <c r="C442" s="344"/>
      <c r="D442" s="345" t="str">
        <f>Translations!$B$368</f>
        <v>Ei kestävä biomassaosuus:</v>
      </c>
      <c r="E442" s="350"/>
      <c r="F442" s="628"/>
      <c r="G442" s="1120" t="str">
        <f>IF(OR(ISBLANK(F442),F442=EUconst_NoTier),"",IF(Z442=0,EUconst_NotApplicable,IF(ISERROR(Z442),"",Z442)))</f>
        <v/>
      </c>
      <c r="H442" s="1122"/>
      <c r="I442" s="629" t="str">
        <f>IF(OR(AC442=FALSE,Y442=EUconst_NA),"","-")</f>
        <v/>
      </c>
      <c r="J442" s="447"/>
      <c r="K442" s="636" t="str">
        <f>IF(L442="",AU442,"")</f>
        <v/>
      </c>
      <c r="L442" s="630"/>
      <c r="M442" s="486" t="str">
        <f>IF(AND(E432&lt;&gt;"",OR(F442="",COUNT(K442:L442)=0),Y442&lt;&gt;EUconst_NA),EUconst_ERR_Incomplete,IF(COUNTIF(BB442:BD442,TRUE)&gt;0,EUconst_ERR_Inconsistent,""))</f>
        <v/>
      </c>
      <c r="N442" s="22"/>
      <c r="O442" s="323"/>
      <c r="P442" s="612"/>
      <c r="Q442" s="354"/>
      <c r="R442" s="354"/>
      <c r="S442" s="325"/>
      <c r="T442" s="384" t="str">
        <f>EUconst_CNTR_BiomassContent&amp;E432</f>
        <v>BioC_</v>
      </c>
      <c r="U442" s="23"/>
      <c r="V442" s="382" t="str">
        <f>V441</f>
        <v/>
      </c>
      <c r="W442" s="382" t="e">
        <f>IF(COUNTIF(MSPara_SourceStreamCategory,V442)=0,"",INDEX(MSPara_IsFossil,MATCH(V442,MSPara_SourceStreamCategory,0)))</f>
        <v>#N/A</v>
      </c>
      <c r="X442" s="23"/>
      <c r="Y442" s="452" t="str">
        <f>IF(E432="","",IF(OR(F442=EUconst_NA,W442=TRUE),EUconst_NA,INDEX(EUwideConstants!$P$153:$P$180,MATCH(T442,EUwideConstants!$S$153:$S$180,0))))</f>
        <v/>
      </c>
      <c r="Z442" s="473" t="str">
        <f>IF(ISBLANK(F442),"",IF(F442=EUconst_NA,"",INDEX(EUwideConstants!$H:$O,MATCH(T442,EUwideConstants!$S:$S,0),MATCH(F442,CNTR_TierList,0))))</f>
        <v/>
      </c>
      <c r="AA442" s="682" t="str">
        <f>IF(F442=1,1,"")</f>
        <v/>
      </c>
      <c r="AB442" s="325"/>
      <c r="AC442" s="453" t="b">
        <f>AND(AC437,Y442&lt;&gt;EUconst_NA)</f>
        <v>0</v>
      </c>
      <c r="AD442" s="325"/>
      <c r="AE442" s="463"/>
      <c r="AF442" s="461"/>
      <c r="AG442" s="466"/>
      <c r="AH442" s="468"/>
      <c r="AI442" s="468"/>
      <c r="AJ442" s="468"/>
      <c r="AK442" s="470"/>
      <c r="AL442" s="337"/>
      <c r="AM442" s="337"/>
      <c r="AN442" s="337"/>
      <c r="AO442" s="337"/>
      <c r="AP442" s="337"/>
      <c r="AQ442" s="474" t="str">
        <f>EUconst_CNTR_BiomassContent&amp;EUconst_Value</f>
        <v>BioC_Arvo</v>
      </c>
      <c r="AR442" s="463"/>
      <c r="AS442" s="385" t="str">
        <f>IF(AC442=TRUE,IF(COUNTIF(MSPara_SourceStreamCategory,V442)=0,"",INDEX(MSPara_CalcFactorsMatrix,MATCH(V442,MSPara_SourceStreamCategory,0),MATCH(AQ442&amp;"_"&amp;2,MSPara_CalcFactors,0))),"")</f>
        <v/>
      </c>
      <c r="AT442" s="459"/>
      <c r="AU442" s="477" t="str">
        <f>IF(OR(AA442="",AS442=EUconst_NA),"",AS442)</f>
        <v/>
      </c>
      <c r="AV442" s="453">
        <f>IF(AC442=TRUE,IF(COUNT(K442:L442)=0,0,IF(L442="",K442,L442)),0)</f>
        <v>0</v>
      </c>
      <c r="AW442" s="382" t="b">
        <f>AND(AC442=TRUE,OR(AND(F442&lt;&gt;"",NOT(ISNUMBER(AA442))),L442&lt;&gt;"",F442="",AU442=""))</f>
        <v>0</v>
      </c>
      <c r="AX442" s="478" t="b">
        <f>AND(AC442=TRUE,NOT(AW442))</f>
        <v>0</v>
      </c>
      <c r="AY442" s="325"/>
      <c r="AZ442" s="386" t="b">
        <f>AND(ISNUMBER(AA442),AU442="")</f>
        <v>0</v>
      </c>
      <c r="BA442" s="387" t="b">
        <f>AND(ISNUMBER(AA442),AU442&lt;&gt;AV442)</f>
        <v>0</v>
      </c>
      <c r="BB442" s="325"/>
      <c r="BC442" s="382" t="b">
        <f>AND(L442&lt;&gt;"",Y442=EUconst_NA)</f>
        <v>0</v>
      </c>
      <c r="BD442" s="382" t="b">
        <f>OR(AV441&gt;100%,(AV441+AV442)&gt;100%)</f>
        <v>0</v>
      </c>
      <c r="BE442" s="325"/>
      <c r="BF442" s="386" t="s">
        <v>134</v>
      </c>
      <c r="BG442" s="499" t="str">
        <f>IF(AN437=EUconst_TJ,AV437*AV441,IF(AN439=EUconst_GJ,AV437*AV439/1000*AV441,""))</f>
        <v/>
      </c>
      <c r="BH442" s="325"/>
      <c r="BI442" s="325"/>
      <c r="BJ442" s="325"/>
      <c r="BK442" s="325"/>
      <c r="BL442" s="325"/>
      <c r="BM442" s="325"/>
      <c r="BN442" s="325"/>
      <c r="BO442" s="325"/>
      <c r="BP442" s="325"/>
      <c r="BQ442" s="325"/>
      <c r="BR442" s="325"/>
      <c r="BS442" s="325"/>
      <c r="BT442" s="325"/>
      <c r="BU442" s="325"/>
      <c r="BV442" s="325"/>
      <c r="BW442" s="325"/>
      <c r="BX442" s="325"/>
      <c r="BY442" s="325"/>
      <c r="BZ442" s="325"/>
      <c r="CA442" s="325"/>
      <c r="CB442" s="325"/>
      <c r="CC442" s="325"/>
      <c r="CD442" s="325"/>
      <c r="CE442" s="325"/>
      <c r="CF442" s="325"/>
      <c r="CG442" s="382" t="b">
        <f>OR(CG437,Y442=EUconst_NA)</f>
        <v>0</v>
      </c>
    </row>
    <row r="443" spans="1:85" ht="5.15" customHeight="1" thickBot="1" x14ac:dyDescent="0.3">
      <c r="A443" s="318"/>
      <c r="B443" s="21"/>
      <c r="C443" s="21"/>
      <c r="D443" s="327"/>
      <c r="E443" s="22"/>
      <c r="F443" s="22"/>
      <c r="G443" s="22"/>
      <c r="H443" s="22"/>
      <c r="I443" s="22"/>
      <c r="J443" s="22"/>
      <c r="K443" s="22"/>
      <c r="L443" s="22"/>
      <c r="M443" s="488"/>
      <c r="N443" s="22"/>
      <c r="O443" s="323"/>
      <c r="P443" s="301"/>
      <c r="Q443" s="23"/>
      <c r="R443" s="23"/>
      <c r="S443" s="325"/>
      <c r="T443" s="325"/>
      <c r="U443" s="325"/>
      <c r="V443" s="325"/>
      <c r="W443" s="325"/>
      <c r="X443" s="325"/>
      <c r="Y443" s="325"/>
      <c r="Z443" s="325"/>
      <c r="AA443" s="325"/>
      <c r="AB443" s="325"/>
      <c r="AC443" s="325"/>
      <c r="AD443" s="325"/>
      <c r="AE443" s="325"/>
      <c r="AF443" s="325"/>
      <c r="AG443" s="325"/>
      <c r="AH443" s="325"/>
      <c r="AI443" s="325"/>
      <c r="AJ443" s="325"/>
      <c r="AK443" s="325"/>
      <c r="AL443" s="325"/>
      <c r="AM443" s="325"/>
      <c r="AN443" s="325"/>
      <c r="AO443" s="325"/>
      <c r="AP443" s="325"/>
      <c r="AQ443" s="325"/>
      <c r="AR443" s="325"/>
      <c r="AS443" s="325"/>
      <c r="AT443" s="325"/>
      <c r="AU443" s="325"/>
      <c r="AV443" s="325"/>
      <c r="AW443" s="325"/>
      <c r="AX443" s="325"/>
      <c r="AY443" s="325"/>
      <c r="AZ443" s="325"/>
      <c r="BA443" s="325"/>
      <c r="BB443" s="325"/>
      <c r="BC443" s="325"/>
      <c r="BD443" s="325"/>
      <c r="BE443" s="325"/>
      <c r="BF443" s="325"/>
      <c r="BG443" s="325"/>
      <c r="BH443" s="325"/>
      <c r="BI443" s="325"/>
      <c r="BJ443" s="325"/>
      <c r="BK443" s="325"/>
      <c r="BL443" s="325"/>
      <c r="BM443" s="325"/>
      <c r="BN443" s="325"/>
      <c r="BO443" s="325"/>
      <c r="BP443" s="325"/>
      <c r="BQ443" s="325"/>
      <c r="BR443" s="325"/>
      <c r="BS443" s="325"/>
      <c r="BT443" s="325"/>
      <c r="BU443" s="325"/>
      <c r="BV443" s="325"/>
      <c r="BW443" s="325"/>
      <c r="BX443" s="325"/>
      <c r="BY443" s="325"/>
      <c r="BZ443" s="325"/>
      <c r="CA443" s="325"/>
      <c r="CB443" s="325"/>
      <c r="CC443" s="325"/>
      <c r="CD443" s="325"/>
      <c r="CE443" s="325"/>
      <c r="CF443" s="325"/>
      <c r="CG443" s="325"/>
    </row>
    <row r="444" spans="1:85" ht="12.75" customHeight="1" thickBot="1" x14ac:dyDescent="0.3">
      <c r="A444" s="318"/>
      <c r="B444" s="21"/>
      <c r="C444" s="344"/>
      <c r="D444" s="345" t="str">
        <f>Translations!$B$398</f>
        <v>Soveltamisalakerroin:</v>
      </c>
      <c r="E444" s="479"/>
      <c r="F444" s="803"/>
      <c r="G444" s="1125"/>
      <c r="H444" s="1126"/>
      <c r="I444" s="492" t="s">
        <v>52</v>
      </c>
      <c r="J444" s="480"/>
      <c r="K444" s="481" t="str">
        <f>IF(L444="",AU444,"")</f>
        <v/>
      </c>
      <c r="L444" s="607"/>
      <c r="M444" s="489" t="str">
        <f>IF(AND(E432&lt;&gt;"",OR(F444="",G444="",COUNT(K444:L444)=0)),EUconst_ERR_Incomplete,IF(COUNTIF(BB444:BD444,TRUE)&gt;0,EUconst_ERR_Inconsistent,""))</f>
        <v/>
      </c>
      <c r="N444" s="22"/>
      <c r="O444" s="323"/>
      <c r="P444" s="301"/>
      <c r="Q444" s="23"/>
      <c r="R444" s="325"/>
      <c r="S444" s="10"/>
      <c r="T444" s="48" t="str">
        <f>EUconst_CNTR_ScopeFactor&amp;E432</f>
        <v>ScopeFactor_</v>
      </c>
      <c r="U444" s="248" t="str">
        <f>IF(F444="","",INDEX(ScopeAddress,MATCH(F444,ScopeTiers,0)))</f>
        <v/>
      </c>
      <c r="V444" s="382" t="str">
        <f>V437</f>
        <v/>
      </c>
      <c r="W444" s="325"/>
      <c r="X444" s="325"/>
      <c r="Y444" s="452" t="str">
        <f>IF(E432="","",IF(F444=EUconst_NA,EUconst_NA,INDEX(EUwideConstants!$P$153:$P$180,MATCH(T444,EUwideConstants!$S$153:$S$180,0))))</f>
        <v/>
      </c>
      <c r="Z444" s="473" t="str">
        <f>IF(ISBLANK(F444),"",IF(F444=EUconst_NA,"",INDEX(EUwideConstants!$H:$O,MATCH(T444,EUwideConstants!$S:$S,0),MATCH(F444,CNTR_TierList,0))))</f>
        <v/>
      </c>
      <c r="AA444" s="339" t="str">
        <f>IF(G444=EUwideConstants!$A$88,1,"")</f>
        <v/>
      </c>
      <c r="AB444" s="325"/>
      <c r="AC444" s="376" t="b">
        <f>AND(AC437,Y444&lt;&gt;EUconst_NA)</f>
        <v>0</v>
      </c>
      <c r="AD444" s="325"/>
      <c r="AE444" s="325"/>
      <c r="AF444" s="325"/>
      <c r="AG444" s="330"/>
      <c r="AH444" s="325"/>
      <c r="AI444" s="325"/>
      <c r="AJ444" s="325"/>
      <c r="AK444" s="325"/>
      <c r="AL444" s="325"/>
      <c r="AM444" s="325"/>
      <c r="AN444" s="325"/>
      <c r="AO444" s="325"/>
      <c r="AP444" s="325"/>
      <c r="AQ444" s="325"/>
      <c r="AR444" s="325"/>
      <c r="AS444" s="338">
        <v>1</v>
      </c>
      <c r="AT444" s="325"/>
      <c r="AU444" s="330" t="str">
        <f>IF(G444=EUwideConstants!$A$88,AS444,"")</f>
        <v/>
      </c>
      <c r="AV444" s="376">
        <f>IF(AC444=TRUE,IF(COUNT(K444:L444)=0,0,IF(L444="",K444,L444)),0)</f>
        <v>0</v>
      </c>
      <c r="AW444" s="375" t="b">
        <f>AND(AC444=TRUE,OR(AND(F444&lt;&gt;"",NOT(ISNUMBER(AA444))),L444&lt;&gt;"",F444="",AU444=""))</f>
        <v>0</v>
      </c>
      <c r="AX444" s="457" t="b">
        <f>AND(AC444=TRUE,NOT(AW444))</f>
        <v>0</v>
      </c>
      <c r="AY444" s="325"/>
      <c r="AZ444" s="379" t="b">
        <f>AND(ISNUMBER(AA444),AU444="")</f>
        <v>0</v>
      </c>
      <c r="BA444" s="380" t="b">
        <f>AND(ISNUMBER(AA444),AU444&lt;&gt;AV444)</f>
        <v>0</v>
      </c>
      <c r="BB444" s="325"/>
      <c r="BC444" s="33" t="b">
        <f>AND(F444&lt;&gt;"",OR(COUNTIF(INDEX(ScopeMethods,F444,),G444)=0,AND(AA444&lt;&gt;"",AU444&lt;&gt;AV444)))</f>
        <v>0</v>
      </c>
      <c r="BD444" s="325"/>
      <c r="BE444" s="325"/>
      <c r="BF444" s="325"/>
      <c r="BG444" s="325"/>
      <c r="BH444" s="325"/>
      <c r="BI444" s="325"/>
      <c r="BJ444" s="325"/>
      <c r="BK444" s="325"/>
      <c r="BL444" s="325"/>
      <c r="BM444" s="325"/>
      <c r="BN444" s="325"/>
      <c r="BO444" s="325"/>
      <c r="BP444" s="325"/>
      <c r="BQ444" s="325"/>
      <c r="BR444" s="325"/>
      <c r="BS444" s="325"/>
      <c r="BT444" s="325"/>
      <c r="BU444" s="325"/>
      <c r="BV444" s="325"/>
      <c r="BW444" s="325"/>
      <c r="BX444" s="325"/>
      <c r="BY444" s="325"/>
      <c r="BZ444" s="325"/>
      <c r="CA444" s="325"/>
      <c r="CB444" s="325"/>
      <c r="CC444" s="325"/>
      <c r="CD444" s="325"/>
      <c r="CE444" s="325"/>
      <c r="CF444" s="325"/>
      <c r="CG444" s="325"/>
    </row>
    <row r="445" spans="1:85" ht="12.75" customHeight="1" x14ac:dyDescent="0.25">
      <c r="A445" s="318"/>
      <c r="B445" s="21"/>
      <c r="C445" s="21"/>
      <c r="D445" s="21"/>
      <c r="E445" s="21"/>
      <c r="F445" s="21"/>
      <c r="G445" s="1130" t="str">
        <f>IF(G444="","",INDEX(ScopeMethodsDetails,MATCH(G444,INDEX(ScopeMethodsDetails,,1),0),2))</f>
        <v/>
      </c>
      <c r="H445" s="1131"/>
      <c r="I445" s="1131"/>
      <c r="J445" s="1131"/>
      <c r="K445" s="1131"/>
      <c r="L445" s="1131"/>
      <c r="M445" s="1132"/>
      <c r="N445" s="22"/>
      <c r="O445" s="323"/>
      <c r="P445" s="301"/>
      <c r="Q445" s="23"/>
      <c r="R445" s="23"/>
      <c r="S445" s="325"/>
      <c r="T445" s="325"/>
      <c r="U445" s="325"/>
      <c r="V445" s="325"/>
      <c r="W445" s="325"/>
      <c r="X445" s="325"/>
      <c r="Y445" s="325"/>
      <c r="Z445" s="325"/>
      <c r="AA445" s="325"/>
      <c r="AB445" s="325"/>
      <c r="AC445" s="325"/>
      <c r="AD445" s="325"/>
      <c r="AE445" s="325"/>
      <c r="AF445" s="325"/>
      <c r="AG445" s="325"/>
      <c r="AH445" s="325"/>
      <c r="AI445" s="325"/>
      <c r="AJ445" s="325"/>
      <c r="AK445" s="325"/>
      <c r="AL445" s="325"/>
      <c r="AM445" s="325"/>
      <c r="AN445" s="325"/>
      <c r="AO445" s="325"/>
      <c r="AP445" s="325"/>
      <c r="AQ445" s="325"/>
      <c r="AR445" s="325"/>
      <c r="AS445" s="325"/>
      <c r="AT445" s="325"/>
      <c r="AU445" s="325"/>
      <c r="AV445" s="325"/>
      <c r="AW445" s="325"/>
      <c r="AX445" s="325"/>
      <c r="AY445" s="325"/>
      <c r="AZ445" s="325"/>
      <c r="BA445" s="325"/>
      <c r="BB445" s="325"/>
      <c r="BC445" s="325"/>
      <c r="BD445" s="325"/>
      <c r="BE445" s="325"/>
      <c r="BF445" s="325"/>
      <c r="BG445" s="325"/>
      <c r="BH445" s="325"/>
      <c r="BI445" s="325"/>
      <c r="BJ445" s="325"/>
      <c r="BK445" s="325"/>
      <c r="BL445" s="325"/>
      <c r="BM445" s="325"/>
      <c r="BN445" s="325"/>
      <c r="BO445" s="325"/>
      <c r="BP445" s="325"/>
      <c r="BQ445" s="325"/>
      <c r="BR445" s="325"/>
      <c r="BS445" s="325"/>
      <c r="BT445" s="325"/>
      <c r="BU445" s="325"/>
      <c r="BV445" s="325"/>
      <c r="BW445" s="325"/>
      <c r="BX445" s="325"/>
      <c r="BY445" s="325"/>
      <c r="BZ445" s="325"/>
      <c r="CA445" s="325"/>
      <c r="CB445" s="325"/>
      <c r="CC445" s="325"/>
      <c r="CD445" s="325"/>
      <c r="CE445" s="325"/>
      <c r="CF445" s="325"/>
      <c r="CG445" s="325"/>
    </row>
    <row r="446" spans="1:85" ht="5.15" customHeight="1" x14ac:dyDescent="0.25">
      <c r="A446" s="318"/>
      <c r="C446" s="22"/>
      <c r="D446" s="22"/>
      <c r="E446" s="22"/>
      <c r="F446" s="22"/>
      <c r="G446" s="22"/>
      <c r="H446" s="22"/>
      <c r="I446" s="22"/>
      <c r="J446" s="22"/>
      <c r="K446" s="22"/>
      <c r="L446" s="22"/>
      <c r="O446" s="323"/>
      <c r="P446" s="301"/>
      <c r="Q446" s="23"/>
      <c r="R446" s="23"/>
      <c r="S446" s="325"/>
      <c r="T446" s="325"/>
      <c r="U446" s="325"/>
      <c r="V446" s="325"/>
      <c r="W446" s="325"/>
      <c r="X446" s="325"/>
      <c r="Y446" s="325"/>
      <c r="Z446" s="325"/>
      <c r="AA446" s="325"/>
      <c r="AB446" s="325"/>
      <c r="AC446" s="325"/>
      <c r="AD446" s="325"/>
      <c r="AE446" s="325"/>
      <c r="AF446" s="325"/>
      <c r="AG446" s="325"/>
      <c r="AH446" s="325"/>
      <c r="AI446" s="325"/>
      <c r="AJ446" s="325"/>
      <c r="AK446" s="325"/>
      <c r="AL446" s="325"/>
      <c r="AM446" s="325"/>
      <c r="AN446" s="325"/>
      <c r="AO446" s="325"/>
      <c r="AP446" s="325"/>
      <c r="AQ446" s="325"/>
      <c r="AR446" s="325"/>
      <c r="AS446" s="325"/>
      <c r="AT446" s="325"/>
      <c r="AU446" s="325"/>
      <c r="AV446" s="325"/>
      <c r="AW446" s="325"/>
      <c r="AX446" s="325"/>
      <c r="AY446" s="325"/>
      <c r="AZ446" s="325"/>
      <c r="BA446" s="325"/>
      <c r="BB446" s="325"/>
      <c r="BC446" s="325"/>
      <c r="BD446" s="325"/>
      <c r="BE446" s="325"/>
      <c r="BF446" s="325"/>
      <c r="BG446" s="325"/>
      <c r="BH446" s="325"/>
      <c r="BI446" s="325"/>
      <c r="BJ446" s="325"/>
      <c r="BK446" s="325"/>
      <c r="BL446" s="325"/>
      <c r="BM446" s="325"/>
      <c r="BN446" s="325"/>
      <c r="BO446" s="325"/>
      <c r="BP446" s="325"/>
      <c r="BQ446" s="325"/>
      <c r="BR446" s="325"/>
      <c r="BS446" s="325"/>
      <c r="BT446" s="325"/>
      <c r="BU446" s="325"/>
      <c r="BV446" s="325"/>
      <c r="BW446" s="325"/>
      <c r="BX446" s="325"/>
      <c r="BY446" s="325"/>
      <c r="BZ446" s="325"/>
      <c r="CA446" s="325"/>
      <c r="CB446" s="325"/>
      <c r="CC446" s="325"/>
      <c r="CD446" s="325"/>
      <c r="CE446" s="325"/>
      <c r="CF446" s="325"/>
      <c r="CG446" s="325"/>
    </row>
    <row r="447" spans="1:85" ht="12.75" customHeight="1" x14ac:dyDescent="0.25">
      <c r="A447" s="318"/>
      <c r="C447" s="22"/>
      <c r="D447" s="22"/>
      <c r="E447" s="22"/>
      <c r="F447" s="22"/>
      <c r="G447" s="1133">
        <v>1</v>
      </c>
      <c r="H447" s="1133"/>
      <c r="I447" s="1133">
        <v>2</v>
      </c>
      <c r="J447" s="1133"/>
      <c r="K447" s="1133">
        <v>3</v>
      </c>
      <c r="L447" s="1133"/>
      <c r="O447" s="323"/>
      <c r="P447" s="301"/>
      <c r="Q447" s="23"/>
      <c r="R447" s="23"/>
      <c r="S447" s="325"/>
      <c r="T447" s="325"/>
      <c r="U447" s="325"/>
      <c r="V447" s="325"/>
      <c r="W447" s="325"/>
      <c r="X447" s="325"/>
      <c r="Y447" s="325"/>
      <c r="Z447" s="325"/>
      <c r="AA447" s="325"/>
      <c r="AB447" s="325"/>
      <c r="AC447" s="325"/>
      <c r="AD447" s="325"/>
      <c r="AE447" s="325"/>
      <c r="AF447" s="325"/>
      <c r="AG447" s="325"/>
      <c r="AH447" s="325"/>
      <c r="AI447" s="325"/>
      <c r="AJ447" s="325"/>
      <c r="AK447" s="325"/>
      <c r="AL447" s="325"/>
      <c r="AM447" s="325"/>
      <c r="AN447" s="325"/>
      <c r="AO447" s="325"/>
      <c r="AP447" s="325"/>
      <c r="AQ447" s="325"/>
      <c r="AR447" s="325"/>
      <c r="AS447" s="325"/>
      <c r="AT447" s="325"/>
      <c r="AU447" s="325"/>
      <c r="AV447" s="325"/>
      <c r="AW447" s="325"/>
      <c r="AX447" s="325"/>
      <c r="AY447" s="325"/>
      <c r="AZ447" s="325"/>
      <c r="BA447" s="325"/>
      <c r="BB447" s="325"/>
      <c r="BC447" s="325"/>
      <c r="BD447" s="325"/>
      <c r="BE447" s="325"/>
      <c r="BF447" s="325"/>
      <c r="BG447" s="325"/>
      <c r="BH447" s="325"/>
      <c r="BI447" s="325"/>
      <c r="BJ447" s="325"/>
      <c r="BK447" s="325"/>
      <c r="BL447" s="325"/>
      <c r="BM447" s="325"/>
      <c r="BN447" s="325"/>
      <c r="BO447" s="325"/>
      <c r="BP447" s="325"/>
      <c r="BQ447" s="325"/>
      <c r="BR447" s="325"/>
      <c r="BS447" s="325"/>
      <c r="BT447" s="325"/>
      <c r="BU447" s="325"/>
      <c r="BV447" s="325"/>
      <c r="BW447" s="325"/>
      <c r="BX447" s="325"/>
      <c r="BY447" s="325"/>
      <c r="BZ447" s="325"/>
      <c r="CA447" s="325"/>
      <c r="CB447" s="325"/>
      <c r="CC447" s="325"/>
      <c r="CD447" s="325"/>
      <c r="CE447" s="325"/>
      <c r="CF447" s="325"/>
      <c r="CG447" s="325"/>
    </row>
    <row r="448" spans="1:85" ht="12.75" customHeight="1" x14ac:dyDescent="0.25">
      <c r="A448" s="389"/>
      <c r="B448" s="22"/>
      <c r="C448" s="22"/>
      <c r="D448" s="1134" t="str">
        <f>Translations!$B$372</f>
        <v>CRF-luokka</v>
      </c>
      <c r="E448" s="1134"/>
      <c r="F448" s="1135"/>
      <c r="G448" s="1123"/>
      <c r="H448" s="1124"/>
      <c r="I448" s="1123"/>
      <c r="J448" s="1124"/>
      <c r="K448" s="1123"/>
      <c r="L448" s="1124"/>
      <c r="M448" s="623" t="str">
        <f>IF(AND(E431&lt;&gt;"",COUNTA(G448:L448)=0,AX448=FALSE),EUconst_ERR_Incomplete,"")</f>
        <v/>
      </c>
      <c r="N448" s="22"/>
      <c r="O448" s="323"/>
      <c r="P448" s="301"/>
      <c r="Q448" s="23"/>
      <c r="R448" s="23"/>
      <c r="S448" s="325"/>
      <c r="T448" s="325"/>
      <c r="U448" s="325"/>
      <c r="V448" s="325"/>
      <c r="W448" s="325"/>
      <c r="X448" s="325"/>
      <c r="Y448" s="325"/>
      <c r="Z448" s="325"/>
      <c r="AA448" s="325"/>
      <c r="AB448" s="325"/>
      <c r="AC448" s="325"/>
      <c r="AD448" s="325"/>
      <c r="AE448" s="325"/>
      <c r="AF448" s="325"/>
      <c r="AG448" s="325"/>
      <c r="AH448" s="325"/>
      <c r="AI448" s="325"/>
      <c r="AJ448" s="325"/>
      <c r="AK448" s="325"/>
      <c r="AL448" s="325"/>
      <c r="AM448" s="325"/>
      <c r="AN448" s="325"/>
      <c r="AO448" s="325"/>
      <c r="AP448" s="325"/>
      <c r="AQ448" s="325"/>
      <c r="AR448" s="325"/>
      <c r="AS448" s="325"/>
      <c r="AT448" s="325"/>
      <c r="AU448" s="325"/>
      <c r="AV448" s="325"/>
      <c r="AW448" s="325"/>
      <c r="AX448" s="33" t="b">
        <f>AND(AV444&lt;&gt;"",SUM(AV444=1))</f>
        <v>0</v>
      </c>
      <c r="AY448" s="325"/>
      <c r="AZ448" s="325"/>
      <c r="BA448" s="325"/>
      <c r="BB448" s="325"/>
      <c r="BC448" s="325"/>
      <c r="BD448" s="325"/>
      <c r="BE448" s="325"/>
      <c r="BF448" s="325"/>
      <c r="BG448" s="325"/>
      <c r="BH448" s="325"/>
      <c r="BI448" s="325"/>
      <c r="BJ448" s="325"/>
      <c r="BK448" s="325"/>
      <c r="BL448" s="325"/>
      <c r="BM448" s="325"/>
      <c r="BN448" s="325"/>
      <c r="BO448" s="325"/>
      <c r="BP448" s="325"/>
      <c r="BQ448" s="325"/>
      <c r="BR448" s="325"/>
      <c r="BS448" s="325"/>
      <c r="BT448" s="325"/>
      <c r="BU448" s="325"/>
      <c r="BV448" s="325"/>
      <c r="BW448" s="325"/>
      <c r="BX448" s="325"/>
      <c r="BY448" s="325"/>
      <c r="BZ448" s="325"/>
      <c r="CA448" s="325"/>
      <c r="CB448" s="325"/>
      <c r="CC448" s="325"/>
      <c r="CD448" s="325"/>
      <c r="CE448" s="325"/>
      <c r="CF448" s="325"/>
      <c r="CG448" s="325"/>
    </row>
    <row r="449" spans="1:85" ht="5.15" customHeight="1" x14ac:dyDescent="0.25">
      <c r="A449" s="318"/>
      <c r="B449" s="21"/>
      <c r="C449" s="21"/>
      <c r="D449" s="21"/>
      <c r="E449" s="21"/>
      <c r="F449" s="21"/>
      <c r="G449" s="22"/>
      <c r="H449" s="22"/>
      <c r="I449" s="22"/>
      <c r="J449" s="22"/>
      <c r="K449" s="22"/>
      <c r="L449" s="22"/>
      <c r="M449" s="22"/>
      <c r="N449" s="22"/>
      <c r="O449" s="323"/>
      <c r="P449" s="301"/>
      <c r="Q449" s="23"/>
      <c r="R449" s="23"/>
      <c r="S449" s="325"/>
      <c r="T449" s="325"/>
      <c r="U449" s="325"/>
      <c r="V449" s="325"/>
      <c r="W449" s="325"/>
      <c r="X449" s="325"/>
      <c r="Y449" s="325"/>
      <c r="Z449" s="325"/>
      <c r="AA449" s="325"/>
      <c r="AB449" s="325"/>
      <c r="AC449" s="325"/>
      <c r="AD449" s="325"/>
      <c r="AE449" s="325"/>
      <c r="AF449" s="325"/>
      <c r="AG449" s="325"/>
      <c r="AH449" s="325"/>
      <c r="AI449" s="325"/>
      <c r="AJ449" s="325"/>
      <c r="AK449" s="325"/>
      <c r="AL449" s="325"/>
      <c r="AM449" s="325"/>
      <c r="AN449" s="325"/>
      <c r="AO449" s="325"/>
      <c r="AP449" s="325"/>
      <c r="AQ449" s="325"/>
      <c r="AR449" s="325"/>
      <c r="AS449" s="325"/>
      <c r="AT449" s="325"/>
      <c r="AU449" s="325"/>
      <c r="AV449" s="325"/>
      <c r="AW449" s="325"/>
      <c r="AX449" s="325"/>
      <c r="AY449" s="325"/>
      <c r="AZ449" s="325"/>
      <c r="BA449" s="325"/>
      <c r="BB449" s="325"/>
      <c r="BC449" s="325"/>
      <c r="BD449" s="325"/>
      <c r="BE449" s="325"/>
      <c r="BF449" s="325"/>
      <c r="BG449" s="325"/>
      <c r="BH449" s="325"/>
      <c r="BI449" s="325"/>
      <c r="BJ449" s="325"/>
      <c r="BK449" s="325"/>
      <c r="BL449" s="325"/>
      <c r="BM449" s="325"/>
      <c r="BN449" s="325"/>
      <c r="BO449" s="325"/>
      <c r="BP449" s="325"/>
      <c r="BQ449" s="325"/>
      <c r="BR449" s="325"/>
      <c r="BS449" s="325"/>
      <c r="BT449" s="325"/>
      <c r="BU449" s="325"/>
      <c r="BV449" s="325"/>
      <c r="BW449" s="325"/>
      <c r="BX449" s="325"/>
      <c r="BY449" s="325"/>
      <c r="BZ449" s="325"/>
      <c r="CA449" s="325"/>
      <c r="CB449" s="325"/>
      <c r="CC449" s="325"/>
      <c r="CD449" s="325"/>
      <c r="CE449" s="325"/>
      <c r="CF449" s="325"/>
      <c r="CG449" s="325"/>
    </row>
    <row r="450" spans="1:85" ht="8.15" customHeight="1" x14ac:dyDescent="0.25">
      <c r="A450" s="318"/>
      <c r="B450" s="21"/>
      <c r="C450" s="21"/>
      <c r="D450" s="1116" t="str">
        <f>Translations!$B$304</f>
        <v xml:space="preserve">Lisätiedot: 
tapa, jolla biomassan kestävyys on osoitettu; 
muut polttoainevirtaa koskevat lisätiedot. </v>
      </c>
      <c r="E450" s="1116"/>
      <c r="F450" s="1116"/>
      <c r="G450" s="806"/>
      <c r="H450" s="807"/>
      <c r="I450" s="806"/>
      <c r="J450" s="236"/>
      <c r="K450" s="236"/>
      <c r="L450" s="236"/>
      <c r="M450" s="807"/>
      <c r="N450" s="808"/>
      <c r="O450" s="323"/>
      <c r="P450" s="301"/>
      <c r="Q450" s="23"/>
      <c r="R450" s="23"/>
      <c r="S450" s="388"/>
      <c r="T450" s="325"/>
      <c r="U450" s="325"/>
      <c r="V450" s="325"/>
      <c r="W450" s="325"/>
      <c r="X450" s="325"/>
      <c r="Y450" s="325"/>
      <c r="Z450" s="325"/>
      <c r="AA450" s="325"/>
      <c r="AB450" s="325"/>
      <c r="AC450" s="325"/>
      <c r="AD450" s="325"/>
      <c r="AE450" s="325"/>
      <c r="AF450" s="325"/>
      <c r="AG450" s="325"/>
      <c r="AH450" s="325"/>
      <c r="AI450" s="325"/>
      <c r="AJ450" s="325"/>
      <c r="AK450" s="325"/>
      <c r="AL450" s="325"/>
      <c r="AM450" s="325"/>
      <c r="AN450" s="325"/>
      <c r="AO450" s="325"/>
      <c r="AP450" s="325"/>
      <c r="AQ450" s="325"/>
      <c r="AR450" s="325"/>
      <c r="AS450" s="325"/>
      <c r="AT450" s="325"/>
      <c r="AU450" s="325"/>
      <c r="AV450" s="325"/>
      <c r="AW450" s="325"/>
      <c r="AX450" s="325"/>
      <c r="AY450" s="325"/>
      <c r="AZ450" s="325"/>
      <c r="BA450" s="325"/>
      <c r="BB450" s="325"/>
      <c r="BC450" s="325"/>
      <c r="BD450" s="325"/>
      <c r="BE450" s="325"/>
      <c r="BF450" s="325"/>
      <c r="BG450" s="325"/>
      <c r="BH450" s="325"/>
      <c r="BI450" s="325"/>
      <c r="BJ450" s="325"/>
      <c r="BK450" s="325"/>
      <c r="BL450" s="325"/>
      <c r="BM450" s="325"/>
      <c r="BN450" s="325"/>
      <c r="BO450" s="325"/>
      <c r="BP450" s="325"/>
      <c r="BQ450" s="325"/>
      <c r="BR450" s="325"/>
      <c r="BS450" s="325"/>
      <c r="BT450" s="325"/>
      <c r="BU450" s="325"/>
      <c r="BV450" s="325"/>
      <c r="BW450" s="325"/>
      <c r="BX450" s="325"/>
      <c r="BY450" s="325"/>
      <c r="BZ450" s="325"/>
      <c r="CA450" s="325"/>
      <c r="CB450" s="325"/>
      <c r="CC450" s="325"/>
      <c r="CD450" s="325"/>
      <c r="CE450" s="325"/>
      <c r="CF450" s="325"/>
      <c r="CG450" s="33" t="b">
        <f>CG437</f>
        <v>0</v>
      </c>
    </row>
    <row r="451" spans="1:85" ht="5.15" customHeight="1" x14ac:dyDescent="0.25">
      <c r="A451" s="389"/>
      <c r="B451" s="22"/>
      <c r="C451" s="22"/>
      <c r="D451" s="1116"/>
      <c r="E451" s="1116"/>
      <c r="F451" s="1116"/>
      <c r="G451" s="22"/>
      <c r="H451" s="22"/>
      <c r="I451" s="22"/>
      <c r="J451" s="22"/>
      <c r="K451" s="22"/>
      <c r="L451" s="22"/>
      <c r="M451" s="22"/>
      <c r="N451" s="22"/>
      <c r="O451" s="323"/>
      <c r="P451" s="301"/>
      <c r="Q451" s="23"/>
      <c r="R451" s="23"/>
      <c r="S451" s="325"/>
      <c r="T451" s="325"/>
      <c r="U451" s="325"/>
      <c r="V451" s="325"/>
      <c r="W451" s="325"/>
      <c r="X451" s="325"/>
      <c r="Y451" s="325"/>
      <c r="Z451" s="325"/>
      <c r="AA451" s="325"/>
      <c r="AB451" s="325"/>
      <c r="AC451" s="325"/>
      <c r="AD451" s="325"/>
      <c r="AE451" s="325"/>
      <c r="AF451" s="325"/>
      <c r="AG451" s="325"/>
      <c r="AH451" s="325"/>
      <c r="AI451" s="325"/>
      <c r="AJ451" s="325"/>
      <c r="AK451" s="325"/>
      <c r="AL451" s="325"/>
      <c r="AM451" s="325"/>
      <c r="AN451" s="325"/>
      <c r="AO451" s="325"/>
      <c r="AP451" s="325"/>
      <c r="AQ451" s="325"/>
      <c r="AR451" s="325"/>
      <c r="AS451" s="325"/>
      <c r="AT451" s="325"/>
      <c r="AU451" s="325"/>
      <c r="AV451" s="325"/>
      <c r="AW451" s="325"/>
      <c r="AX451" s="325"/>
      <c r="AY451" s="325"/>
      <c r="AZ451" s="325"/>
      <c r="BA451" s="325"/>
      <c r="BB451" s="325"/>
      <c r="BC451" s="325"/>
      <c r="BD451" s="325"/>
      <c r="BE451" s="325"/>
      <c r="BF451" s="325"/>
      <c r="BG451" s="325"/>
      <c r="BH451" s="325"/>
      <c r="BI451" s="325"/>
      <c r="BJ451" s="325"/>
      <c r="BK451" s="325"/>
      <c r="BL451" s="325"/>
      <c r="BM451" s="325"/>
      <c r="BN451" s="325"/>
      <c r="BO451" s="325"/>
      <c r="BP451" s="325"/>
      <c r="BQ451" s="325"/>
      <c r="BR451" s="325"/>
      <c r="BS451" s="325"/>
      <c r="BT451" s="325"/>
      <c r="BU451" s="325"/>
      <c r="BV451" s="325"/>
      <c r="BW451" s="325"/>
      <c r="BX451" s="325"/>
      <c r="BY451" s="325"/>
      <c r="BZ451" s="325"/>
      <c r="CA451" s="325"/>
      <c r="CB451" s="325"/>
      <c r="CC451" s="325"/>
      <c r="CD451" s="325"/>
      <c r="CE451" s="325"/>
      <c r="CF451" s="325"/>
      <c r="CG451" s="325"/>
    </row>
    <row r="452" spans="1:85" ht="44.5" customHeight="1" x14ac:dyDescent="0.25">
      <c r="A452" s="389"/>
      <c r="B452" s="22"/>
      <c r="C452" s="22"/>
      <c r="D452" s="1116"/>
      <c r="E452" s="1116"/>
      <c r="F452" s="1116"/>
      <c r="G452" s="1146"/>
      <c r="H452" s="1147"/>
      <c r="I452" s="1147"/>
      <c r="J452" s="1147"/>
      <c r="K452" s="1147"/>
      <c r="L452" s="1147"/>
      <c r="M452" s="1147"/>
      <c r="N452" s="1148"/>
      <c r="O452" s="323"/>
      <c r="P452" s="301"/>
      <c r="Q452" s="23"/>
      <c r="R452" s="23"/>
      <c r="S452" s="325"/>
      <c r="T452" s="325"/>
      <c r="U452" s="325"/>
      <c r="V452" s="325"/>
      <c r="W452" s="325"/>
      <c r="X452" s="325"/>
      <c r="Y452" s="325"/>
      <c r="Z452" s="325"/>
      <c r="AA452" s="325"/>
      <c r="AB452" s="325"/>
      <c r="AC452" s="325"/>
      <c r="AD452" s="325"/>
      <c r="AE452" s="325"/>
      <c r="AF452" s="325"/>
      <c r="AG452" s="325"/>
      <c r="AH452" s="325"/>
      <c r="AI452" s="325"/>
      <c r="AJ452" s="325"/>
      <c r="AK452" s="325"/>
      <c r="AL452" s="325"/>
      <c r="AM452" s="325"/>
      <c r="AN452" s="325"/>
      <c r="AO452" s="325"/>
      <c r="AP452" s="325"/>
      <c r="AQ452" s="325"/>
      <c r="AR452" s="325"/>
      <c r="AS452" s="325"/>
      <c r="AT452" s="325"/>
      <c r="AU452" s="325"/>
      <c r="AV452" s="325"/>
      <c r="AW452" s="325"/>
      <c r="AX452" s="325"/>
      <c r="AY452" s="325"/>
      <c r="AZ452" s="325"/>
      <c r="BA452" s="325"/>
      <c r="BB452" s="325"/>
      <c r="BC452" s="325"/>
      <c r="BD452" s="325"/>
      <c r="BE452" s="325"/>
      <c r="BF452" s="325"/>
      <c r="BG452" s="325"/>
      <c r="BH452" s="325"/>
      <c r="BI452" s="325"/>
      <c r="BJ452" s="325"/>
      <c r="BK452" s="325"/>
      <c r="BL452" s="325"/>
      <c r="BM452" s="325"/>
      <c r="BN452" s="325"/>
      <c r="BO452" s="325"/>
      <c r="BP452" s="325"/>
      <c r="BQ452" s="325"/>
      <c r="BR452" s="325"/>
      <c r="BS452" s="325"/>
      <c r="BT452" s="325"/>
      <c r="BU452" s="325"/>
      <c r="BV452" s="325"/>
      <c r="BW452" s="325"/>
      <c r="BX452" s="325"/>
      <c r="BY452" s="325"/>
      <c r="BZ452" s="325"/>
      <c r="CA452" s="325"/>
      <c r="CB452" s="325"/>
      <c r="CC452" s="325"/>
      <c r="CD452" s="325"/>
      <c r="CE452" s="325"/>
      <c r="CF452" s="325"/>
      <c r="CG452" s="33" t="b">
        <f>CG450</f>
        <v>0</v>
      </c>
    </row>
    <row r="453" spans="1:85" ht="12.75" customHeight="1" thickBot="1" x14ac:dyDescent="0.3">
      <c r="A453" s="318"/>
      <c r="B453" s="22"/>
      <c r="C453" s="319"/>
      <c r="D453" s="320"/>
      <c r="E453" s="321"/>
      <c r="F453" s="319"/>
      <c r="G453" s="322"/>
      <c r="H453" s="322"/>
      <c r="I453" s="322"/>
      <c r="J453" s="322"/>
      <c r="K453" s="322"/>
      <c r="L453" s="322"/>
      <c r="M453" s="322"/>
      <c r="N453" s="322"/>
      <c r="O453" s="323"/>
      <c r="P453" s="301"/>
      <c r="Q453" s="23"/>
      <c r="R453" s="23"/>
      <c r="S453" s="41"/>
      <c r="T453" s="41"/>
      <c r="U453" s="324"/>
      <c r="V453" s="41"/>
      <c r="W453" s="41"/>
      <c r="X453" s="324"/>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41"/>
      <c r="BM453" s="325"/>
      <c r="BN453" s="325"/>
      <c r="BO453" s="325"/>
      <c r="BP453" s="325"/>
      <c r="BQ453" s="325"/>
      <c r="BR453" s="325"/>
      <c r="BS453" s="325"/>
      <c r="BT453" s="325"/>
      <c r="BU453" s="41"/>
      <c r="BV453" s="41"/>
      <c r="BW453" s="41"/>
      <c r="BX453" s="41"/>
      <c r="BY453" s="41"/>
      <c r="BZ453" s="41"/>
      <c r="CA453" s="41"/>
      <c r="CB453" s="41"/>
      <c r="CC453" s="41"/>
      <c r="CD453" s="41"/>
      <c r="CE453" s="41"/>
      <c r="CF453" s="41"/>
      <c r="CG453" s="41"/>
    </row>
    <row r="454" spans="1:85" ht="12.75" customHeight="1" thickBot="1" x14ac:dyDescent="0.3">
      <c r="A454" s="326"/>
      <c r="B454" s="22"/>
      <c r="C454" s="22"/>
      <c r="D454" s="327"/>
      <c r="E454" s="328"/>
      <c r="F454" s="22"/>
      <c r="G454" s="1"/>
      <c r="H454" s="1"/>
      <c r="I454" s="1"/>
      <c r="J454" s="1"/>
      <c r="K454" s="22"/>
      <c r="L454" s="1"/>
      <c r="M454" s="1"/>
      <c r="N454" s="1"/>
      <c r="O454" s="323"/>
      <c r="P454" s="301"/>
      <c r="Q454" s="23"/>
      <c r="R454" s="23"/>
      <c r="S454" s="2"/>
      <c r="T454" s="20" t="str">
        <f>IF(ISBLANK(E455),"",MATCH(E455,CNTR_SourceStreamNames,0))</f>
        <v/>
      </c>
      <c r="U454" s="329" t="str">
        <f>IF(ISBLANK(E455),"",INDEX('B_Polttoainevirtojen tiedot'!$D$67:$D$91,MATCH(E455,CNTR_SourceStreamNames,0)))</f>
        <v/>
      </c>
      <c r="V454" s="60"/>
      <c r="W454" s="37"/>
      <c r="X454" s="37"/>
      <c r="Y454" s="37"/>
      <c r="Z454" s="41"/>
      <c r="AA454" s="41"/>
      <c r="AB454" s="41"/>
      <c r="AC454" s="41"/>
      <c r="AD454" s="41"/>
      <c r="AE454" s="41"/>
      <c r="AF454" s="41"/>
      <c r="AG454" s="41"/>
      <c r="AH454" s="41"/>
      <c r="AI454" s="41"/>
      <c r="AJ454" s="41"/>
      <c r="AK454" s="23"/>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30" t="s">
        <v>94</v>
      </c>
    </row>
    <row r="455" spans="1:85" ht="15" customHeight="1" thickBot="1" x14ac:dyDescent="0.3">
      <c r="A455" s="331">
        <f>C455</f>
        <v>18</v>
      </c>
      <c r="B455" s="21"/>
      <c r="C455" s="332">
        <f>C431+1</f>
        <v>18</v>
      </c>
      <c r="D455" s="21"/>
      <c r="E455" s="1117"/>
      <c r="F455" s="1118"/>
      <c r="G455" s="1118"/>
      <c r="H455" s="1118"/>
      <c r="I455" s="1118"/>
      <c r="J455" s="1119"/>
      <c r="K455" s="1138" t="str">
        <f>IF(INDEX('B_Polttoainevirtojen tiedot'!$K$100:$K$124,MATCH(U454,'B_Polttoainevirtojen tiedot'!$D$100:$D$124,0))&gt;0,INDEX('B_Polttoainevirtojen tiedot'!$K$100:$K$124,MATCH(U454,'B_Polttoainevirtojen tiedot'!$D$100:$D$124,0)),"")</f>
        <v/>
      </c>
      <c r="L455" s="1139"/>
      <c r="M455" s="328" t="str">
        <f>Translations!$B$374</f>
        <v>CO2 fossiilinen:</v>
      </c>
      <c r="N455" s="401" t="str">
        <f>IF(E456="","",BG461)</f>
        <v/>
      </c>
      <c r="O455" s="333" t="str">
        <f>EUconst_tCO2</f>
        <v>tCO2</v>
      </c>
      <c r="P455" s="610" t="str">
        <f>IF(AND(E455&lt;&gt;"",COUNTIF(P456:$P$811,"PRINT")=0),"PRINT","")</f>
        <v/>
      </c>
      <c r="Q455" s="335" t="str">
        <f>EUconst_SumCO2</f>
        <v>SUM_CO2</v>
      </c>
      <c r="R455" s="23"/>
      <c r="S455" s="2"/>
      <c r="T455" s="2"/>
      <c r="U455" s="2"/>
      <c r="V455" s="60"/>
      <c r="W455" s="37"/>
      <c r="X455" s="41"/>
      <c r="Y455" s="41"/>
      <c r="Z455" s="41"/>
      <c r="AA455" s="41"/>
      <c r="AB455" s="41"/>
      <c r="AC455" s="41"/>
      <c r="AD455" s="41"/>
      <c r="AE455" s="41"/>
      <c r="AF455" s="41"/>
      <c r="AG455" s="41"/>
      <c r="AH455" s="41"/>
      <c r="AI455" s="337"/>
      <c r="AJ455" s="337"/>
      <c r="AK455" s="337"/>
      <c r="AL455" s="337"/>
      <c r="AM455" s="337"/>
      <c r="AN455" s="337"/>
      <c r="AO455" s="337"/>
      <c r="AP455" s="337"/>
      <c r="AQ455" s="337"/>
      <c r="AR455" s="337"/>
      <c r="AS455" s="337"/>
      <c r="AT455" s="337"/>
      <c r="AU455" s="337"/>
      <c r="AV455" s="337"/>
      <c r="AW455" s="337"/>
      <c r="AX455" s="337"/>
      <c r="AY455" s="337"/>
      <c r="AZ455" s="337"/>
      <c r="BA455" s="337"/>
      <c r="BB455" s="337"/>
      <c r="BC455" s="337"/>
      <c r="BD455" s="337"/>
      <c r="BE455" s="337"/>
      <c r="BF455" s="337"/>
      <c r="BG455" s="337"/>
      <c r="BH455" s="337"/>
      <c r="BI455" s="483" t="str">
        <f>IF(E455="","",E455)</f>
        <v/>
      </c>
      <c r="BJ455" s="338" t="str">
        <f>IF(F461="","",F461)</f>
        <v/>
      </c>
      <c r="BK455" s="485">
        <f>AV461</f>
        <v>0</v>
      </c>
      <c r="BL455" s="485">
        <f>IF(BK455="","",BK455*(1-BP455))</f>
        <v>0</v>
      </c>
      <c r="BM455" s="338" t="str">
        <f>AJ461</f>
        <v/>
      </c>
      <c r="BN455" s="338" t="str">
        <f>IF(F468="","",F468)</f>
        <v/>
      </c>
      <c r="BO455" s="483" t="str">
        <f>IF(G468="","",G468)</f>
        <v/>
      </c>
      <c r="BP455" s="484">
        <f>AV468</f>
        <v>0</v>
      </c>
      <c r="BQ455" s="338" t="str">
        <f>IF(F464="","",F464)</f>
        <v/>
      </c>
      <c r="BR455" s="484">
        <f>AV464</f>
        <v>0</v>
      </c>
      <c r="BS455" s="484" t="str">
        <f>AJ464</f>
        <v/>
      </c>
      <c r="BT455" s="338" t="str">
        <f>IF(F463="","",F463)</f>
        <v/>
      </c>
      <c r="BU455" s="484">
        <f>IF(F463=EUconst_NA,"",AV463)</f>
        <v>0</v>
      </c>
      <c r="BV455" s="484" t="str">
        <f>AJ463</f>
        <v/>
      </c>
      <c r="BW455" s="338" t="str">
        <f>IF(F465="","",F465)</f>
        <v/>
      </c>
      <c r="BX455" s="484">
        <f>AV465</f>
        <v>0</v>
      </c>
      <c r="BY455" s="338" t="str">
        <f>IF(F466="","",F466)</f>
        <v/>
      </c>
      <c r="BZ455" s="484">
        <f>AV466</f>
        <v>0</v>
      </c>
      <c r="CA455" s="485" t="str">
        <f>N455</f>
        <v/>
      </c>
      <c r="CB455" s="485" t="str">
        <f>N456</f>
        <v/>
      </c>
      <c r="CC455" s="485" t="str">
        <f>R458</f>
        <v/>
      </c>
      <c r="CD455" s="485" t="str">
        <f>R460</f>
        <v/>
      </c>
      <c r="CE455" s="485" t="str">
        <f>R461</f>
        <v/>
      </c>
      <c r="CF455" s="37"/>
      <c r="CG455" s="339" t="b">
        <v>0</v>
      </c>
    </row>
    <row r="456" spans="1:85" ht="15" customHeight="1" thickBot="1" x14ac:dyDescent="0.3">
      <c r="A456" s="318"/>
      <c r="B456" s="21"/>
      <c r="C456" s="21"/>
      <c r="D456" s="21"/>
      <c r="E456" s="1127" t="str">
        <f>IF(ISBLANK(E455),"",IF(INDEX('B_Polttoainevirtojen tiedot'!$E$67:$E$91,MATCH(U454,'B_Polttoainevirtojen tiedot'!$D$67:$D$91,0))&gt;0,INDEX('B_Polttoainevirtojen tiedot'!$E$67:$E$91,MATCH(U454,'B_Polttoainevirtojen tiedot'!$D$67:$D$91,0)),""))</f>
        <v/>
      </c>
      <c r="F456" s="1128"/>
      <c r="G456" s="1128"/>
      <c r="H456" s="1128"/>
      <c r="I456" s="1128"/>
      <c r="J456" s="1129"/>
      <c r="K456" s="1138" t="str">
        <f>IF(INDEX('B_Polttoainevirtojen tiedot'!$M$100:$M$124,MATCH(U454,'B_Polttoainevirtojen tiedot'!$D$100:$D$124,0))&gt;0,INDEX('B_Polttoainevirtojen tiedot'!$M$100:$M$124,MATCH(U454,'B_Polttoainevirtojen tiedot'!$D$100:$D$124,0)),"")</f>
        <v/>
      </c>
      <c r="L456" s="1139"/>
      <c r="M456" s="340" t="str">
        <f>Translations!$B$375</f>
        <v>CO2 bio:</v>
      </c>
      <c r="N456" s="482" t="str">
        <f>IF(E456="","",BG463)</f>
        <v/>
      </c>
      <c r="O456" s="341" t="str">
        <f>EUconst_tCO2</f>
        <v>tCO2</v>
      </c>
      <c r="P456" s="301"/>
      <c r="Q456" s="335" t="str">
        <f>EUconst_SumBioCO2</f>
        <v>SUM_bioCO2</v>
      </c>
      <c r="R456" s="23"/>
      <c r="S456" s="2"/>
      <c r="T456" s="2"/>
      <c r="U456" s="2"/>
      <c r="V456" s="60"/>
      <c r="W456" s="37"/>
      <c r="X456" s="41"/>
      <c r="Y456" s="20" t="str">
        <f>Translations!$B$143</f>
        <v>Määrittämistasot</v>
      </c>
      <c r="Z456" s="325"/>
      <c r="AA456" s="325"/>
      <c r="AB456" s="325"/>
      <c r="AC456" s="325"/>
      <c r="AD456" s="325"/>
      <c r="AE456" s="20" t="s">
        <v>95</v>
      </c>
      <c r="AF456" s="41"/>
      <c r="AG456" s="342"/>
      <c r="AH456" s="325"/>
      <c r="AI456" s="325"/>
      <c r="AJ456" s="342"/>
      <c r="AK456" s="342"/>
      <c r="AL456" s="337"/>
      <c r="AM456" s="337"/>
      <c r="AN456" s="337"/>
      <c r="AO456" s="337"/>
      <c r="AP456" s="337"/>
      <c r="AQ456" s="20" t="s">
        <v>96</v>
      </c>
      <c r="AR456" s="343"/>
      <c r="AS456" s="343"/>
      <c r="AT456" s="325"/>
      <c r="AU456" s="325"/>
      <c r="AV456" s="325"/>
      <c r="AW456" s="325"/>
      <c r="AX456" s="325"/>
      <c r="AY456" s="325"/>
      <c r="AZ456" s="20" t="s">
        <v>97</v>
      </c>
      <c r="BA456" s="325"/>
      <c r="BB456" s="325"/>
      <c r="BC456" s="325"/>
      <c r="BD456" s="325"/>
      <c r="BE456" s="325"/>
      <c r="BF456" s="20" t="s">
        <v>98</v>
      </c>
      <c r="BG456" s="325"/>
      <c r="BH456" s="325"/>
      <c r="BI456" s="20" t="s">
        <v>99</v>
      </c>
      <c r="BJ456" s="338" t="str">
        <f>Translations!$B$376</f>
        <v>RFA-määrittämistaso</v>
      </c>
      <c r="BK456" s="338" t="str">
        <f>Translations!$B$377</f>
        <v>RFA</v>
      </c>
      <c r="BL456" s="338" t="str">
        <f>Translations!$B$378</f>
        <v>RFA (SF:n jälkeen)</v>
      </c>
      <c r="BM456" s="338" t="str">
        <f>Translations!$B$379</f>
        <v>RFA-yksikkö</v>
      </c>
      <c r="BN456" s="338" t="str">
        <f>Translations!$B$380</f>
        <v>SF-määrittämistaso</v>
      </c>
      <c r="BO456" s="338" t="str">
        <f>Translations!$B$380</f>
        <v>SF-määrittämistaso</v>
      </c>
      <c r="BP456" s="338" t="str">
        <f>Translations!$B$381</f>
        <v>SF</v>
      </c>
      <c r="BQ456" s="338" t="str">
        <f>Translations!$B$382</f>
        <v>EF-määrittämistaso</v>
      </c>
      <c r="BR456" s="338" t="str">
        <f>Translations!$B$383</f>
        <v>EF</v>
      </c>
      <c r="BS456" s="338" t="str">
        <f>Translations!$B$384</f>
        <v>EF-yksikkö</v>
      </c>
      <c r="BT456" s="338" t="str">
        <f>Translations!$B$385</f>
        <v>UCF-määrittämistaso</v>
      </c>
      <c r="BU456" s="338" t="str">
        <f>Translations!$B$386</f>
        <v>UCF</v>
      </c>
      <c r="BV456" s="338" t="str">
        <f>Translations!$B$387</f>
        <v>UCF-yksikkö</v>
      </c>
      <c r="BW456" s="338" t="str">
        <f>Translations!$B$388</f>
        <v>Bio-määrittämistaso</v>
      </c>
      <c r="BX456" s="338" t="s">
        <v>100</v>
      </c>
      <c r="BY456" s="338" t="str">
        <f>Translations!$B$389</f>
        <v>NonSustBio-määrittämistaso</v>
      </c>
      <c r="BZ456" s="338" t="s">
        <v>101</v>
      </c>
      <c r="CA456" s="338" t="str">
        <f>Translations!$B$390</f>
        <v>CO2 fossil</v>
      </c>
      <c r="CB456" s="338" t="str">
        <f>Translations!$B$391</f>
        <v>CO2 bio</v>
      </c>
      <c r="CC456" s="338" t="str">
        <f>Translations!$B$392</f>
        <v>CO2 non-sust</v>
      </c>
      <c r="CD456" s="338" t="s">
        <v>102</v>
      </c>
      <c r="CE456" s="338" t="s">
        <v>103</v>
      </c>
      <c r="CF456" s="325"/>
      <c r="CG456" s="325"/>
    </row>
    <row r="457" spans="1:85" ht="5.15" customHeight="1" thickBot="1" x14ac:dyDescent="0.3">
      <c r="A457" s="318"/>
      <c r="B457" s="21"/>
      <c r="C457" s="21"/>
      <c r="D457" s="21"/>
      <c r="E457" s="21"/>
      <c r="F457" s="21"/>
      <c r="G457" s="21"/>
      <c r="H457" s="22"/>
      <c r="I457" s="22"/>
      <c r="J457" s="22"/>
      <c r="K457" s="22"/>
      <c r="L457" s="22"/>
      <c r="M457" s="22"/>
      <c r="N457" s="22"/>
      <c r="O457" s="323"/>
      <c r="P457" s="301"/>
      <c r="Q457" s="23"/>
      <c r="R457" s="23"/>
      <c r="S457" s="2"/>
      <c r="T457" s="2"/>
      <c r="U457" s="2"/>
      <c r="V457" s="60"/>
      <c r="W457" s="325"/>
      <c r="X457" s="325"/>
      <c r="Y457" s="23"/>
      <c r="Z457" s="325"/>
      <c r="AA457" s="325"/>
      <c r="AB457" s="325"/>
      <c r="AC457" s="325"/>
      <c r="AD457" s="325"/>
      <c r="AE457" s="325"/>
      <c r="AF457" s="41"/>
      <c r="AG457" s="325"/>
      <c r="AH457" s="325"/>
      <c r="AI457" s="325"/>
      <c r="AJ457" s="342"/>
      <c r="AK457" s="342"/>
      <c r="AL457" s="337"/>
      <c r="AM457" s="337"/>
      <c r="AN457" s="337"/>
      <c r="AO457" s="337"/>
      <c r="AP457" s="337"/>
      <c r="AQ457" s="325"/>
      <c r="AR457" s="325"/>
      <c r="AS457" s="325"/>
      <c r="AT457" s="325"/>
      <c r="AU457" s="325"/>
      <c r="AV457" s="325"/>
      <c r="AW457" s="325"/>
      <c r="AX457" s="325"/>
      <c r="AY457" s="325"/>
      <c r="AZ457" s="325"/>
      <c r="BA457" s="325"/>
      <c r="BB457" s="325"/>
      <c r="BC457" s="325"/>
      <c r="BD457" s="325"/>
      <c r="BE457" s="325"/>
      <c r="BF457" s="325"/>
      <c r="BG457" s="325"/>
      <c r="BH457" s="325"/>
      <c r="BI457" s="325"/>
      <c r="BJ457" s="325"/>
      <c r="BK457" s="325"/>
      <c r="BL457" s="325"/>
      <c r="BM457" s="325"/>
      <c r="BN457" s="325"/>
      <c r="BO457" s="325"/>
      <c r="BP457" s="325"/>
      <c r="BQ457" s="325"/>
      <c r="BR457" s="325"/>
      <c r="BS457" s="325"/>
      <c r="BT457" s="325"/>
      <c r="BU457" s="325"/>
      <c r="BV457" s="325"/>
      <c r="BW457" s="325"/>
      <c r="BX457" s="325"/>
      <c r="BY457" s="325"/>
      <c r="BZ457" s="325"/>
      <c r="CA457" s="325"/>
      <c r="CB457" s="325"/>
      <c r="CC457" s="325"/>
      <c r="CD457" s="325"/>
      <c r="CE457" s="325"/>
      <c r="CF457" s="325"/>
      <c r="CG457" s="325"/>
    </row>
    <row r="458" spans="1:85" ht="12.75" customHeight="1" thickBot="1" x14ac:dyDescent="0.3">
      <c r="A458" s="318"/>
      <c r="B458" s="21"/>
      <c r="C458" s="21"/>
      <c r="D458" s="21"/>
      <c r="E458" s="1140" t="str">
        <f>IF(E455="","",HYPERLINK("#JUMP_E_Top",EUconst_FurtherGuidancePoint1))</f>
        <v/>
      </c>
      <c r="F458" s="1140"/>
      <c r="G458" s="1140"/>
      <c r="H458" s="1140"/>
      <c r="I458" s="1140"/>
      <c r="J458" s="1140"/>
      <c r="K458" s="1140"/>
      <c r="L458" s="1140"/>
      <c r="M458" s="1140"/>
      <c r="N458" s="22"/>
      <c r="O458" s="323"/>
      <c r="P458" s="301"/>
      <c r="Q458" s="335" t="str">
        <f>EUconst_SumNonSustBioCO2</f>
        <v>SUM_bioNonSustCO2</v>
      </c>
      <c r="R458" s="500" t="str">
        <f>IF(E456="","",BG464)</f>
        <v/>
      </c>
      <c r="S458" s="2"/>
      <c r="T458" s="2"/>
      <c r="U458" s="2"/>
      <c r="V458" s="325"/>
      <c r="W458" s="325"/>
      <c r="X458" s="325"/>
      <c r="Y458" s="41"/>
      <c r="Z458" s="325"/>
      <c r="AA458" s="325"/>
      <c r="AB458" s="325"/>
      <c r="AC458" s="325"/>
      <c r="AD458" s="325"/>
      <c r="AE458" s="325"/>
      <c r="AF458" s="41"/>
      <c r="AG458" s="325"/>
      <c r="AH458" s="325"/>
      <c r="AI458" s="325"/>
      <c r="AJ458" s="342"/>
      <c r="AK458" s="342"/>
      <c r="AL458" s="337"/>
      <c r="AM458" s="337"/>
      <c r="AN458" s="337"/>
      <c r="AO458" s="337"/>
      <c r="AP458" s="337"/>
      <c r="AQ458" s="325"/>
      <c r="AR458" s="325"/>
      <c r="AS458" s="325"/>
      <c r="AT458" s="325"/>
      <c r="AU458" s="325"/>
      <c r="AV458" s="325"/>
      <c r="AW458" s="325"/>
      <c r="AX458" s="325"/>
      <c r="AY458" s="325"/>
      <c r="AZ458" s="325"/>
      <c r="BA458" s="325"/>
      <c r="BB458" s="325"/>
      <c r="BC458" s="325"/>
      <c r="BD458" s="325"/>
      <c r="BE458" s="325"/>
      <c r="BF458" s="325"/>
      <c r="BG458" s="325"/>
      <c r="BH458" s="325"/>
      <c r="BI458" s="20" t="s">
        <v>104</v>
      </c>
      <c r="BJ458" s="343"/>
      <c r="BK458" s="483" t="str">
        <f>IF(G472="","",G472)</f>
        <v/>
      </c>
      <c r="BL458" s="483" t="str">
        <f>IF(I472="","",I472)</f>
        <v/>
      </c>
      <c r="BM458" s="483" t="str">
        <f>IF(K472="","",K472)</f>
        <v/>
      </c>
      <c r="BN458" s="325"/>
      <c r="BO458" s="325"/>
      <c r="BP458" s="325"/>
      <c r="BQ458" s="325"/>
      <c r="BR458" s="325"/>
      <c r="BS458" s="325"/>
      <c r="BT458" s="330"/>
      <c r="BU458" s="325"/>
      <c r="BV458" s="325"/>
      <c r="BW458" s="325"/>
      <c r="BX458" s="325"/>
      <c r="BY458" s="325"/>
      <c r="BZ458" s="325"/>
      <c r="CA458" s="325"/>
      <c r="CB458" s="325"/>
      <c r="CC458" s="325"/>
      <c r="CD458" s="325"/>
      <c r="CE458" s="325"/>
      <c r="CF458" s="325"/>
      <c r="CG458" s="325"/>
    </row>
    <row r="459" spans="1:85" ht="5.15" customHeight="1" thickBot="1" x14ac:dyDescent="0.3">
      <c r="A459" s="318"/>
      <c r="B459" s="21"/>
      <c r="C459" s="21"/>
      <c r="D459" s="21"/>
      <c r="E459" s="21"/>
      <c r="F459" s="21"/>
      <c r="G459" s="21"/>
      <c r="H459" s="22"/>
      <c r="I459" s="22"/>
      <c r="J459" s="22"/>
      <c r="K459" s="22"/>
      <c r="L459" s="22"/>
      <c r="M459" s="22"/>
      <c r="N459" s="22"/>
      <c r="O459" s="323"/>
      <c r="P459" s="259"/>
      <c r="Q459" s="2"/>
      <c r="R459" s="259"/>
      <c r="S459" s="2"/>
      <c r="T459" s="2"/>
      <c r="U459" s="2"/>
      <c r="V459" s="325"/>
      <c r="W459" s="325"/>
      <c r="X459" s="325"/>
      <c r="Y459" s="23"/>
      <c r="Z459" s="325"/>
      <c r="AA459" s="325"/>
      <c r="AB459" s="325"/>
      <c r="AC459" s="325"/>
      <c r="AD459" s="325"/>
      <c r="AE459" s="325"/>
      <c r="AF459" s="41"/>
      <c r="AG459" s="325"/>
      <c r="AH459" s="325"/>
      <c r="AI459" s="325"/>
      <c r="AJ459" s="342"/>
      <c r="AK459" s="342"/>
      <c r="AL459" s="337"/>
      <c r="AM459" s="337"/>
      <c r="AN459" s="337"/>
      <c r="AO459" s="337"/>
      <c r="AP459" s="337"/>
      <c r="AQ459" s="325"/>
      <c r="AR459" s="325"/>
      <c r="AS459" s="325"/>
      <c r="AT459" s="325"/>
      <c r="AU459" s="325"/>
      <c r="AV459" s="325"/>
      <c r="AW459" s="325"/>
      <c r="AX459" s="325"/>
      <c r="AY459" s="325"/>
      <c r="AZ459" s="325"/>
      <c r="BA459" s="325"/>
      <c r="BB459" s="325"/>
      <c r="BC459" s="325"/>
      <c r="BD459" s="325"/>
      <c r="BE459" s="325"/>
      <c r="BF459" s="325"/>
      <c r="BG459" s="325"/>
      <c r="BH459" s="325"/>
      <c r="BI459" s="325"/>
      <c r="BJ459" s="325"/>
      <c r="BK459" s="325"/>
      <c r="BL459" s="325"/>
      <c r="BM459" s="325"/>
      <c r="BN459" s="325"/>
      <c r="BO459" s="325"/>
      <c r="BP459" s="325"/>
      <c r="BQ459" s="325"/>
      <c r="BR459" s="325"/>
      <c r="BS459" s="325"/>
      <c r="BT459" s="325"/>
      <c r="BU459" s="325"/>
      <c r="BV459" s="325"/>
      <c r="BW459" s="325"/>
      <c r="BX459" s="325"/>
      <c r="BY459" s="325"/>
      <c r="BZ459" s="325"/>
      <c r="CA459" s="325"/>
      <c r="CB459" s="325"/>
      <c r="CC459" s="325"/>
      <c r="CD459" s="325"/>
      <c r="CE459" s="325"/>
      <c r="CF459" s="325"/>
      <c r="CG459" s="325"/>
    </row>
    <row r="460" spans="1:85" ht="12.75" customHeight="1" thickBot="1" x14ac:dyDescent="0.3">
      <c r="A460" s="318"/>
      <c r="B460" s="21"/>
      <c r="C460" s="21"/>
      <c r="D460" s="21"/>
      <c r="E460" s="21"/>
      <c r="F460" s="347" t="str">
        <f>Translations!$B$127</f>
        <v>Määrittämistaso</v>
      </c>
      <c r="G460" s="1141" t="str">
        <f>Translations!$B$393</f>
        <v>määrittämistason kuvaus</v>
      </c>
      <c r="H460" s="1141"/>
      <c r="I460" s="1142" t="str">
        <f>Translations!$B$394</f>
        <v>Yksikkö</v>
      </c>
      <c r="J460" s="1142"/>
      <c r="K460" s="1142" t="str">
        <f>Translations!$B$395</f>
        <v>Arvo</v>
      </c>
      <c r="L460" s="1142"/>
      <c r="M460" s="327" t="str">
        <f>Translations!$B$396</f>
        <v>virhe</v>
      </c>
      <c r="N460" s="22"/>
      <c r="O460" s="323"/>
      <c r="P460" s="611"/>
      <c r="Q460" s="335" t="str">
        <f>EUconst_SumEnergyIN</f>
        <v>SUM_EnergyIN</v>
      </c>
      <c r="R460" s="501" t="str">
        <f>IF(E456="","",BG465)</f>
        <v/>
      </c>
      <c r="S460" s="325"/>
      <c r="T460" s="325"/>
      <c r="U460" s="325"/>
      <c r="V460" s="336" t="s">
        <v>105</v>
      </c>
      <c r="W460" s="325"/>
      <c r="X460" s="325"/>
      <c r="Y460" s="23" t="s">
        <v>106</v>
      </c>
      <c r="Z460" s="23" t="s">
        <v>107</v>
      </c>
      <c r="AA460" s="325"/>
      <c r="AB460" s="325"/>
      <c r="AC460" s="343" t="s">
        <v>108</v>
      </c>
      <c r="AD460" s="325"/>
      <c r="AE460" s="325"/>
      <c r="AF460" s="325" t="s">
        <v>109</v>
      </c>
      <c r="AG460" s="325" t="s">
        <v>110</v>
      </c>
      <c r="AH460" s="23" t="s">
        <v>111</v>
      </c>
      <c r="AI460" s="342" t="s">
        <v>112</v>
      </c>
      <c r="AJ460" s="342" t="s">
        <v>113</v>
      </c>
      <c r="AK460" s="348" t="s">
        <v>114</v>
      </c>
      <c r="AL460" s="337"/>
      <c r="AM460" s="337"/>
      <c r="AN460" s="337"/>
      <c r="AO460" s="337"/>
      <c r="AP460" s="337"/>
      <c r="AQ460" s="325"/>
      <c r="AR460" s="325" t="s">
        <v>109</v>
      </c>
      <c r="AS460" s="325" t="s">
        <v>110</v>
      </c>
      <c r="AT460" s="349" t="s">
        <v>115</v>
      </c>
      <c r="AU460" s="342" t="s">
        <v>116</v>
      </c>
      <c r="AV460" s="342" t="s">
        <v>117</v>
      </c>
      <c r="AW460" s="348" t="s">
        <v>114</v>
      </c>
      <c r="AX460" s="348" t="s">
        <v>114</v>
      </c>
      <c r="AY460" s="325"/>
      <c r="AZ460" s="325"/>
      <c r="BA460" s="325"/>
      <c r="BB460" s="325" t="s">
        <v>118</v>
      </c>
      <c r="BC460" s="325"/>
      <c r="BD460" s="325"/>
      <c r="BE460" s="325"/>
      <c r="BF460" s="325"/>
      <c r="BG460" s="330" t="str">
        <f>EUconst_Fuel</f>
        <v>Poltto</v>
      </c>
      <c r="BH460" s="325"/>
      <c r="BI460" s="325"/>
      <c r="BJ460" s="325"/>
      <c r="BK460" s="325"/>
      <c r="BL460" s="325"/>
      <c r="BM460" s="325"/>
      <c r="BN460" s="325"/>
      <c r="BO460" s="325"/>
      <c r="BP460" s="325"/>
      <c r="BQ460" s="325"/>
      <c r="BR460" s="325"/>
      <c r="BS460" s="325"/>
      <c r="BT460" s="325"/>
      <c r="BU460" s="325"/>
      <c r="BV460" s="325"/>
      <c r="BW460" s="325"/>
      <c r="BX460" s="325"/>
      <c r="BY460" s="325"/>
      <c r="BZ460" s="325"/>
      <c r="CA460" s="325"/>
      <c r="CB460" s="325"/>
      <c r="CC460" s="325"/>
      <c r="CD460" s="325"/>
      <c r="CE460" s="325"/>
      <c r="CF460" s="325"/>
      <c r="CG460" s="330" t="s">
        <v>94</v>
      </c>
    </row>
    <row r="461" spans="1:85" ht="12.75" customHeight="1" thickBot="1" x14ac:dyDescent="0.3">
      <c r="A461" s="318"/>
      <c r="B461" s="21"/>
      <c r="C461" s="344"/>
      <c r="D461" s="345" t="str">
        <f>Translations!$B$356</f>
        <v>Polttoaineen määrä:</v>
      </c>
      <c r="E461" s="350"/>
      <c r="F461" s="351"/>
      <c r="G461" s="1120" t="str">
        <f>IF(OR(ISBLANK(F461),F461=EUconst_NoTier),"",IF(Z461=0,EUconst_NA,IF(ISERROR(Z461),"",Z461)))</f>
        <v/>
      </c>
      <c r="H461" s="1122"/>
      <c r="I461" s="352" t="str">
        <f>IF(J461&lt;&gt;"","",AI461)</f>
        <v/>
      </c>
      <c r="J461" s="353"/>
      <c r="K461" s="1143"/>
      <c r="L461" s="1144"/>
      <c r="M461" s="486" t="str">
        <f>IF(AND(E456&lt;&gt;"",OR(F461="",COUNT(K461)=0),Y461&lt;&gt;EUconst_NA),EUconst_ERR_Incomplete,"")</f>
        <v/>
      </c>
      <c r="N461" s="22"/>
      <c r="O461" s="323"/>
      <c r="P461" s="612"/>
      <c r="Q461" s="335" t="str">
        <f>EUconst_SumBioEnergyIN</f>
        <v>SUM_BioEnergyIN</v>
      </c>
      <c r="R461" s="501" t="str">
        <f>IF(E456="","",BG466)</f>
        <v/>
      </c>
      <c r="S461" s="325"/>
      <c r="T461" s="355" t="str">
        <f>EUconst_CNTR_ActivityData&amp;E456</f>
        <v>ActivityData_</v>
      </c>
      <c r="U461" s="23"/>
      <c r="V461" s="355" t="str">
        <f>IF(E455="","",INDEX('B_Polttoainevirtojen tiedot'!$I$67:$I$91,MATCH(U454,'B_Polttoainevirtojen tiedot'!$D$67:$D$91,0)))</f>
        <v/>
      </c>
      <c r="W461" s="342" t="s">
        <v>121</v>
      </c>
      <c r="X461" s="23"/>
      <c r="Y461" s="356" t="str">
        <f>IF(E456="","",INDEX(EUwideConstants!$P$153:$P$180,MATCH(T461,EUwideConstants!$S$153:$S$180,0)))</f>
        <v/>
      </c>
      <c r="Z461" s="357" t="str">
        <f>IF(ISBLANK(F461),"",IF(F461=EUconst_NA,"",INDEX(EUwideConstants!$H:$O,MATCH(T461,EUwideConstants!$S:$S,0),MATCH(F461,CNTR_TierList,0))))</f>
        <v/>
      </c>
      <c r="AA461" s="358" t="s">
        <v>111</v>
      </c>
      <c r="AB461" s="342"/>
      <c r="AC461" s="339" t="b">
        <f>E455&lt;&gt;""</f>
        <v>0</v>
      </c>
      <c r="AD461" s="325"/>
      <c r="AE461" s="359" t="str">
        <f>EUconst_CNTR_ActivityData&amp;EUconst_Unit</f>
        <v>ActivityData_Yksikkö</v>
      </c>
      <c r="AF461" s="360" t="str">
        <f>IF(AC461=TRUE, IF(COUNTIF(MSPara_SourceStreamCategory,V461)=0,"",INDEX(MSPara_CalcFactorsMatrix,MATCH(V461,MSPara_SourceStreamCategory,0),MATCH(AE461&amp;"_"&amp;2,MSPara_CalcFactors,0))),"")</f>
        <v/>
      </c>
      <c r="AG461" s="361" t="str">
        <f>IF(AC461=TRUE, IF(COUNTIF(MSPara_SourceStreamCategory,V461)=0,"",INDEX(MSPara_CalcFactorsMatrix,MATCH(V461,MSPara_SourceStreamCategory,0),MATCH(AE461&amp;"_"&amp;1,MSPara_CalcFactors,0))),"")</f>
        <v/>
      </c>
      <c r="AH461" s="339" t="str">
        <f>IF(OR(AF461="",AF461=EUconst_NA),IF(OR(AG461=EUconst_NA,AG461=""),"",AG461),AF461)</f>
        <v/>
      </c>
      <c r="AI461" s="356" t="str">
        <f>IF(AC461=TRUE,IF(AH461="",EUconst_t,AH461),"")</f>
        <v/>
      </c>
      <c r="AJ461" s="362" t="str">
        <f>IF(J461="",AI461,J461)</f>
        <v/>
      </c>
      <c r="AK461" s="363" t="b">
        <f>AND(E455&lt;&gt;"",J461&lt;&gt;"")</f>
        <v>0</v>
      </c>
      <c r="AL461" s="337"/>
      <c r="AM461" s="404" t="s">
        <v>122</v>
      </c>
      <c r="AN461" s="403" t="str">
        <f>AJ461</f>
        <v/>
      </c>
      <c r="AO461" s="337"/>
      <c r="AP461" s="337"/>
      <c r="AQ461" s="355" t="str">
        <f>EUconst_CNTR_ActivityData&amp;EUconst_Value</f>
        <v>ActivityData_Arvo</v>
      </c>
      <c r="AR461" s="343"/>
      <c r="AS461" s="343"/>
      <c r="AT461" s="339" t="b">
        <f>AND(AND(AH461&lt;&gt;"",AJ461&lt;&gt;""),AJ461=AH461)</f>
        <v>0</v>
      </c>
      <c r="AU461" s="325"/>
      <c r="AV461" s="339">
        <f>IF(Y461=EUconst_NA,0,IF(COUNT(K461:K461)=0,0,IF(K461="",#REF!,K461)))</f>
        <v>0</v>
      </c>
      <c r="AW461" s="346" t="b">
        <f>AND(AC461=TRUE,OR(K461&lt;&gt;"",AU461=""))</f>
        <v>0</v>
      </c>
      <c r="AX461" s="346" t="b">
        <f>AND(AC461=TRUE,NOT(AW461))</f>
        <v>0</v>
      </c>
      <c r="AY461" s="325"/>
      <c r="AZ461" s="325" t="s">
        <v>123</v>
      </c>
      <c r="BA461" s="325" t="s">
        <v>124</v>
      </c>
      <c r="BB461" s="346"/>
      <c r="BC461" s="325" t="s">
        <v>125</v>
      </c>
      <c r="BD461" s="325"/>
      <c r="BE461" s="325"/>
      <c r="BF461" s="400" t="str">
        <f>Translations!$B$390</f>
        <v>CO2 fossil</v>
      </c>
      <c r="BG461" s="495" t="str">
        <f>IF(COUNTIF(AO464:AO465,TRUE)=0,"",AV461*IF(AO464,1,AV463*AN465)*AV464*(1-AV465)*AV468)</f>
        <v/>
      </c>
      <c r="BH461" s="325"/>
      <c r="BI461" s="325"/>
      <c r="BJ461" s="325"/>
      <c r="BK461" s="325"/>
      <c r="BL461" s="325"/>
      <c r="BM461" s="325"/>
      <c r="BN461" s="325"/>
      <c r="BO461" s="325"/>
      <c r="BP461" s="325"/>
      <c r="BQ461" s="325"/>
      <c r="BR461" s="325"/>
      <c r="BS461" s="325"/>
      <c r="BT461" s="325"/>
      <c r="BU461" s="325"/>
      <c r="BV461" s="325"/>
      <c r="BW461" s="325"/>
      <c r="BX461" s="325"/>
      <c r="BY461" s="325"/>
      <c r="BZ461" s="325"/>
      <c r="CA461" s="325"/>
      <c r="CB461" s="325"/>
      <c r="CC461" s="325"/>
      <c r="CD461" s="325"/>
      <c r="CE461" s="325"/>
      <c r="CF461" s="325"/>
      <c r="CG461" s="346" t="b">
        <v>0</v>
      </c>
    </row>
    <row r="462" spans="1:85" ht="5.15" customHeight="1" thickBot="1" x14ac:dyDescent="0.3">
      <c r="A462" s="318"/>
      <c r="B462" s="21"/>
      <c r="C462" s="344"/>
      <c r="D462" s="188"/>
      <c r="E462" s="22"/>
      <c r="F462" s="22"/>
      <c r="G462" s="22"/>
      <c r="H462" s="22" t="str">
        <f>Translations!$B$397</f>
        <v xml:space="preserve"> </v>
      </c>
      <c r="I462" s="364"/>
      <c r="J462" s="364"/>
      <c r="K462" s="22"/>
      <c r="L462" s="22"/>
      <c r="M462" s="487"/>
      <c r="N462" s="22"/>
      <c r="O462" s="323"/>
      <c r="P462" s="301"/>
      <c r="Q462" s="23"/>
      <c r="R462" s="23"/>
      <c r="S462" s="325"/>
      <c r="T462" s="277"/>
      <c r="U462" s="23"/>
      <c r="V462" s="325"/>
      <c r="W462" s="325"/>
      <c r="X462" s="23"/>
      <c r="Y462" s="330"/>
      <c r="Z462" s="325"/>
      <c r="AA462" s="325"/>
      <c r="AB462" s="325"/>
      <c r="AC462" s="325"/>
      <c r="AD462" s="325"/>
      <c r="AE462" s="325"/>
      <c r="AF462" s="325"/>
      <c r="AG462" s="325"/>
      <c r="AH462" s="325"/>
      <c r="AI462" s="325"/>
      <c r="AJ462" s="325"/>
      <c r="AK462" s="325"/>
      <c r="AL462" s="337"/>
      <c r="AM462" s="337"/>
      <c r="AN462" s="337"/>
      <c r="AO462" s="337"/>
      <c r="AP462" s="337"/>
      <c r="AQ462" s="325"/>
      <c r="AR462" s="325"/>
      <c r="AS462" s="325"/>
      <c r="AT462" s="325"/>
      <c r="AU462" s="325"/>
      <c r="AV462" s="325"/>
      <c r="AW462" s="325"/>
      <c r="AX462" s="325"/>
      <c r="AY462" s="325"/>
      <c r="AZ462" s="325"/>
      <c r="BA462" s="325"/>
      <c r="BB462" s="325"/>
      <c r="BC462" s="325"/>
      <c r="BD462" s="325"/>
      <c r="BE462" s="325"/>
      <c r="BF462" s="325"/>
      <c r="BG462" s="496"/>
      <c r="BH462" s="325"/>
      <c r="BI462" s="325"/>
      <c r="BJ462" s="325"/>
      <c r="BK462" s="325"/>
      <c r="BL462" s="325"/>
      <c r="BM462" s="325"/>
      <c r="BN462" s="325"/>
      <c r="BO462" s="325"/>
      <c r="BP462" s="325"/>
      <c r="BQ462" s="325"/>
      <c r="BR462" s="325"/>
      <c r="BS462" s="325"/>
      <c r="BT462" s="325"/>
      <c r="BU462" s="325"/>
      <c r="BV462" s="325"/>
      <c r="BW462" s="325"/>
      <c r="BX462" s="325"/>
      <c r="BY462" s="325"/>
      <c r="BZ462" s="325"/>
      <c r="CA462" s="325"/>
      <c r="CB462" s="325"/>
      <c r="CC462" s="325"/>
      <c r="CD462" s="325"/>
      <c r="CE462" s="325"/>
      <c r="CF462" s="325"/>
      <c r="CG462" s="330"/>
    </row>
    <row r="463" spans="1:85" ht="12.75" customHeight="1" thickBot="1" x14ac:dyDescent="0.3">
      <c r="A463" s="318"/>
      <c r="B463" s="21"/>
      <c r="C463" s="344"/>
      <c r="D463" s="345" t="str">
        <f>Translations!$B$360</f>
        <v>Yksikön muuntokerroin:</v>
      </c>
      <c r="E463" s="350"/>
      <c r="F463" s="443"/>
      <c r="G463" s="1120" t="str">
        <f>IF(OR(ISBLANK(F463),F463=EUconst_NoTier),"",IF(Z463=0,EUconst_NotApplicable,IF(ISERROR(Z463),"",Z463)))</f>
        <v/>
      </c>
      <c r="H463" s="1122"/>
      <c r="I463" s="444" t="str">
        <f>IF(J463&lt;&gt;"","",AI463)</f>
        <v/>
      </c>
      <c r="J463" s="445"/>
      <c r="K463" s="632" t="str">
        <f>IF(L463="",AU463,"")</f>
        <v/>
      </c>
      <c r="L463" s="633"/>
      <c r="M463" s="486" t="str">
        <f>IF(AND(E456&lt;&gt;"",OR(F463="",COUNT(K463:L463)=0),Y463&lt;&gt;EUconst_NA),EUconst_ERR_Incomplete,IF(COUNTIF(BB463:BD463,TRUE)&gt;0,EUconst_ERR_Inconsistent,""))</f>
        <v/>
      </c>
      <c r="N463" s="752"/>
      <c r="O463" s="323"/>
      <c r="P463" s="301"/>
      <c r="Q463" s="23"/>
      <c r="R463" s="23"/>
      <c r="S463" s="325"/>
      <c r="T463" s="365" t="str">
        <f>EUconst_CNTR_UCF&amp;E456</f>
        <v>UCF_</v>
      </c>
      <c r="U463" s="23"/>
      <c r="V463" s="366" t="str">
        <f>V464</f>
        <v/>
      </c>
      <c r="W463" s="325"/>
      <c r="X463" s="23"/>
      <c r="Y463" s="448" t="str">
        <f>IF(E456="","",IF(OR(F463=EUconst_NA,W463=TRUE),EUconst_NA,INDEX(EUwideConstants!$P$153:$P$180,MATCH(T463,EUwideConstants!$S$153:$S$180,0))))</f>
        <v/>
      </c>
      <c r="Z463" s="471" t="str">
        <f>IF(ISBLANK(F463),"",IF(F463=EUconst_NA,"",INDEX(EUwideConstants!$H:$O,MATCH(T463,EUwideConstants!$S:$S,0),MATCH(F463,CNTR_TierList,0))))</f>
        <v/>
      </c>
      <c r="AA463" s="449" t="str">
        <f>IF(COUNTIF(EUconst_DefaultValues,Z463)&gt;0,MATCH(Z463,EUconst_DefaultValues,0),"")</f>
        <v/>
      </c>
      <c r="AB463" s="325"/>
      <c r="AC463" s="367" t="b">
        <f>AND(AC461,Y463&lt;&gt;EUconst_NA)</f>
        <v>0</v>
      </c>
      <c r="AD463" s="325"/>
      <c r="AE463" s="359" t="str">
        <f>EUconst_CNTR_UCF&amp;EUconst_Unit</f>
        <v>UCF_Yksikkö</v>
      </c>
      <c r="AF463" s="368" t="str">
        <f>IF(AC463=TRUE, IF(COUNTIF(MSPara_SourceStreamCategory,V463)=0,"",INDEX(MSPara_CalcFactorsMatrix,MATCH(V463,MSPara_SourceStreamCategory,0),MATCH(AE463&amp;"_"&amp;2,MSPara_CalcFactors,0))),"")</f>
        <v/>
      </c>
      <c r="AG463" s="372" t="str">
        <f>IF(AC463=TRUE, IF(COUNTIF(MSPara_SourceStreamCategory,V463)=0,"",INDEX(MSPara_CalcFactorsMatrix,MATCH(V463,MSPara_SourceStreamCategory,0),MATCH(AE463&amp;"_"&amp;1,MSPara_CalcFactors,0))),"")</f>
        <v/>
      </c>
      <c r="AH463" s="367" t="str">
        <f>IF(AA463="","",INDEX(AF463:AG463,3-AA463))</f>
        <v/>
      </c>
      <c r="AI463" s="367" t="str">
        <f>IF(AC463=TRUE,IF(OR(AH463="",AH463=EUconst_NA),EUconst_GJ&amp;"/"&amp;AJ461,AH463),"")</f>
        <v/>
      </c>
      <c r="AJ463" s="367" t="str">
        <f>IF(J463="",AI463,J463)</f>
        <v/>
      </c>
      <c r="AK463" s="366" t="b">
        <f>AND(E455&lt;&gt;"",J463&lt;&gt;"")</f>
        <v>0</v>
      </c>
      <c r="AL463" s="337"/>
      <c r="AM463" s="404" t="s">
        <v>127</v>
      </c>
      <c r="AN463" s="403" t="str">
        <f>IF(AJ463="",EUconst_NA,IF(AN461=EUconst_TJ,EUconst_TJ,INDEX(EUwideConstants!$C$124:$G$128,MATCH(AN461,RFAUnits,0),MATCH(AJ463,UCFUnits,0))))</f>
        <v>ei sovellettavissa</v>
      </c>
      <c r="AO463" s="337"/>
      <c r="AP463" s="337"/>
      <c r="AQ463" s="454" t="str">
        <f>EUconst_CNTR_UCF&amp;EUconst_Value</f>
        <v>UCF_Arvo</v>
      </c>
      <c r="AR463" s="475" t="str">
        <f>IF(AC463=TRUE,IF(COUNTIF(MSPara_SourceStreamCategory,V463)=0,"",INDEX(MSPara_CalcFactorsMatrix,MATCH(V463,MSPara_SourceStreamCategory,0),MATCH(AQ463&amp;"_"&amp;2,MSPara_CalcFactors,0))),"")</f>
        <v/>
      </c>
      <c r="AS463" s="371" t="str">
        <f>IF(AC463=TRUE,IF(COUNTIF(MSPara_SourceStreamCategory,V463)=0,"",INDEX(MSPara_CalcFactorsMatrix,MATCH(V463,MSPara_SourceStreamCategory,0),MATCH(AQ463&amp;"_"&amp;1,MSPara_CalcFactors,0))),"")</f>
        <v/>
      </c>
      <c r="AT463" s="369" t="b">
        <f>AND(AND(AH463&lt;&gt;"",AJ463&lt;&gt;""),AJ463=AH463)</f>
        <v>0</v>
      </c>
      <c r="AU463" s="381" t="str">
        <f>IF(AND(AA463&lt;&gt;"",AT463=TRUE),IF(OR(INDEX(AR463:AS463,3-AA463)=EUconst_NA,INDEX(AR463:AS463,3-AA463)=0),"",INDEX(AR463:AS463,3-AA463)),"")</f>
        <v/>
      </c>
      <c r="AV463" s="367">
        <f>IF(AC463=TRUE,IF(COUNT(K463:L463)=0,0,IF(L463="",K463,L463)),0)</f>
        <v>0</v>
      </c>
      <c r="AW463" s="366" t="b">
        <f>AND(AC463=TRUE,OR(AND(F463&lt;&gt;"",NOT(ISNUMBER(AA463))),L463&lt;&gt;"",F463="",AU463=""))</f>
        <v>0</v>
      </c>
      <c r="AX463" s="370" t="b">
        <f>AND(AC463=TRUE,NOT(AW463))</f>
        <v>0</v>
      </c>
      <c r="AY463" s="325"/>
      <c r="AZ463" s="373" t="b">
        <f>AND(ISNUMBER(AA463),AU463="")</f>
        <v>0</v>
      </c>
      <c r="BA463" s="399" t="b">
        <f>AND(ISNUMBER(AA463),AU463&lt;&gt;AV463)</f>
        <v>0</v>
      </c>
      <c r="BB463" s="366" t="b">
        <f>AND(E456&lt;&gt;"",F463&lt;&gt;EUconst_NA,AN463=EUconst_NA)</f>
        <v>0</v>
      </c>
      <c r="BC463" s="366" t="b">
        <f>AND(L463&lt;&gt;"",Y463=EUconst_NA)</f>
        <v>0</v>
      </c>
      <c r="BD463" s="325"/>
      <c r="BE463" s="325"/>
      <c r="BF463" s="373" t="s">
        <v>128</v>
      </c>
      <c r="BG463" s="497" t="str">
        <f>IF(COUNTIF(AO464:AO465,TRUE)=0,"",AV461*IF(AO464,1,AV463*AN465)*AV464*AV465*AV468)</f>
        <v/>
      </c>
      <c r="BH463" s="325"/>
      <c r="BI463" s="325"/>
      <c r="BJ463" s="325"/>
      <c r="BK463" s="325"/>
      <c r="BL463" s="325"/>
      <c r="BM463" s="325"/>
      <c r="BN463" s="325"/>
      <c r="BO463" s="325"/>
      <c r="BP463" s="325"/>
      <c r="BQ463" s="325"/>
      <c r="BR463" s="325"/>
      <c r="BS463" s="325"/>
      <c r="BT463" s="325"/>
      <c r="BU463" s="325"/>
      <c r="BV463" s="325"/>
      <c r="BW463" s="325"/>
      <c r="BX463" s="325"/>
      <c r="BY463" s="325"/>
      <c r="BZ463" s="325"/>
      <c r="CA463" s="325"/>
      <c r="CB463" s="325"/>
      <c r="CC463" s="325"/>
      <c r="CD463" s="325"/>
      <c r="CE463" s="325"/>
      <c r="CF463" s="325"/>
      <c r="CG463" s="375" t="b">
        <f>OR(CG461,Y463=EUconst_NA)</f>
        <v>0</v>
      </c>
    </row>
    <row r="464" spans="1:85" ht="12.75" customHeight="1" thickBot="1" x14ac:dyDescent="0.3">
      <c r="A464" s="318"/>
      <c r="B464" s="21"/>
      <c r="C464" s="344"/>
      <c r="D464" s="345" t="str">
        <f>Translations!$B$358</f>
        <v>Päästökerroin (alustava):</v>
      </c>
      <c r="E464" s="350"/>
      <c r="F464" s="624"/>
      <c r="G464" s="1120" t="str">
        <f>IF(OR(ISBLANK(F464),F464=EUconst_NoTier),"",IF(Z464=0,EUconst_NotApplicable,IF(ISERROR(Z464),"",Z464)))</f>
        <v/>
      </c>
      <c r="H464" s="1121"/>
      <c r="I464" s="625" t="str">
        <f>IF(J464&lt;&gt;"","",AI464)</f>
        <v/>
      </c>
      <c r="J464" s="631"/>
      <c r="K464" s="634" t="str">
        <f>IF(L464="",AU464,"")</f>
        <v/>
      </c>
      <c r="L464" s="754"/>
      <c r="M464" s="486" t="str">
        <f>IF(AND(E456&lt;&gt;"",OR(F464="",COUNT(K464:L464)=0),Y464&lt;&gt;EUconst_NA),EUconst_ERR_Incomplete,IF(COUNTIF(BB464:BD464,TRUE)&gt;0,EUconst_ERR_Inconsistent,""))</f>
        <v/>
      </c>
      <c r="N464" s="753"/>
      <c r="O464" s="323"/>
      <c r="P464" s="301"/>
      <c r="Q464" s="23"/>
      <c r="R464" s="23"/>
      <c r="S464" s="325"/>
      <c r="T464" s="374" t="str">
        <f>EUconst_CNTR_EF&amp;E456</f>
        <v>EF_</v>
      </c>
      <c r="U464" s="23"/>
      <c r="V464" s="375" t="str">
        <f>V461</f>
        <v/>
      </c>
      <c r="W464" s="325"/>
      <c r="X464" s="23"/>
      <c r="Y464" s="450" t="str">
        <f>IF(E456="","",IF(OR(F464=EUconst_NA,W464=TRUE),EUconst_NA,INDEX(EUwideConstants!$P$153:$P$180,MATCH(T464,EUwideConstants!$S$153:$S$180,0))))</f>
        <v/>
      </c>
      <c r="Z464" s="472" t="str">
        <f>IF(ISBLANK(F464),"",IF(F464=EUconst_NA,"",INDEX(EUwideConstants!$H:$O,MATCH(T464,EUwideConstants!$S:$S,0),MATCH(F464,CNTR_TierList,0))))</f>
        <v/>
      </c>
      <c r="AA464" s="451" t="str">
        <f>IF(COUNTIF(EUconst_DefaultValues,Z464)&gt;0,MATCH(Z464,EUconst_DefaultValues,0),"")</f>
        <v/>
      </c>
      <c r="AB464" s="325"/>
      <c r="AC464" s="376" t="b">
        <f>AND(AC461,Y464&lt;&gt;EUconst_NA)</f>
        <v>0</v>
      </c>
      <c r="AD464" s="325"/>
      <c r="AE464" s="377" t="str">
        <f>EUconst_CNTR_EF&amp;EUconst_Unit</f>
        <v>EF_Yksikkö</v>
      </c>
      <c r="AF464" s="378" t="str">
        <f>IF(AC464=TRUE, IF(COUNTIF(MSPara_SourceStreamCategory,V464)=0,"",INDEX(MSPara_CalcFactorsMatrix,MATCH(V464,MSPara_SourceStreamCategory,0),MATCH(AE464&amp;"_"&amp;2,MSPara_CalcFactors,0))),"")</f>
        <v/>
      </c>
      <c r="AG464" s="464" t="str">
        <f>IF(AC464=TRUE, IF(COUNTIF(MSPara_SourceStreamCategory,V464)=0,"",INDEX(MSPara_CalcFactorsMatrix,MATCH(V464,MSPara_SourceStreamCategory,0),MATCH(AE464&amp;"_"&amp;1,MSPara_CalcFactors,0))),"")</f>
        <v/>
      </c>
      <c r="AH464" s="376" t="str">
        <f>IF(AA464="","",INDEX(AF464:AG464,3-AA464))</f>
        <v/>
      </c>
      <c r="AI464" s="376" t="str">
        <f>IF(AC464=TRUE,IF(OR(AH464="",AH464=EUconst_NA),EUconst_tCO2&amp;"/"&amp;IF(AN463=EUconst_NA,AN461,IF(AN463=EUconst_GJ,EUconst_TJ,AN463)),AH464),"")</f>
        <v/>
      </c>
      <c r="AJ464" s="376" t="str">
        <f>IF(J464="",AI464,J464)</f>
        <v/>
      </c>
      <c r="AK464" s="375" t="b">
        <f>AND(E456&lt;&gt;"",J464&lt;&gt;"")</f>
        <v>0</v>
      </c>
      <c r="AL464" s="337"/>
      <c r="AM464" s="404" t="s">
        <v>130</v>
      </c>
      <c r="AN464" s="403" t="str">
        <f>IF(COUNTIF(RFAUnits,AN461)=0,EUconst_NA,INDEX(EUwideConstants!$C$139:$H$143,MATCH(AJ464,EFUnits,0),MATCH(AN461,EUwideConstants!$C$138:$H$138,0)))</f>
        <v>ei sovellettavissa</v>
      </c>
      <c r="AO464" s="403" t="b">
        <f>AN464&lt;&gt;EUconst_NA</f>
        <v>0</v>
      </c>
      <c r="AP464" s="337"/>
      <c r="AQ464" s="455" t="str">
        <f>EUconst_CNTR_EF&amp;EUconst_Value</f>
        <v>EF_Arvo</v>
      </c>
      <c r="AR464" s="476" t="str">
        <f>IF(AC464=TRUE,IF(COUNTIF(MSPara_SourceStreamCategory,V464)=0,"",INDEX(MSPara_CalcFactorsMatrix,MATCH(V464,MSPara_SourceStreamCategory,0),MATCH(AQ464&amp;"_"&amp;2,MSPara_CalcFactors,0))),"")</f>
        <v/>
      </c>
      <c r="AS464" s="383" t="str">
        <f>IF(AC464=TRUE,IF(COUNTIF(MSPara_SourceStreamCategory,V464)=0,"",INDEX(MSPara_CalcFactorsMatrix,MATCH(V464,MSPara_SourceStreamCategory,0),MATCH(AQ464&amp;"_"&amp;1,MSPara_CalcFactors,0))),"")</f>
        <v/>
      </c>
      <c r="AT464" s="456" t="b">
        <f>AND(AND(AH464&lt;&gt;"",AJ464&lt;&gt;""),AJ464=AH464)</f>
        <v>0</v>
      </c>
      <c r="AU464" s="334" t="str">
        <f>IF(AND(AA464&lt;&gt;"",AT464=TRUE),IF(OR(INDEX(AR464:AS464,3-AA464)=EUconst_NA,INDEX(AR464:AS464,3-AA464)=0),"",INDEX(AR464:AS464,3-AA464)),"")</f>
        <v/>
      </c>
      <c r="AV464" s="376">
        <f>IF(AC464=TRUE,IF(COUNT(K464:L464)=0,0,IF(L464="",K464,L464)),0)</f>
        <v>0</v>
      </c>
      <c r="AW464" s="375" t="b">
        <f>AND(AC464=TRUE,OR(AND(F464&lt;&gt;"",NOT(ISNUMBER(AA464))),L464&lt;&gt;"",F464="",AU464=""))</f>
        <v>0</v>
      </c>
      <c r="AX464" s="457" t="b">
        <f>AND(AC464=TRUE,NOT(AW464))</f>
        <v>0</v>
      </c>
      <c r="AY464" s="325"/>
      <c r="AZ464" s="379" t="b">
        <f>AND(ISNUMBER(AA464),AU464="")</f>
        <v>0</v>
      </c>
      <c r="BA464" s="380" t="b">
        <f>AND(ISNUMBER(AA464),AU464&lt;&gt;AV464)</f>
        <v>0</v>
      </c>
      <c r="BB464" s="382" t="b">
        <f>AND(E456&lt;&gt;"",COUNTIF(AO464:AO465,TRUE)=0)</f>
        <v>0</v>
      </c>
      <c r="BC464" s="375" t="b">
        <f>AND(L464&lt;&gt;"",Y464=EUconst_NA)</f>
        <v>0</v>
      </c>
      <c r="BD464" s="325"/>
      <c r="BE464" s="325"/>
      <c r="BF464" s="379" t="s">
        <v>131</v>
      </c>
      <c r="BG464" s="498" t="str">
        <f>IF(COUNTIF(AO464:AO465,TRUE)=0,"",AV461*IF(AO464,1,AV463*AN465)*AV464*AV466*AV468)</f>
        <v/>
      </c>
      <c r="BH464" s="325"/>
      <c r="BI464" s="325"/>
      <c r="BJ464" s="325"/>
      <c r="BK464" s="325"/>
      <c r="BL464" s="325"/>
      <c r="BM464" s="325"/>
      <c r="BN464" s="325"/>
      <c r="BO464" s="325"/>
      <c r="BP464" s="325"/>
      <c r="BQ464" s="325"/>
      <c r="BR464" s="325"/>
      <c r="BS464" s="325"/>
      <c r="BT464" s="325"/>
      <c r="BU464" s="325"/>
      <c r="BV464" s="325"/>
      <c r="BW464" s="325"/>
      <c r="BX464" s="325"/>
      <c r="BY464" s="325"/>
      <c r="BZ464" s="325"/>
      <c r="CA464" s="325"/>
      <c r="CB464" s="325"/>
      <c r="CC464" s="325"/>
      <c r="CD464" s="325"/>
      <c r="CE464" s="325"/>
      <c r="CF464" s="325"/>
      <c r="CG464" s="366" t="b">
        <f>OR(CG461,Y464=EUconst_NA)</f>
        <v>0</v>
      </c>
    </row>
    <row r="465" spans="1:85" ht="12.75" customHeight="1" x14ac:dyDescent="0.25">
      <c r="A465" s="318"/>
      <c r="B465" s="21"/>
      <c r="C465" s="344"/>
      <c r="D465" s="345" t="str">
        <f>Translations!$B$362</f>
        <v>Biomassaosuus:</v>
      </c>
      <c r="E465" s="350"/>
      <c r="F465" s="624"/>
      <c r="G465" s="1120" t="str">
        <f>IF(OR(ISBLANK(F465),F465=EUconst_NoTier),"",IF(Z465=0,EUconst_NotApplicable,IF(ISERROR(Z465),"",Z465)))</f>
        <v/>
      </c>
      <c r="H465" s="1122"/>
      <c r="I465" s="626" t="str">
        <f>IF(OR(AC465=FALSE,Y465=EUconst_NA),"","-")</f>
        <v/>
      </c>
      <c r="J465" s="446"/>
      <c r="K465" s="635" t="str">
        <f>IF(L465="",AU465,"")</f>
        <v/>
      </c>
      <c r="L465" s="627"/>
      <c r="M465" s="486" t="str">
        <f>IF(AND(E456&lt;&gt;"",OR(F465="",COUNT(K465:L465)=0),Y465&lt;&gt;EUconst_NA),EUconst_ERR_Incomplete,IF(COUNTIF(BB465:BD465,TRUE)&gt;0,EUconst_ERR_Inconsistent,""))</f>
        <v/>
      </c>
      <c r="O465" s="323"/>
      <c r="P465" s="612"/>
      <c r="Q465" s="354"/>
      <c r="R465" s="354"/>
      <c r="S465" s="325"/>
      <c r="T465" s="374" t="str">
        <f>EUconst_CNTR_BiomassContent&amp;E456</f>
        <v>BioC_</v>
      </c>
      <c r="U465" s="23"/>
      <c r="V465" s="375" t="str">
        <f>V463</f>
        <v/>
      </c>
      <c r="W465" s="366" t="e">
        <f>IF(COUNTIF(MSPara_SourceStreamCategory,V465)=0,"",INDEX(MSPara_IsFossil,MATCH(V465,MSPara_SourceStreamCategory,0)))</f>
        <v>#N/A</v>
      </c>
      <c r="X465" s="23"/>
      <c r="Y465" s="450" t="str">
        <f>IF(E456="","",IF(OR(F465=EUconst_NA,W465=TRUE),EUconst_NA,INDEX(EUwideConstants!$P$153:$P$180,MATCH(T465,EUwideConstants!$S$153:$S$180,0))))</f>
        <v/>
      </c>
      <c r="Z465" s="472" t="str">
        <f>IF(ISBLANK(F465),"",IF(F465=EUconst_NA,"",INDEX(EUwideConstants!$H:$O,MATCH(T465,EUwideConstants!$S:$S,0),MATCH(F465,CNTR_TierList,0))))</f>
        <v/>
      </c>
      <c r="AA465" s="681" t="str">
        <f>IF(F465=1,1,"")</f>
        <v/>
      </c>
      <c r="AB465" s="325"/>
      <c r="AC465" s="376" t="b">
        <f>AND(AC461,Y465&lt;&gt;EUconst_NA)</f>
        <v>0</v>
      </c>
      <c r="AD465" s="325"/>
      <c r="AE465" s="462"/>
      <c r="AF465" s="460"/>
      <c r="AG465" s="465"/>
      <c r="AH465" s="467"/>
      <c r="AI465" s="467"/>
      <c r="AJ465" s="467"/>
      <c r="AK465" s="469"/>
      <c r="AL465" s="337"/>
      <c r="AM465" s="404" t="s">
        <v>132</v>
      </c>
      <c r="AN465" s="403" t="str">
        <f>IF(AN463=EUconst_NA,EUconst_NA,INDEX(EUwideConstants!$C$139:$H$143,MATCH(AJ464,EFUnits,0),MATCH(AN463,EUwideConstants!$C$138:$H$138,0)))</f>
        <v>ei sovellettavissa</v>
      </c>
      <c r="AO465" s="403" t="b">
        <f>AN465&lt;&gt;EUconst_NA</f>
        <v>0</v>
      </c>
      <c r="AP465" s="337"/>
      <c r="AQ465" s="455" t="str">
        <f>EUconst_CNTR_BiomassContent&amp;EUconst_Value</f>
        <v>BioC_Arvo</v>
      </c>
      <c r="AR465" s="462"/>
      <c r="AS465" s="383" t="str">
        <f>IF(AC465=TRUE,IF(COUNTIF(MSPara_SourceStreamCategory,V465)=0,"",INDEX(MSPara_CalcFactorsMatrix,MATCH(V465,MSPara_SourceStreamCategory,0),MATCH(AQ465&amp;"_"&amp;2,MSPara_CalcFactors,0))),"")</f>
        <v/>
      </c>
      <c r="AT465" s="458"/>
      <c r="AU465" s="334" t="str">
        <f>IF(OR(AA465="",AS465=EUconst_NA),"",AS465)</f>
        <v/>
      </c>
      <c r="AV465" s="376">
        <f>IF(AC465=TRUE,IF(COUNT(K465:L465)=0,0,IF(L465="",K465,L465)),0)</f>
        <v>0</v>
      </c>
      <c r="AW465" s="375" t="b">
        <f>AND(AC465=TRUE,OR(AND(F465&lt;&gt;"",NOT(ISNUMBER(AA465))),L465&lt;&gt;"",F465="",AU465=""))</f>
        <v>0</v>
      </c>
      <c r="AX465" s="457" t="b">
        <f>AND(AC465=TRUE,NOT(AW465))</f>
        <v>0</v>
      </c>
      <c r="AY465" s="325"/>
      <c r="AZ465" s="379" t="b">
        <f>AND(ISNUMBER(AA465),AU465="")</f>
        <v>0</v>
      </c>
      <c r="BA465" s="380" t="b">
        <f>AND(ISNUMBER(AA465),AU465&lt;&gt;AV465)</f>
        <v>0</v>
      </c>
      <c r="BB465" s="325"/>
      <c r="BC465" s="375" t="b">
        <f>AND(L465&lt;&gt;"",Y465=EUconst_NA)</f>
        <v>0</v>
      </c>
      <c r="BD465" s="366" t="b">
        <f>OR(AV465&gt;100%,(AV465+AV466)&gt;100%)</f>
        <v>0</v>
      </c>
      <c r="BE465" s="325"/>
      <c r="BF465" s="379" t="s">
        <v>133</v>
      </c>
      <c r="BG465" s="498" t="str">
        <f>IF(AN461=EUconst_TJ,AV461*(1-AV465),IF(AN463=EUconst_GJ,AV461*AV463/1000*(1-AV465),""))</f>
        <v/>
      </c>
      <c r="BH465" s="325"/>
      <c r="BI465" s="325"/>
      <c r="BJ465" s="325"/>
      <c r="BK465" s="325"/>
      <c r="BL465" s="325"/>
      <c r="BM465" s="325"/>
      <c r="BN465" s="325"/>
      <c r="BO465" s="325"/>
      <c r="BP465" s="325"/>
      <c r="BQ465" s="325"/>
      <c r="BR465" s="325"/>
      <c r="BS465" s="325"/>
      <c r="BT465" s="325"/>
      <c r="BU465" s="325"/>
      <c r="BV465" s="325"/>
      <c r="BW465" s="325"/>
      <c r="BX465" s="325"/>
      <c r="BY465" s="325"/>
      <c r="BZ465" s="325"/>
      <c r="CA465" s="325"/>
      <c r="CB465" s="325"/>
      <c r="CC465" s="325"/>
      <c r="CD465" s="325"/>
      <c r="CE465" s="325"/>
      <c r="CF465" s="325"/>
      <c r="CG465" s="375" t="b">
        <f>OR(CG461,Y465=EUconst_NA)</f>
        <v>0</v>
      </c>
    </row>
    <row r="466" spans="1:85" ht="12.75" customHeight="1" thickBot="1" x14ac:dyDescent="0.3">
      <c r="A466" s="318"/>
      <c r="B466" s="21"/>
      <c r="C466" s="344"/>
      <c r="D466" s="345" t="str">
        <f>Translations!$B$368</f>
        <v>Ei kestävä biomassaosuus:</v>
      </c>
      <c r="E466" s="350"/>
      <c r="F466" s="628"/>
      <c r="G466" s="1120" t="str">
        <f>IF(OR(ISBLANK(F466),F466=EUconst_NoTier),"",IF(Z466=0,EUconst_NotApplicable,IF(ISERROR(Z466),"",Z466)))</f>
        <v/>
      </c>
      <c r="H466" s="1122"/>
      <c r="I466" s="629" t="str">
        <f>IF(OR(AC466=FALSE,Y466=EUconst_NA),"","-")</f>
        <v/>
      </c>
      <c r="J466" s="447"/>
      <c r="K466" s="636" t="str">
        <f>IF(L466="",AU466,"")</f>
        <v/>
      </c>
      <c r="L466" s="630"/>
      <c r="M466" s="486" t="str">
        <f>IF(AND(E456&lt;&gt;"",OR(F466="",COUNT(K466:L466)=0),Y466&lt;&gt;EUconst_NA),EUconst_ERR_Incomplete,IF(COUNTIF(BB466:BD466,TRUE)&gt;0,EUconst_ERR_Inconsistent,""))</f>
        <v/>
      </c>
      <c r="N466" s="22"/>
      <c r="O466" s="323"/>
      <c r="P466" s="612"/>
      <c r="Q466" s="354"/>
      <c r="R466" s="354"/>
      <c r="S466" s="325"/>
      <c r="T466" s="384" t="str">
        <f>EUconst_CNTR_BiomassContent&amp;E456</f>
        <v>BioC_</v>
      </c>
      <c r="U466" s="23"/>
      <c r="V466" s="382" t="str">
        <f>V465</f>
        <v/>
      </c>
      <c r="W466" s="382" t="e">
        <f>IF(COUNTIF(MSPara_SourceStreamCategory,V466)=0,"",INDEX(MSPara_IsFossil,MATCH(V466,MSPara_SourceStreamCategory,0)))</f>
        <v>#N/A</v>
      </c>
      <c r="X466" s="23"/>
      <c r="Y466" s="452" t="str">
        <f>IF(E456="","",IF(OR(F466=EUconst_NA,W466=TRUE),EUconst_NA,INDEX(EUwideConstants!$P$153:$P$180,MATCH(T466,EUwideConstants!$S$153:$S$180,0))))</f>
        <v/>
      </c>
      <c r="Z466" s="473" t="str">
        <f>IF(ISBLANK(F466),"",IF(F466=EUconst_NA,"",INDEX(EUwideConstants!$H:$O,MATCH(T466,EUwideConstants!$S:$S,0),MATCH(F466,CNTR_TierList,0))))</f>
        <v/>
      </c>
      <c r="AA466" s="682" t="str">
        <f>IF(F466=1,1,"")</f>
        <v/>
      </c>
      <c r="AB466" s="325"/>
      <c r="AC466" s="453" t="b">
        <f>AND(AC461,Y466&lt;&gt;EUconst_NA)</f>
        <v>0</v>
      </c>
      <c r="AD466" s="325"/>
      <c r="AE466" s="463"/>
      <c r="AF466" s="461"/>
      <c r="AG466" s="466"/>
      <c r="AH466" s="468"/>
      <c r="AI466" s="468"/>
      <c r="AJ466" s="468"/>
      <c r="AK466" s="470"/>
      <c r="AL466" s="337"/>
      <c r="AM466" s="337"/>
      <c r="AN466" s="337"/>
      <c r="AO466" s="337"/>
      <c r="AP466" s="337"/>
      <c r="AQ466" s="474" t="str">
        <f>EUconst_CNTR_BiomassContent&amp;EUconst_Value</f>
        <v>BioC_Arvo</v>
      </c>
      <c r="AR466" s="463"/>
      <c r="AS466" s="385" t="str">
        <f>IF(AC466=TRUE,IF(COUNTIF(MSPara_SourceStreamCategory,V466)=0,"",INDEX(MSPara_CalcFactorsMatrix,MATCH(V466,MSPara_SourceStreamCategory,0),MATCH(AQ466&amp;"_"&amp;2,MSPara_CalcFactors,0))),"")</f>
        <v/>
      </c>
      <c r="AT466" s="459"/>
      <c r="AU466" s="477" t="str">
        <f>IF(OR(AA466="",AS466=EUconst_NA),"",AS466)</f>
        <v/>
      </c>
      <c r="AV466" s="453">
        <f>IF(AC466=TRUE,IF(COUNT(K466:L466)=0,0,IF(L466="",K466,L466)),0)</f>
        <v>0</v>
      </c>
      <c r="AW466" s="382" t="b">
        <f>AND(AC466=TRUE,OR(AND(F466&lt;&gt;"",NOT(ISNUMBER(AA466))),L466&lt;&gt;"",F466="",AU466=""))</f>
        <v>0</v>
      </c>
      <c r="AX466" s="478" t="b">
        <f>AND(AC466=TRUE,NOT(AW466))</f>
        <v>0</v>
      </c>
      <c r="AY466" s="325"/>
      <c r="AZ466" s="386" t="b">
        <f>AND(ISNUMBER(AA466),AU466="")</f>
        <v>0</v>
      </c>
      <c r="BA466" s="387" t="b">
        <f>AND(ISNUMBER(AA466),AU466&lt;&gt;AV466)</f>
        <v>0</v>
      </c>
      <c r="BB466" s="325"/>
      <c r="BC466" s="382" t="b">
        <f>AND(L466&lt;&gt;"",Y466=EUconst_NA)</f>
        <v>0</v>
      </c>
      <c r="BD466" s="382" t="b">
        <f>OR(AV465&gt;100%,(AV465+AV466)&gt;100%)</f>
        <v>0</v>
      </c>
      <c r="BE466" s="325"/>
      <c r="BF466" s="386" t="s">
        <v>134</v>
      </c>
      <c r="BG466" s="499" t="str">
        <f>IF(AN461=EUconst_TJ,AV461*AV465,IF(AN463=EUconst_GJ,AV461*AV463/1000*AV465,""))</f>
        <v/>
      </c>
      <c r="BH466" s="325"/>
      <c r="BI466" s="325"/>
      <c r="BJ466" s="325"/>
      <c r="BK466" s="325"/>
      <c r="BL466" s="325"/>
      <c r="BM466" s="325"/>
      <c r="BN466" s="325"/>
      <c r="BO466" s="325"/>
      <c r="BP466" s="325"/>
      <c r="BQ466" s="325"/>
      <c r="BR466" s="325"/>
      <c r="BS466" s="325"/>
      <c r="BT466" s="325"/>
      <c r="BU466" s="325"/>
      <c r="BV466" s="325"/>
      <c r="BW466" s="325"/>
      <c r="BX466" s="325"/>
      <c r="BY466" s="325"/>
      <c r="BZ466" s="325"/>
      <c r="CA466" s="325"/>
      <c r="CB466" s="325"/>
      <c r="CC466" s="325"/>
      <c r="CD466" s="325"/>
      <c r="CE466" s="325"/>
      <c r="CF466" s="325"/>
      <c r="CG466" s="382" t="b">
        <f>OR(CG461,Y466=EUconst_NA)</f>
        <v>0</v>
      </c>
    </row>
    <row r="467" spans="1:85" ht="5.15" customHeight="1" thickBot="1" x14ac:dyDescent="0.3">
      <c r="A467" s="318"/>
      <c r="B467" s="21"/>
      <c r="C467" s="21"/>
      <c r="D467" s="327"/>
      <c r="E467" s="22"/>
      <c r="F467" s="22"/>
      <c r="G467" s="22"/>
      <c r="H467" s="22"/>
      <c r="I467" s="22"/>
      <c r="J467" s="22"/>
      <c r="K467" s="22"/>
      <c r="L467" s="22"/>
      <c r="M467" s="488"/>
      <c r="N467" s="22"/>
      <c r="O467" s="323"/>
      <c r="P467" s="301"/>
      <c r="Q467" s="23"/>
      <c r="R467" s="23"/>
      <c r="S467" s="325"/>
      <c r="T467" s="325"/>
      <c r="U467" s="325"/>
      <c r="V467" s="325"/>
      <c r="W467" s="325"/>
      <c r="X467" s="325"/>
      <c r="Y467" s="325"/>
      <c r="Z467" s="325"/>
      <c r="AA467" s="325"/>
      <c r="AB467" s="325"/>
      <c r="AC467" s="325"/>
      <c r="AD467" s="325"/>
      <c r="AE467" s="325"/>
      <c r="AF467" s="325"/>
      <c r="AG467" s="325"/>
      <c r="AH467" s="325"/>
      <c r="AI467" s="325"/>
      <c r="AJ467" s="325"/>
      <c r="AK467" s="325"/>
      <c r="AL467" s="325"/>
      <c r="AM467" s="325"/>
      <c r="AN467" s="325"/>
      <c r="AO467" s="325"/>
      <c r="AP467" s="325"/>
      <c r="AQ467" s="325"/>
      <c r="AR467" s="325"/>
      <c r="AS467" s="325"/>
      <c r="AT467" s="325"/>
      <c r="AU467" s="325"/>
      <c r="AV467" s="325"/>
      <c r="AW467" s="325"/>
      <c r="AX467" s="325"/>
      <c r="AY467" s="325"/>
      <c r="AZ467" s="325"/>
      <c r="BA467" s="325"/>
      <c r="BB467" s="325"/>
      <c r="BC467" s="325"/>
      <c r="BD467" s="325"/>
      <c r="BE467" s="325"/>
      <c r="BF467" s="325"/>
      <c r="BG467" s="325"/>
      <c r="BH467" s="325"/>
      <c r="BI467" s="325"/>
      <c r="BJ467" s="325"/>
      <c r="BK467" s="325"/>
      <c r="BL467" s="325"/>
      <c r="BM467" s="325"/>
      <c r="BN467" s="325"/>
      <c r="BO467" s="325"/>
      <c r="BP467" s="325"/>
      <c r="BQ467" s="325"/>
      <c r="BR467" s="325"/>
      <c r="BS467" s="325"/>
      <c r="BT467" s="325"/>
      <c r="BU467" s="325"/>
      <c r="BV467" s="325"/>
      <c r="BW467" s="325"/>
      <c r="BX467" s="325"/>
      <c r="BY467" s="325"/>
      <c r="BZ467" s="325"/>
      <c r="CA467" s="325"/>
      <c r="CB467" s="325"/>
      <c r="CC467" s="325"/>
      <c r="CD467" s="325"/>
      <c r="CE467" s="325"/>
      <c r="CF467" s="325"/>
      <c r="CG467" s="325"/>
    </row>
    <row r="468" spans="1:85" ht="12.75" customHeight="1" thickBot="1" x14ac:dyDescent="0.3">
      <c r="A468" s="318"/>
      <c r="B468" s="21"/>
      <c r="C468" s="344"/>
      <c r="D468" s="345" t="str">
        <f>Translations!$B$398</f>
        <v>Soveltamisalakerroin:</v>
      </c>
      <c r="E468" s="479"/>
      <c r="F468" s="803"/>
      <c r="G468" s="1125"/>
      <c r="H468" s="1126"/>
      <c r="I468" s="492" t="s">
        <v>52</v>
      </c>
      <c r="J468" s="480"/>
      <c r="K468" s="481" t="str">
        <f>IF(L468="",AU468,"")</f>
        <v/>
      </c>
      <c r="L468" s="607"/>
      <c r="M468" s="489" t="str">
        <f>IF(AND(E456&lt;&gt;"",OR(F468="",G468="",COUNT(K468:L468)=0)),EUconst_ERR_Incomplete,IF(COUNTIF(BB468:BD468,TRUE)&gt;0,EUconst_ERR_Inconsistent,""))</f>
        <v/>
      </c>
      <c r="N468" s="22"/>
      <c r="O468" s="323"/>
      <c r="P468" s="301"/>
      <c r="Q468" s="23"/>
      <c r="R468" s="325"/>
      <c r="S468" s="10"/>
      <c r="T468" s="48" t="str">
        <f>EUconst_CNTR_ScopeFactor&amp;E456</f>
        <v>ScopeFactor_</v>
      </c>
      <c r="U468" s="248" t="str">
        <f>IF(F468="","",INDEX(ScopeAddress,MATCH(F468,ScopeTiers,0)))</f>
        <v/>
      </c>
      <c r="V468" s="382" t="str">
        <f>V461</f>
        <v/>
      </c>
      <c r="W468" s="325"/>
      <c r="X468" s="325"/>
      <c r="Y468" s="452" t="str">
        <f>IF(E456="","",IF(F468=EUconst_NA,EUconst_NA,INDEX(EUwideConstants!$P$153:$P$180,MATCH(T468,EUwideConstants!$S$153:$S$180,0))))</f>
        <v/>
      </c>
      <c r="Z468" s="473" t="str">
        <f>IF(ISBLANK(F468),"",IF(F468=EUconst_NA,"",INDEX(EUwideConstants!$H:$O,MATCH(T468,EUwideConstants!$S:$S,0),MATCH(F468,CNTR_TierList,0))))</f>
        <v/>
      </c>
      <c r="AA468" s="339" t="str">
        <f>IF(G468=EUwideConstants!$A$88,1,"")</f>
        <v/>
      </c>
      <c r="AB468" s="325"/>
      <c r="AC468" s="376" t="b">
        <f>AND(AC461,Y468&lt;&gt;EUconst_NA)</f>
        <v>0</v>
      </c>
      <c r="AD468" s="325"/>
      <c r="AE468" s="325"/>
      <c r="AF468" s="325"/>
      <c r="AG468" s="330"/>
      <c r="AH468" s="325"/>
      <c r="AI468" s="325"/>
      <c r="AJ468" s="325"/>
      <c r="AK468" s="325"/>
      <c r="AL468" s="325"/>
      <c r="AM468" s="325"/>
      <c r="AN468" s="325"/>
      <c r="AO468" s="325"/>
      <c r="AP468" s="325"/>
      <c r="AQ468" s="325"/>
      <c r="AR468" s="325"/>
      <c r="AS468" s="338">
        <v>1</v>
      </c>
      <c r="AT468" s="325"/>
      <c r="AU468" s="330" t="str">
        <f>IF(G468=EUwideConstants!$A$88,AS468,"")</f>
        <v/>
      </c>
      <c r="AV468" s="376">
        <f>IF(AC468=TRUE,IF(COUNT(K468:L468)=0,0,IF(L468="",K468,L468)),0)</f>
        <v>0</v>
      </c>
      <c r="AW468" s="375" t="b">
        <f>AND(AC468=TRUE,OR(AND(F468&lt;&gt;"",NOT(ISNUMBER(AA468))),L468&lt;&gt;"",F468="",AU468=""))</f>
        <v>0</v>
      </c>
      <c r="AX468" s="457" t="b">
        <f>AND(AC468=TRUE,NOT(AW468))</f>
        <v>0</v>
      </c>
      <c r="AY468" s="325"/>
      <c r="AZ468" s="379" t="b">
        <f>AND(ISNUMBER(AA468),AU468="")</f>
        <v>0</v>
      </c>
      <c r="BA468" s="380" t="b">
        <f>AND(ISNUMBER(AA468),AU468&lt;&gt;AV468)</f>
        <v>0</v>
      </c>
      <c r="BB468" s="325"/>
      <c r="BC468" s="33" t="b">
        <f>AND(F468&lt;&gt;"",OR(COUNTIF(INDEX(ScopeMethods,F468,),G468)=0,AND(AA468&lt;&gt;"",AU468&lt;&gt;AV468)))</f>
        <v>0</v>
      </c>
      <c r="BD468" s="325"/>
      <c r="BE468" s="325"/>
      <c r="BF468" s="325"/>
      <c r="BG468" s="325"/>
      <c r="BH468" s="325"/>
      <c r="BI468" s="325"/>
      <c r="BJ468" s="325"/>
      <c r="BK468" s="325"/>
      <c r="BL468" s="325"/>
      <c r="BM468" s="325"/>
      <c r="BN468" s="325"/>
      <c r="BO468" s="325"/>
      <c r="BP468" s="325"/>
      <c r="BQ468" s="325"/>
      <c r="BR468" s="325"/>
      <c r="BS468" s="325"/>
      <c r="BT468" s="325"/>
      <c r="BU468" s="325"/>
      <c r="BV468" s="325"/>
      <c r="BW468" s="325"/>
      <c r="BX468" s="325"/>
      <c r="BY468" s="325"/>
      <c r="BZ468" s="325"/>
      <c r="CA468" s="325"/>
      <c r="CB468" s="325"/>
      <c r="CC468" s="325"/>
      <c r="CD468" s="325"/>
      <c r="CE468" s="325"/>
      <c r="CF468" s="325"/>
      <c r="CG468" s="325"/>
    </row>
    <row r="469" spans="1:85" ht="12.75" customHeight="1" x14ac:dyDescent="0.25">
      <c r="A469" s="318"/>
      <c r="B469" s="21"/>
      <c r="C469" s="21"/>
      <c r="D469" s="21"/>
      <c r="E469" s="21"/>
      <c r="F469" s="21"/>
      <c r="G469" s="1130" t="str">
        <f>IF(G468="","",INDEX(ScopeMethodsDetails,MATCH(G468,INDEX(ScopeMethodsDetails,,1),0),2))</f>
        <v/>
      </c>
      <c r="H469" s="1131"/>
      <c r="I469" s="1131"/>
      <c r="J469" s="1131"/>
      <c r="K469" s="1131"/>
      <c r="L469" s="1131"/>
      <c r="M469" s="1132"/>
      <c r="N469" s="22"/>
      <c r="O469" s="323"/>
      <c r="P469" s="301"/>
      <c r="Q469" s="23"/>
      <c r="R469" s="23"/>
      <c r="S469" s="325"/>
      <c r="T469" s="325"/>
      <c r="U469" s="325"/>
      <c r="V469" s="325"/>
      <c r="W469" s="325"/>
      <c r="X469" s="325"/>
      <c r="Y469" s="325"/>
      <c r="Z469" s="325"/>
      <c r="AA469" s="325"/>
      <c r="AB469" s="325"/>
      <c r="AC469" s="325"/>
      <c r="AD469" s="325"/>
      <c r="AE469" s="325"/>
      <c r="AF469" s="325"/>
      <c r="AG469" s="325"/>
      <c r="AH469" s="325"/>
      <c r="AI469" s="325"/>
      <c r="AJ469" s="325"/>
      <c r="AK469" s="325"/>
      <c r="AL469" s="325"/>
      <c r="AM469" s="325"/>
      <c r="AN469" s="325"/>
      <c r="AO469" s="325"/>
      <c r="AP469" s="325"/>
      <c r="AQ469" s="325"/>
      <c r="AR469" s="325"/>
      <c r="AS469" s="325"/>
      <c r="AT469" s="325"/>
      <c r="AU469" s="325"/>
      <c r="AV469" s="325"/>
      <c r="AW469" s="325"/>
      <c r="AX469" s="325"/>
      <c r="AY469" s="325"/>
      <c r="AZ469" s="325"/>
      <c r="BA469" s="325"/>
      <c r="BB469" s="325"/>
      <c r="BC469" s="325"/>
      <c r="BD469" s="325"/>
      <c r="BE469" s="325"/>
      <c r="BF469" s="325"/>
      <c r="BG469" s="325"/>
      <c r="BH469" s="325"/>
      <c r="BI469" s="325"/>
      <c r="BJ469" s="325"/>
      <c r="BK469" s="325"/>
      <c r="BL469" s="325"/>
      <c r="BM469" s="325"/>
      <c r="BN469" s="325"/>
      <c r="BO469" s="325"/>
      <c r="BP469" s="325"/>
      <c r="BQ469" s="325"/>
      <c r="BR469" s="325"/>
      <c r="BS469" s="325"/>
      <c r="BT469" s="325"/>
      <c r="BU469" s="325"/>
      <c r="BV469" s="325"/>
      <c r="BW469" s="325"/>
      <c r="BX469" s="325"/>
      <c r="BY469" s="325"/>
      <c r="BZ469" s="325"/>
      <c r="CA469" s="325"/>
      <c r="CB469" s="325"/>
      <c r="CC469" s="325"/>
      <c r="CD469" s="325"/>
      <c r="CE469" s="325"/>
      <c r="CF469" s="325"/>
      <c r="CG469" s="325"/>
    </row>
    <row r="470" spans="1:85" ht="5.15" customHeight="1" x14ac:dyDescent="0.25">
      <c r="A470" s="318"/>
      <c r="C470" s="22"/>
      <c r="D470" s="22"/>
      <c r="E470" s="22"/>
      <c r="F470" s="22"/>
      <c r="G470" s="22"/>
      <c r="H470" s="22"/>
      <c r="I470" s="22"/>
      <c r="J470" s="22"/>
      <c r="K470" s="22"/>
      <c r="L470" s="22"/>
      <c r="O470" s="323"/>
      <c r="P470" s="301"/>
      <c r="Q470" s="23"/>
      <c r="R470" s="23"/>
      <c r="S470" s="325"/>
      <c r="T470" s="325"/>
      <c r="U470" s="325"/>
      <c r="V470" s="325"/>
      <c r="W470" s="325"/>
      <c r="X470" s="325"/>
      <c r="Y470" s="325"/>
      <c r="Z470" s="325"/>
      <c r="AA470" s="325"/>
      <c r="AB470" s="325"/>
      <c r="AC470" s="325"/>
      <c r="AD470" s="325"/>
      <c r="AE470" s="325"/>
      <c r="AF470" s="325"/>
      <c r="AG470" s="325"/>
      <c r="AH470" s="325"/>
      <c r="AI470" s="325"/>
      <c r="AJ470" s="325"/>
      <c r="AK470" s="325"/>
      <c r="AL470" s="325"/>
      <c r="AM470" s="325"/>
      <c r="AN470" s="325"/>
      <c r="AO470" s="325"/>
      <c r="AP470" s="325"/>
      <c r="AQ470" s="325"/>
      <c r="AR470" s="325"/>
      <c r="AS470" s="325"/>
      <c r="AT470" s="325"/>
      <c r="AU470" s="325"/>
      <c r="AV470" s="325"/>
      <c r="AW470" s="325"/>
      <c r="AX470" s="325"/>
      <c r="AY470" s="325"/>
      <c r="AZ470" s="325"/>
      <c r="BA470" s="325"/>
      <c r="BB470" s="325"/>
      <c r="BC470" s="325"/>
      <c r="BD470" s="325"/>
      <c r="BE470" s="325"/>
      <c r="BF470" s="325"/>
      <c r="BG470" s="325"/>
      <c r="BH470" s="325"/>
      <c r="BI470" s="325"/>
      <c r="BJ470" s="325"/>
      <c r="BK470" s="325"/>
      <c r="BL470" s="325"/>
      <c r="BM470" s="325"/>
      <c r="BN470" s="325"/>
      <c r="BO470" s="325"/>
      <c r="BP470" s="325"/>
      <c r="BQ470" s="325"/>
      <c r="BR470" s="325"/>
      <c r="BS470" s="325"/>
      <c r="BT470" s="325"/>
      <c r="BU470" s="325"/>
      <c r="BV470" s="325"/>
      <c r="BW470" s="325"/>
      <c r="BX470" s="325"/>
      <c r="BY470" s="325"/>
      <c r="BZ470" s="325"/>
      <c r="CA470" s="325"/>
      <c r="CB470" s="325"/>
      <c r="CC470" s="325"/>
      <c r="CD470" s="325"/>
      <c r="CE470" s="325"/>
      <c r="CF470" s="325"/>
      <c r="CG470" s="325"/>
    </row>
    <row r="471" spans="1:85" ht="12.75" customHeight="1" x14ac:dyDescent="0.25">
      <c r="A471" s="318"/>
      <c r="C471" s="22"/>
      <c r="D471" s="22"/>
      <c r="E471" s="22"/>
      <c r="F471" s="22"/>
      <c r="G471" s="1133">
        <v>1</v>
      </c>
      <c r="H471" s="1133"/>
      <c r="I471" s="1133">
        <v>2</v>
      </c>
      <c r="J471" s="1133"/>
      <c r="K471" s="1133">
        <v>3</v>
      </c>
      <c r="L471" s="1133"/>
      <c r="O471" s="323"/>
      <c r="P471" s="301"/>
      <c r="Q471" s="23"/>
      <c r="R471" s="23"/>
      <c r="S471" s="325"/>
      <c r="T471" s="325"/>
      <c r="U471" s="325"/>
      <c r="V471" s="325"/>
      <c r="W471" s="325"/>
      <c r="X471" s="325"/>
      <c r="Y471" s="325"/>
      <c r="Z471" s="325"/>
      <c r="AA471" s="325"/>
      <c r="AB471" s="325"/>
      <c r="AC471" s="325"/>
      <c r="AD471" s="325"/>
      <c r="AE471" s="325"/>
      <c r="AF471" s="325"/>
      <c r="AG471" s="325"/>
      <c r="AH471" s="325"/>
      <c r="AI471" s="325"/>
      <c r="AJ471" s="325"/>
      <c r="AK471" s="325"/>
      <c r="AL471" s="325"/>
      <c r="AM471" s="325"/>
      <c r="AN471" s="325"/>
      <c r="AO471" s="325"/>
      <c r="AP471" s="325"/>
      <c r="AQ471" s="325"/>
      <c r="AR471" s="325"/>
      <c r="AS471" s="325"/>
      <c r="AT471" s="325"/>
      <c r="AU471" s="325"/>
      <c r="AV471" s="325"/>
      <c r="AW471" s="325"/>
      <c r="AX471" s="325"/>
      <c r="AY471" s="325"/>
      <c r="AZ471" s="325"/>
      <c r="BA471" s="325"/>
      <c r="BB471" s="325"/>
      <c r="BC471" s="325"/>
      <c r="BD471" s="325"/>
      <c r="BE471" s="325"/>
      <c r="BF471" s="325"/>
      <c r="BG471" s="325"/>
      <c r="BH471" s="325"/>
      <c r="BI471" s="325"/>
      <c r="BJ471" s="325"/>
      <c r="BK471" s="325"/>
      <c r="BL471" s="325"/>
      <c r="BM471" s="325"/>
      <c r="BN471" s="325"/>
      <c r="BO471" s="325"/>
      <c r="BP471" s="325"/>
      <c r="BQ471" s="325"/>
      <c r="BR471" s="325"/>
      <c r="BS471" s="325"/>
      <c r="BT471" s="325"/>
      <c r="BU471" s="325"/>
      <c r="BV471" s="325"/>
      <c r="BW471" s="325"/>
      <c r="BX471" s="325"/>
      <c r="BY471" s="325"/>
      <c r="BZ471" s="325"/>
      <c r="CA471" s="325"/>
      <c r="CB471" s="325"/>
      <c r="CC471" s="325"/>
      <c r="CD471" s="325"/>
      <c r="CE471" s="325"/>
      <c r="CF471" s="325"/>
      <c r="CG471" s="325"/>
    </row>
    <row r="472" spans="1:85" ht="12.75" customHeight="1" x14ac:dyDescent="0.25">
      <c r="A472" s="389"/>
      <c r="B472" s="22"/>
      <c r="C472" s="22"/>
      <c r="D472" s="1134" t="str">
        <f>Translations!$B$372</f>
        <v>CRF-luokka</v>
      </c>
      <c r="E472" s="1134"/>
      <c r="F472" s="1135"/>
      <c r="G472" s="1123"/>
      <c r="H472" s="1124"/>
      <c r="I472" s="1123"/>
      <c r="J472" s="1124"/>
      <c r="K472" s="1123"/>
      <c r="L472" s="1124"/>
      <c r="M472" s="623" t="str">
        <f>IF(AND(E455&lt;&gt;"",COUNTA(G472:L472)=0,AX472=FALSE),EUconst_ERR_Incomplete,"")</f>
        <v/>
      </c>
      <c r="N472" s="22"/>
      <c r="O472" s="323"/>
      <c r="P472" s="301"/>
      <c r="Q472" s="23"/>
      <c r="R472" s="23"/>
      <c r="S472" s="325"/>
      <c r="T472" s="325"/>
      <c r="U472" s="325"/>
      <c r="V472" s="325"/>
      <c r="W472" s="325"/>
      <c r="X472" s="325"/>
      <c r="Y472" s="325"/>
      <c r="Z472" s="325"/>
      <c r="AA472" s="325"/>
      <c r="AB472" s="325"/>
      <c r="AC472" s="325"/>
      <c r="AD472" s="325"/>
      <c r="AE472" s="325"/>
      <c r="AF472" s="325"/>
      <c r="AG472" s="325"/>
      <c r="AH472" s="325"/>
      <c r="AI472" s="325"/>
      <c r="AJ472" s="325"/>
      <c r="AK472" s="325"/>
      <c r="AL472" s="325"/>
      <c r="AM472" s="325"/>
      <c r="AN472" s="325"/>
      <c r="AO472" s="325"/>
      <c r="AP472" s="325"/>
      <c r="AQ472" s="325"/>
      <c r="AR472" s="325"/>
      <c r="AS472" s="325"/>
      <c r="AT472" s="325"/>
      <c r="AU472" s="325"/>
      <c r="AV472" s="325"/>
      <c r="AW472" s="325"/>
      <c r="AX472" s="33" t="b">
        <f>AND(AV468&lt;&gt;"",SUM(AV468=1))</f>
        <v>0</v>
      </c>
      <c r="AY472" s="325"/>
      <c r="AZ472" s="325"/>
      <c r="BA472" s="325"/>
      <c r="BB472" s="325"/>
      <c r="BC472" s="325"/>
      <c r="BD472" s="325"/>
      <c r="BE472" s="325"/>
      <c r="BF472" s="325"/>
      <c r="BG472" s="325"/>
      <c r="BH472" s="325"/>
      <c r="BI472" s="325"/>
      <c r="BJ472" s="325"/>
      <c r="BK472" s="325"/>
      <c r="BL472" s="325"/>
      <c r="BM472" s="325"/>
      <c r="BN472" s="325"/>
      <c r="BO472" s="325"/>
      <c r="BP472" s="325"/>
      <c r="BQ472" s="325"/>
      <c r="BR472" s="325"/>
      <c r="BS472" s="325"/>
      <c r="BT472" s="325"/>
      <c r="BU472" s="325"/>
      <c r="BV472" s="325"/>
      <c r="BW472" s="325"/>
      <c r="BX472" s="325"/>
      <c r="BY472" s="325"/>
      <c r="BZ472" s="325"/>
      <c r="CA472" s="325"/>
      <c r="CB472" s="325"/>
      <c r="CC472" s="325"/>
      <c r="CD472" s="325"/>
      <c r="CE472" s="325"/>
      <c r="CF472" s="325"/>
      <c r="CG472" s="325"/>
    </row>
    <row r="473" spans="1:85" ht="5.15" customHeight="1" x14ac:dyDescent="0.25">
      <c r="A473" s="318"/>
      <c r="B473" s="21"/>
      <c r="C473" s="21"/>
      <c r="D473" s="21"/>
      <c r="E473" s="21"/>
      <c r="F473" s="21"/>
      <c r="G473" s="22"/>
      <c r="H473" s="22"/>
      <c r="I473" s="22"/>
      <c r="J473" s="22"/>
      <c r="K473" s="22"/>
      <c r="L473" s="22"/>
      <c r="M473" s="22"/>
      <c r="N473" s="22"/>
      <c r="O473" s="323"/>
      <c r="P473" s="301"/>
      <c r="Q473" s="23"/>
      <c r="R473" s="23"/>
      <c r="S473" s="325"/>
      <c r="T473" s="325"/>
      <c r="U473" s="325"/>
      <c r="V473" s="325"/>
      <c r="W473" s="325"/>
      <c r="X473" s="325"/>
      <c r="Y473" s="325"/>
      <c r="Z473" s="325"/>
      <c r="AA473" s="325"/>
      <c r="AB473" s="325"/>
      <c r="AC473" s="325"/>
      <c r="AD473" s="325"/>
      <c r="AE473" s="325"/>
      <c r="AF473" s="325"/>
      <c r="AG473" s="325"/>
      <c r="AH473" s="325"/>
      <c r="AI473" s="325"/>
      <c r="AJ473" s="325"/>
      <c r="AK473" s="325"/>
      <c r="AL473" s="325"/>
      <c r="AM473" s="325"/>
      <c r="AN473" s="325"/>
      <c r="AO473" s="325"/>
      <c r="AP473" s="325"/>
      <c r="AQ473" s="325"/>
      <c r="AR473" s="325"/>
      <c r="AS473" s="325"/>
      <c r="AT473" s="325"/>
      <c r="AU473" s="325"/>
      <c r="AV473" s="325"/>
      <c r="AW473" s="325"/>
      <c r="AX473" s="325"/>
      <c r="AY473" s="325"/>
      <c r="AZ473" s="325"/>
      <c r="BA473" s="325"/>
      <c r="BB473" s="325"/>
      <c r="BC473" s="325"/>
      <c r="BD473" s="325"/>
      <c r="BE473" s="325"/>
      <c r="BF473" s="325"/>
      <c r="BG473" s="325"/>
      <c r="BH473" s="325"/>
      <c r="BI473" s="325"/>
      <c r="BJ473" s="325"/>
      <c r="BK473" s="325"/>
      <c r="BL473" s="325"/>
      <c r="BM473" s="325"/>
      <c r="BN473" s="325"/>
      <c r="BO473" s="325"/>
      <c r="BP473" s="325"/>
      <c r="BQ473" s="325"/>
      <c r="BR473" s="325"/>
      <c r="BS473" s="325"/>
      <c r="BT473" s="325"/>
      <c r="BU473" s="325"/>
      <c r="BV473" s="325"/>
      <c r="BW473" s="325"/>
      <c r="BX473" s="325"/>
      <c r="BY473" s="325"/>
      <c r="BZ473" s="325"/>
      <c r="CA473" s="325"/>
      <c r="CB473" s="325"/>
      <c r="CC473" s="325"/>
      <c r="CD473" s="325"/>
      <c r="CE473" s="325"/>
      <c r="CF473" s="325"/>
      <c r="CG473" s="325"/>
    </row>
    <row r="474" spans="1:85" ht="8.15" customHeight="1" x14ac:dyDescent="0.25">
      <c r="A474" s="318"/>
      <c r="B474" s="21"/>
      <c r="C474" s="21"/>
      <c r="D474" s="1145"/>
      <c r="E474" s="1145"/>
      <c r="F474" s="1145"/>
      <c r="G474" s="806"/>
      <c r="H474" s="807"/>
      <c r="I474" s="806"/>
      <c r="J474" s="236"/>
      <c r="K474" s="236"/>
      <c r="L474" s="236"/>
      <c r="M474" s="807"/>
      <c r="N474" s="808"/>
      <c r="O474" s="323"/>
      <c r="P474" s="301"/>
      <c r="Q474" s="23"/>
      <c r="R474" s="23"/>
      <c r="S474" s="388"/>
      <c r="T474" s="325"/>
      <c r="U474" s="325"/>
      <c r="V474" s="325"/>
      <c r="W474" s="325"/>
      <c r="X474" s="325"/>
      <c r="Y474" s="325"/>
      <c r="Z474" s="325"/>
      <c r="AA474" s="325"/>
      <c r="AB474" s="325"/>
      <c r="AC474" s="325"/>
      <c r="AD474" s="325"/>
      <c r="AE474" s="325"/>
      <c r="AF474" s="325"/>
      <c r="AG474" s="325"/>
      <c r="AH474" s="325"/>
      <c r="AI474" s="325"/>
      <c r="AJ474" s="325"/>
      <c r="AK474" s="325"/>
      <c r="AL474" s="325"/>
      <c r="AM474" s="325"/>
      <c r="AN474" s="325"/>
      <c r="AO474" s="325"/>
      <c r="AP474" s="325"/>
      <c r="AQ474" s="325"/>
      <c r="AR474" s="325"/>
      <c r="AS474" s="325"/>
      <c r="AT474" s="325"/>
      <c r="AU474" s="325"/>
      <c r="AV474" s="325"/>
      <c r="AW474" s="325"/>
      <c r="AX474" s="325"/>
      <c r="AY474" s="325"/>
      <c r="AZ474" s="325"/>
      <c r="BA474" s="325"/>
      <c r="BB474" s="325"/>
      <c r="BC474" s="325"/>
      <c r="BD474" s="325"/>
      <c r="BE474" s="325"/>
      <c r="BF474" s="325"/>
      <c r="BG474" s="325"/>
      <c r="BH474" s="325"/>
      <c r="BI474" s="325"/>
      <c r="BJ474" s="325"/>
      <c r="BK474" s="325"/>
      <c r="BL474" s="325"/>
      <c r="BM474" s="325"/>
      <c r="BN474" s="325"/>
      <c r="BO474" s="325"/>
      <c r="BP474" s="325"/>
      <c r="BQ474" s="325"/>
      <c r="BR474" s="325"/>
      <c r="BS474" s="325"/>
      <c r="BT474" s="325"/>
      <c r="BU474" s="325"/>
      <c r="BV474" s="325"/>
      <c r="BW474" s="325"/>
      <c r="BX474" s="325"/>
      <c r="BY474" s="325"/>
      <c r="BZ474" s="325"/>
      <c r="CA474" s="325"/>
      <c r="CB474" s="325"/>
      <c r="CC474" s="325"/>
      <c r="CD474" s="325"/>
      <c r="CE474" s="325"/>
      <c r="CF474" s="325"/>
      <c r="CG474" s="33" t="b">
        <f>CG461</f>
        <v>0</v>
      </c>
    </row>
    <row r="475" spans="1:85" ht="5.15" customHeight="1" x14ac:dyDescent="0.25">
      <c r="A475" s="389"/>
      <c r="B475" s="22"/>
      <c r="C475" s="22"/>
      <c r="D475" s="22"/>
      <c r="E475" s="1116" t="str">
        <f>Translations!$B$304</f>
        <v xml:space="preserve">Lisätiedot: 
tapa, jolla biomassan kestävyys on osoitettu; 
muut polttoainevirtaa koskevat lisätiedot. </v>
      </c>
      <c r="F475" s="1116"/>
      <c r="G475" s="22"/>
      <c r="H475" s="22"/>
      <c r="I475" s="22"/>
      <c r="J475" s="22"/>
      <c r="K475" s="22"/>
      <c r="L475" s="22"/>
      <c r="M475" s="22"/>
      <c r="N475" s="22"/>
      <c r="O475" s="323"/>
      <c r="P475" s="301"/>
      <c r="Q475" s="23"/>
      <c r="R475" s="23"/>
      <c r="S475" s="325"/>
      <c r="T475" s="325"/>
      <c r="U475" s="325"/>
      <c r="V475" s="325"/>
      <c r="W475" s="325"/>
      <c r="X475" s="325"/>
      <c r="Y475" s="325"/>
      <c r="Z475" s="325"/>
      <c r="AA475" s="325"/>
      <c r="AB475" s="325"/>
      <c r="AC475" s="325"/>
      <c r="AD475" s="325"/>
      <c r="AE475" s="325"/>
      <c r="AF475" s="325"/>
      <c r="AG475" s="325"/>
      <c r="AH475" s="325"/>
      <c r="AI475" s="325"/>
      <c r="AJ475" s="325"/>
      <c r="AK475" s="325"/>
      <c r="AL475" s="325"/>
      <c r="AM475" s="325"/>
      <c r="AN475" s="325"/>
      <c r="AO475" s="325"/>
      <c r="AP475" s="325"/>
      <c r="AQ475" s="325"/>
      <c r="AR475" s="325"/>
      <c r="AS475" s="325"/>
      <c r="AT475" s="325"/>
      <c r="AU475" s="325"/>
      <c r="AV475" s="325"/>
      <c r="AW475" s="325"/>
      <c r="AX475" s="325"/>
      <c r="AY475" s="325"/>
      <c r="AZ475" s="325"/>
      <c r="BA475" s="325"/>
      <c r="BB475" s="325"/>
      <c r="BC475" s="325"/>
      <c r="BD475" s="325"/>
      <c r="BE475" s="325"/>
      <c r="BF475" s="325"/>
      <c r="BG475" s="325"/>
      <c r="BH475" s="325"/>
      <c r="BI475" s="325"/>
      <c r="BJ475" s="325"/>
      <c r="BK475" s="325"/>
      <c r="BL475" s="325"/>
      <c r="BM475" s="325"/>
      <c r="BN475" s="325"/>
      <c r="BO475" s="325"/>
      <c r="BP475" s="325"/>
      <c r="BQ475" s="325"/>
      <c r="BR475" s="325"/>
      <c r="BS475" s="325"/>
      <c r="BT475" s="325"/>
      <c r="BU475" s="325"/>
      <c r="BV475" s="325"/>
      <c r="BW475" s="325"/>
      <c r="BX475" s="325"/>
      <c r="BY475" s="325"/>
      <c r="BZ475" s="325"/>
      <c r="CA475" s="325"/>
      <c r="CB475" s="325"/>
      <c r="CC475" s="325"/>
      <c r="CD475" s="325"/>
      <c r="CE475" s="325"/>
      <c r="CF475" s="325"/>
      <c r="CG475" s="325"/>
    </row>
    <row r="476" spans="1:85" ht="43.5" customHeight="1" x14ac:dyDescent="0.25">
      <c r="A476" s="389"/>
      <c r="B476" s="22"/>
      <c r="C476" s="22"/>
      <c r="D476" s="4"/>
      <c r="E476" s="1116"/>
      <c r="F476" s="1116"/>
      <c r="G476" s="1146"/>
      <c r="H476" s="1147"/>
      <c r="I476" s="1147"/>
      <c r="J476" s="1147"/>
      <c r="K476" s="1147"/>
      <c r="L476" s="1147"/>
      <c r="M476" s="1147"/>
      <c r="N476" s="1148"/>
      <c r="O476" s="323"/>
      <c r="P476" s="301"/>
      <c r="Q476" s="23"/>
      <c r="R476" s="23"/>
      <c r="S476" s="325"/>
      <c r="T476" s="325"/>
      <c r="U476" s="325"/>
      <c r="V476" s="325"/>
      <c r="W476" s="325"/>
      <c r="X476" s="325"/>
      <c r="Y476" s="325"/>
      <c r="Z476" s="325"/>
      <c r="AA476" s="325"/>
      <c r="AB476" s="325"/>
      <c r="AC476" s="325"/>
      <c r="AD476" s="325"/>
      <c r="AE476" s="325"/>
      <c r="AF476" s="325"/>
      <c r="AG476" s="325"/>
      <c r="AH476" s="325"/>
      <c r="AI476" s="325"/>
      <c r="AJ476" s="325"/>
      <c r="AK476" s="325"/>
      <c r="AL476" s="325"/>
      <c r="AM476" s="325"/>
      <c r="AN476" s="325"/>
      <c r="AO476" s="325"/>
      <c r="AP476" s="325"/>
      <c r="AQ476" s="325"/>
      <c r="AR476" s="325"/>
      <c r="AS476" s="325"/>
      <c r="AT476" s="325"/>
      <c r="AU476" s="325"/>
      <c r="AV476" s="325"/>
      <c r="AW476" s="325"/>
      <c r="AX476" s="325"/>
      <c r="AY476" s="325"/>
      <c r="AZ476" s="325"/>
      <c r="BA476" s="325"/>
      <c r="BB476" s="325"/>
      <c r="BC476" s="325"/>
      <c r="BD476" s="325"/>
      <c r="BE476" s="325"/>
      <c r="BF476" s="325"/>
      <c r="BG476" s="325"/>
      <c r="BH476" s="325"/>
      <c r="BI476" s="325"/>
      <c r="BJ476" s="325"/>
      <c r="BK476" s="325"/>
      <c r="BL476" s="325"/>
      <c r="BM476" s="325"/>
      <c r="BN476" s="325"/>
      <c r="BO476" s="325"/>
      <c r="BP476" s="325"/>
      <c r="BQ476" s="325"/>
      <c r="BR476" s="325"/>
      <c r="BS476" s="325"/>
      <c r="BT476" s="325"/>
      <c r="BU476" s="325"/>
      <c r="BV476" s="325"/>
      <c r="BW476" s="325"/>
      <c r="BX476" s="325"/>
      <c r="BY476" s="325"/>
      <c r="BZ476" s="325"/>
      <c r="CA476" s="325"/>
      <c r="CB476" s="325"/>
      <c r="CC476" s="325"/>
      <c r="CD476" s="325"/>
      <c r="CE476" s="325"/>
      <c r="CF476" s="325"/>
      <c r="CG476" s="33" t="b">
        <f>CG474</f>
        <v>0</v>
      </c>
    </row>
    <row r="477" spans="1:85" ht="12.75" customHeight="1" thickBot="1" x14ac:dyDescent="0.3">
      <c r="A477" s="318"/>
      <c r="B477" s="22"/>
      <c r="C477" s="319"/>
      <c r="D477" s="320"/>
      <c r="E477" s="321"/>
      <c r="F477" s="319"/>
      <c r="G477" s="322"/>
      <c r="H477" s="322"/>
      <c r="I477" s="322"/>
      <c r="J477" s="322"/>
      <c r="K477" s="322"/>
      <c r="L477" s="322"/>
      <c r="M477" s="322"/>
      <c r="N477" s="322"/>
      <c r="O477" s="323"/>
      <c r="P477" s="301"/>
      <c r="Q477" s="23"/>
      <c r="R477" s="23"/>
      <c r="S477" s="41"/>
      <c r="T477" s="41"/>
      <c r="U477" s="324"/>
      <c r="V477" s="41"/>
      <c r="W477" s="41"/>
      <c r="X477" s="324"/>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41"/>
      <c r="BM477" s="325"/>
      <c r="BN477" s="325"/>
      <c r="BO477" s="325"/>
      <c r="BP477" s="325"/>
      <c r="BQ477" s="325"/>
      <c r="BR477" s="325"/>
      <c r="BS477" s="325"/>
      <c r="BT477" s="325"/>
      <c r="BU477" s="41"/>
      <c r="BV477" s="41"/>
      <c r="BW477" s="41"/>
      <c r="BX477" s="41"/>
      <c r="BY477" s="41"/>
      <c r="BZ477" s="41"/>
      <c r="CA477" s="41"/>
      <c r="CB477" s="41"/>
      <c r="CC477" s="41"/>
      <c r="CD477" s="41"/>
      <c r="CE477" s="41"/>
      <c r="CF477" s="41"/>
      <c r="CG477" s="41"/>
    </row>
    <row r="478" spans="1:85" ht="12.75" customHeight="1" thickBot="1" x14ac:dyDescent="0.3">
      <c r="A478" s="326"/>
      <c r="B478" s="22"/>
      <c r="C478" s="22"/>
      <c r="D478" s="327"/>
      <c r="E478" s="328"/>
      <c r="F478" s="22"/>
      <c r="G478" s="1"/>
      <c r="H478" s="1"/>
      <c r="I478" s="1"/>
      <c r="J478" s="1"/>
      <c r="K478" s="22"/>
      <c r="L478" s="1"/>
      <c r="M478" s="1"/>
      <c r="N478" s="1"/>
      <c r="O478" s="323"/>
      <c r="P478" s="301"/>
      <c r="Q478" s="23"/>
      <c r="R478" s="23"/>
      <c r="S478" s="2"/>
      <c r="T478" s="20" t="str">
        <f>IF(ISBLANK(E479),"",MATCH(E479,CNTR_SourceStreamNames,0))</f>
        <v/>
      </c>
      <c r="U478" s="329" t="str">
        <f>IF(ISBLANK(E479),"",INDEX('B_Polttoainevirtojen tiedot'!$D$67:$D$91,MATCH(E479,CNTR_SourceStreamNames,0)))</f>
        <v/>
      </c>
      <c r="V478" s="60"/>
      <c r="W478" s="37"/>
      <c r="X478" s="37"/>
      <c r="Y478" s="37"/>
      <c r="Z478" s="41"/>
      <c r="AA478" s="41"/>
      <c r="AB478" s="41"/>
      <c r="AC478" s="41"/>
      <c r="AD478" s="41"/>
      <c r="AE478" s="41"/>
      <c r="AF478" s="41"/>
      <c r="AG478" s="41"/>
      <c r="AH478" s="41"/>
      <c r="AI478" s="41"/>
      <c r="AJ478" s="41"/>
      <c r="AK478" s="23"/>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37"/>
      <c r="BK478" s="37"/>
      <c r="BL478" s="37"/>
      <c r="BM478" s="37"/>
      <c r="BN478" s="37"/>
      <c r="BO478" s="37"/>
      <c r="BP478" s="37"/>
      <c r="BQ478" s="37"/>
      <c r="BR478" s="37"/>
      <c r="BS478" s="37"/>
      <c r="BT478" s="37"/>
      <c r="BU478" s="37"/>
      <c r="BV478" s="37"/>
      <c r="BW478" s="37"/>
      <c r="BX478" s="37"/>
      <c r="BY478" s="37"/>
      <c r="BZ478" s="37"/>
      <c r="CA478" s="37"/>
      <c r="CB478" s="37"/>
      <c r="CC478" s="37"/>
      <c r="CD478" s="37"/>
      <c r="CE478" s="37"/>
      <c r="CF478" s="37"/>
      <c r="CG478" s="330" t="s">
        <v>94</v>
      </c>
    </row>
    <row r="479" spans="1:85" ht="15" customHeight="1" thickBot="1" x14ac:dyDescent="0.3">
      <c r="A479" s="331">
        <f>C479</f>
        <v>19</v>
      </c>
      <c r="B479" s="21"/>
      <c r="C479" s="332">
        <f>C455+1</f>
        <v>19</v>
      </c>
      <c r="D479" s="21"/>
      <c r="E479" s="1117"/>
      <c r="F479" s="1118"/>
      <c r="G479" s="1118"/>
      <c r="H479" s="1118"/>
      <c r="I479" s="1118"/>
      <c r="J479" s="1119"/>
      <c r="K479" s="1138" t="str">
        <f>IF(INDEX('B_Polttoainevirtojen tiedot'!$K$100:$K$124,MATCH(U478,'B_Polttoainevirtojen tiedot'!$D$100:$D$124,0))&gt;0,INDEX('B_Polttoainevirtojen tiedot'!$K$100:$K$124,MATCH(U478,'B_Polttoainevirtojen tiedot'!$D$100:$D$124,0)),"")</f>
        <v/>
      </c>
      <c r="L479" s="1139"/>
      <c r="M479" s="328" t="str">
        <f>Translations!$B$374</f>
        <v>CO2 fossiilinen:</v>
      </c>
      <c r="N479" s="401" t="str">
        <f>IF(E480="","",BG485)</f>
        <v/>
      </c>
      <c r="O479" s="333" t="str">
        <f>EUconst_tCO2</f>
        <v>tCO2</v>
      </c>
      <c r="P479" s="610" t="str">
        <f>IF(AND(E479&lt;&gt;"",COUNTIF(P480:$P$811,"PRINT")=0),"PRINT","")</f>
        <v/>
      </c>
      <c r="Q479" s="335" t="str">
        <f>EUconst_SumCO2</f>
        <v>SUM_CO2</v>
      </c>
      <c r="R479" s="23"/>
      <c r="S479" s="2"/>
      <c r="T479" s="2"/>
      <c r="U479" s="2"/>
      <c r="V479" s="60"/>
      <c r="W479" s="37"/>
      <c r="X479" s="41"/>
      <c r="Y479" s="41"/>
      <c r="Z479" s="41"/>
      <c r="AA479" s="41"/>
      <c r="AB479" s="41"/>
      <c r="AC479" s="41"/>
      <c r="AD479" s="41"/>
      <c r="AE479" s="41"/>
      <c r="AF479" s="41"/>
      <c r="AG479" s="41"/>
      <c r="AH479" s="41"/>
      <c r="AI479" s="337"/>
      <c r="AJ479" s="337"/>
      <c r="AK479" s="337"/>
      <c r="AL479" s="337"/>
      <c r="AM479" s="337"/>
      <c r="AN479" s="337"/>
      <c r="AO479" s="337"/>
      <c r="AP479" s="337"/>
      <c r="AQ479" s="337"/>
      <c r="AR479" s="337"/>
      <c r="AS479" s="337"/>
      <c r="AT479" s="337"/>
      <c r="AU479" s="337"/>
      <c r="AV479" s="337"/>
      <c r="AW479" s="337"/>
      <c r="AX479" s="337"/>
      <c r="AY479" s="337"/>
      <c r="AZ479" s="337"/>
      <c r="BA479" s="337"/>
      <c r="BB479" s="337"/>
      <c r="BC479" s="337"/>
      <c r="BD479" s="337"/>
      <c r="BE479" s="337"/>
      <c r="BF479" s="337"/>
      <c r="BG479" s="337"/>
      <c r="BH479" s="337"/>
      <c r="BI479" s="483" t="str">
        <f>IF(E479="","",E479)</f>
        <v/>
      </c>
      <c r="BJ479" s="338" t="str">
        <f>IF(F485="","",F485)</f>
        <v/>
      </c>
      <c r="BK479" s="485">
        <f>AV485</f>
        <v>0</v>
      </c>
      <c r="BL479" s="485">
        <f>IF(BK479="","",BK479*(1-BP479))</f>
        <v>0</v>
      </c>
      <c r="BM479" s="338" t="str">
        <f>AJ485</f>
        <v/>
      </c>
      <c r="BN479" s="338" t="str">
        <f>IF(F492="","",F492)</f>
        <v/>
      </c>
      <c r="BO479" s="483" t="str">
        <f>IF(G492="","",G492)</f>
        <v/>
      </c>
      <c r="BP479" s="484">
        <f>AV492</f>
        <v>0</v>
      </c>
      <c r="BQ479" s="338" t="str">
        <f>IF(F488="","",F488)</f>
        <v/>
      </c>
      <c r="BR479" s="484">
        <f>AV488</f>
        <v>0</v>
      </c>
      <c r="BS479" s="484" t="str">
        <f>AJ488</f>
        <v/>
      </c>
      <c r="BT479" s="338" t="str">
        <f>IF(F487="","",F487)</f>
        <v/>
      </c>
      <c r="BU479" s="484">
        <f>IF(F487=EUconst_NA,"",AV487)</f>
        <v>0</v>
      </c>
      <c r="BV479" s="484" t="str">
        <f>AJ487</f>
        <v/>
      </c>
      <c r="BW479" s="338" t="str">
        <f>IF(F489="","",F489)</f>
        <v/>
      </c>
      <c r="BX479" s="484">
        <f>AV489</f>
        <v>0</v>
      </c>
      <c r="BY479" s="338" t="str">
        <f>IF(F490="","",F490)</f>
        <v/>
      </c>
      <c r="BZ479" s="484">
        <f>AV490</f>
        <v>0</v>
      </c>
      <c r="CA479" s="485" t="str">
        <f>N479</f>
        <v/>
      </c>
      <c r="CB479" s="485" t="str">
        <f>N480</f>
        <v/>
      </c>
      <c r="CC479" s="485" t="str">
        <f>R482</f>
        <v/>
      </c>
      <c r="CD479" s="485" t="str">
        <f>R484</f>
        <v/>
      </c>
      <c r="CE479" s="485" t="str">
        <f>R485</f>
        <v/>
      </c>
      <c r="CF479" s="37"/>
      <c r="CG479" s="339" t="b">
        <v>0</v>
      </c>
    </row>
    <row r="480" spans="1:85" ht="15" customHeight="1" thickBot="1" x14ac:dyDescent="0.3">
      <c r="A480" s="318"/>
      <c r="B480" s="21"/>
      <c r="C480" s="21"/>
      <c r="D480" s="21"/>
      <c r="E480" s="1127" t="str">
        <f>IF(ISBLANK(E479),"",IF(INDEX('B_Polttoainevirtojen tiedot'!$E$67:$E$91,MATCH(U478,'B_Polttoainevirtojen tiedot'!$D$67:$D$91,0))&gt;0,INDEX('B_Polttoainevirtojen tiedot'!$E$67:$E$91,MATCH(U478,'B_Polttoainevirtojen tiedot'!$D$67:$D$91,0)),""))</f>
        <v/>
      </c>
      <c r="F480" s="1128"/>
      <c r="G480" s="1128"/>
      <c r="H480" s="1128"/>
      <c r="I480" s="1128"/>
      <c r="J480" s="1129"/>
      <c r="K480" s="1138" t="str">
        <f>IF(INDEX('B_Polttoainevirtojen tiedot'!$M$100:$M$124,MATCH(U478,'B_Polttoainevirtojen tiedot'!$D$100:$D$124,0))&gt;0,INDEX('B_Polttoainevirtojen tiedot'!$M$100:$M$124,MATCH(U478,'B_Polttoainevirtojen tiedot'!$D$100:$D$124,0)),"")</f>
        <v/>
      </c>
      <c r="L480" s="1139"/>
      <c r="M480" s="340" t="str">
        <f>Translations!$B$375</f>
        <v>CO2 bio:</v>
      </c>
      <c r="N480" s="482" t="str">
        <f>IF(E480="","",BG487)</f>
        <v/>
      </c>
      <c r="O480" s="341" t="str">
        <f>EUconst_tCO2</f>
        <v>tCO2</v>
      </c>
      <c r="P480" s="301"/>
      <c r="Q480" s="335" t="str">
        <f>EUconst_SumBioCO2</f>
        <v>SUM_bioCO2</v>
      </c>
      <c r="R480" s="23"/>
      <c r="S480" s="2"/>
      <c r="T480" s="2"/>
      <c r="U480" s="2"/>
      <c r="V480" s="60"/>
      <c r="W480" s="37"/>
      <c r="X480" s="41"/>
      <c r="Y480" s="20" t="str">
        <f>Translations!$B$143</f>
        <v>Määrittämistasot</v>
      </c>
      <c r="Z480" s="325"/>
      <c r="AA480" s="325"/>
      <c r="AB480" s="325"/>
      <c r="AC480" s="325"/>
      <c r="AD480" s="325"/>
      <c r="AE480" s="20" t="s">
        <v>95</v>
      </c>
      <c r="AF480" s="41"/>
      <c r="AG480" s="342"/>
      <c r="AH480" s="325"/>
      <c r="AI480" s="325"/>
      <c r="AJ480" s="342"/>
      <c r="AK480" s="342"/>
      <c r="AL480" s="337"/>
      <c r="AM480" s="337"/>
      <c r="AN480" s="337"/>
      <c r="AO480" s="337"/>
      <c r="AP480" s="337"/>
      <c r="AQ480" s="20" t="s">
        <v>96</v>
      </c>
      <c r="AR480" s="343"/>
      <c r="AS480" s="343"/>
      <c r="AT480" s="325"/>
      <c r="AU480" s="325"/>
      <c r="AV480" s="325"/>
      <c r="AW480" s="325"/>
      <c r="AX480" s="325"/>
      <c r="AY480" s="325"/>
      <c r="AZ480" s="20" t="s">
        <v>97</v>
      </c>
      <c r="BA480" s="325"/>
      <c r="BB480" s="325"/>
      <c r="BC480" s="325"/>
      <c r="BD480" s="325"/>
      <c r="BE480" s="325"/>
      <c r="BF480" s="20" t="s">
        <v>98</v>
      </c>
      <c r="BG480" s="325"/>
      <c r="BH480" s="325"/>
      <c r="BI480" s="20" t="s">
        <v>99</v>
      </c>
      <c r="BJ480" s="338" t="str">
        <f>Translations!$B$376</f>
        <v>RFA-määrittämistaso</v>
      </c>
      <c r="BK480" s="338" t="str">
        <f>Translations!$B$377</f>
        <v>RFA</v>
      </c>
      <c r="BL480" s="338" t="str">
        <f>Translations!$B$378</f>
        <v>RFA (SF:n jälkeen)</v>
      </c>
      <c r="BM480" s="338" t="str">
        <f>Translations!$B$379</f>
        <v>RFA-yksikkö</v>
      </c>
      <c r="BN480" s="338" t="str">
        <f>Translations!$B$380</f>
        <v>SF-määrittämistaso</v>
      </c>
      <c r="BO480" s="338" t="str">
        <f>Translations!$B$380</f>
        <v>SF-määrittämistaso</v>
      </c>
      <c r="BP480" s="338" t="str">
        <f>Translations!$B$381</f>
        <v>SF</v>
      </c>
      <c r="BQ480" s="338" t="str">
        <f>Translations!$B$382</f>
        <v>EF-määrittämistaso</v>
      </c>
      <c r="BR480" s="338" t="str">
        <f>Translations!$B$383</f>
        <v>EF</v>
      </c>
      <c r="BS480" s="338" t="str">
        <f>Translations!$B$384</f>
        <v>EF-yksikkö</v>
      </c>
      <c r="BT480" s="338" t="str">
        <f>Translations!$B$385</f>
        <v>UCF-määrittämistaso</v>
      </c>
      <c r="BU480" s="338" t="str">
        <f>Translations!$B$386</f>
        <v>UCF</v>
      </c>
      <c r="BV480" s="338" t="str">
        <f>Translations!$B$387</f>
        <v>UCF-yksikkö</v>
      </c>
      <c r="BW480" s="338" t="str">
        <f>Translations!$B$388</f>
        <v>Bio-määrittämistaso</v>
      </c>
      <c r="BX480" s="338" t="s">
        <v>100</v>
      </c>
      <c r="BY480" s="338" t="str">
        <f>Translations!$B$389</f>
        <v>NonSustBio-määrittämistaso</v>
      </c>
      <c r="BZ480" s="338" t="s">
        <v>101</v>
      </c>
      <c r="CA480" s="338" t="str">
        <f>Translations!$B$390</f>
        <v>CO2 fossil</v>
      </c>
      <c r="CB480" s="338" t="str">
        <f>Translations!$B$391</f>
        <v>CO2 bio</v>
      </c>
      <c r="CC480" s="338" t="str">
        <f>Translations!$B$392</f>
        <v>CO2 non-sust</v>
      </c>
      <c r="CD480" s="338" t="s">
        <v>102</v>
      </c>
      <c r="CE480" s="338" t="s">
        <v>103</v>
      </c>
      <c r="CF480" s="325"/>
      <c r="CG480" s="325"/>
    </row>
    <row r="481" spans="1:85" ht="5.15" customHeight="1" thickBot="1" x14ac:dyDescent="0.3">
      <c r="A481" s="318"/>
      <c r="B481" s="21"/>
      <c r="C481" s="21"/>
      <c r="D481" s="21"/>
      <c r="E481" s="21"/>
      <c r="F481" s="21"/>
      <c r="G481" s="21"/>
      <c r="H481" s="22"/>
      <c r="I481" s="22"/>
      <c r="J481" s="22"/>
      <c r="K481" s="22"/>
      <c r="L481" s="22"/>
      <c r="M481" s="22"/>
      <c r="N481" s="22"/>
      <c r="O481" s="323"/>
      <c r="P481" s="301"/>
      <c r="Q481" s="23"/>
      <c r="R481" s="23"/>
      <c r="S481" s="2"/>
      <c r="T481" s="2"/>
      <c r="U481" s="2"/>
      <c r="V481" s="60"/>
      <c r="W481" s="325"/>
      <c r="X481" s="325"/>
      <c r="Y481" s="23"/>
      <c r="Z481" s="325"/>
      <c r="AA481" s="325"/>
      <c r="AB481" s="325"/>
      <c r="AC481" s="325"/>
      <c r="AD481" s="325"/>
      <c r="AE481" s="325"/>
      <c r="AF481" s="41"/>
      <c r="AG481" s="325"/>
      <c r="AH481" s="325"/>
      <c r="AI481" s="325"/>
      <c r="AJ481" s="342"/>
      <c r="AK481" s="342"/>
      <c r="AL481" s="337"/>
      <c r="AM481" s="337"/>
      <c r="AN481" s="337"/>
      <c r="AO481" s="337"/>
      <c r="AP481" s="337"/>
      <c r="AQ481" s="325"/>
      <c r="AR481" s="325"/>
      <c r="AS481" s="325"/>
      <c r="AT481" s="325"/>
      <c r="AU481" s="325"/>
      <c r="AV481" s="325"/>
      <c r="AW481" s="325"/>
      <c r="AX481" s="325"/>
      <c r="AY481" s="325"/>
      <c r="AZ481" s="325"/>
      <c r="BA481" s="325"/>
      <c r="BB481" s="325"/>
      <c r="BC481" s="325"/>
      <c r="BD481" s="325"/>
      <c r="BE481" s="325"/>
      <c r="BF481" s="325"/>
      <c r="BG481" s="325"/>
      <c r="BH481" s="325"/>
      <c r="BI481" s="325"/>
      <c r="BJ481" s="325"/>
      <c r="BK481" s="325"/>
      <c r="BL481" s="325"/>
      <c r="BM481" s="325"/>
      <c r="BN481" s="325"/>
      <c r="BO481" s="325"/>
      <c r="BP481" s="325"/>
      <c r="BQ481" s="325"/>
      <c r="BR481" s="325"/>
      <c r="BS481" s="325"/>
      <c r="BT481" s="325"/>
      <c r="BU481" s="325"/>
      <c r="BV481" s="325"/>
      <c r="BW481" s="325"/>
      <c r="BX481" s="325"/>
      <c r="BY481" s="325"/>
      <c r="BZ481" s="325"/>
      <c r="CA481" s="325"/>
      <c r="CB481" s="325"/>
      <c r="CC481" s="325"/>
      <c r="CD481" s="325"/>
      <c r="CE481" s="325"/>
      <c r="CF481" s="325"/>
      <c r="CG481" s="325"/>
    </row>
    <row r="482" spans="1:85" ht="12.75" customHeight="1" thickBot="1" x14ac:dyDescent="0.3">
      <c r="A482" s="318"/>
      <c r="B482" s="21"/>
      <c r="C482" s="21"/>
      <c r="D482" s="21"/>
      <c r="E482" s="1140" t="str">
        <f>IF(E479="","",HYPERLINK("#JUMP_E_Top",EUconst_FurtherGuidancePoint1))</f>
        <v/>
      </c>
      <c r="F482" s="1140"/>
      <c r="G482" s="1140"/>
      <c r="H482" s="1140"/>
      <c r="I482" s="1140"/>
      <c r="J482" s="1140"/>
      <c r="K482" s="1140"/>
      <c r="L482" s="1140"/>
      <c r="M482" s="1140"/>
      <c r="N482" s="22"/>
      <c r="O482" s="323"/>
      <c r="P482" s="301"/>
      <c r="Q482" s="335" t="str">
        <f>EUconst_SumNonSustBioCO2</f>
        <v>SUM_bioNonSustCO2</v>
      </c>
      <c r="R482" s="500" t="str">
        <f>IF(E480="","",BG488)</f>
        <v/>
      </c>
      <c r="S482" s="2"/>
      <c r="T482" s="2"/>
      <c r="U482" s="2"/>
      <c r="V482" s="325"/>
      <c r="W482" s="325"/>
      <c r="X482" s="325"/>
      <c r="Y482" s="41"/>
      <c r="Z482" s="325"/>
      <c r="AA482" s="325"/>
      <c r="AB482" s="325"/>
      <c r="AC482" s="325"/>
      <c r="AD482" s="325"/>
      <c r="AE482" s="325"/>
      <c r="AF482" s="41"/>
      <c r="AG482" s="325"/>
      <c r="AH482" s="325"/>
      <c r="AI482" s="325"/>
      <c r="AJ482" s="342"/>
      <c r="AK482" s="342"/>
      <c r="AL482" s="337"/>
      <c r="AM482" s="337"/>
      <c r="AN482" s="337"/>
      <c r="AO482" s="337"/>
      <c r="AP482" s="337"/>
      <c r="AQ482" s="325"/>
      <c r="AR482" s="325"/>
      <c r="AS482" s="325"/>
      <c r="AT482" s="325"/>
      <c r="AU482" s="325"/>
      <c r="AV482" s="325"/>
      <c r="AW482" s="325"/>
      <c r="AX482" s="325"/>
      <c r="AY482" s="325"/>
      <c r="AZ482" s="325"/>
      <c r="BA482" s="325"/>
      <c r="BB482" s="325"/>
      <c r="BC482" s="325"/>
      <c r="BD482" s="325"/>
      <c r="BE482" s="325"/>
      <c r="BF482" s="325"/>
      <c r="BG482" s="325"/>
      <c r="BH482" s="325"/>
      <c r="BI482" s="20" t="s">
        <v>104</v>
      </c>
      <c r="BJ482" s="343"/>
      <c r="BK482" s="483" t="str">
        <f>IF(G496="","",G496)</f>
        <v/>
      </c>
      <c r="BL482" s="483" t="str">
        <f>IF(I496="","",I496)</f>
        <v/>
      </c>
      <c r="BM482" s="483" t="str">
        <f>IF(K496="","",K496)</f>
        <v/>
      </c>
      <c r="BN482" s="325"/>
      <c r="BO482" s="325"/>
      <c r="BP482" s="325"/>
      <c r="BQ482" s="325"/>
      <c r="BR482" s="325"/>
      <c r="BS482" s="325"/>
      <c r="BT482" s="330"/>
      <c r="BU482" s="325"/>
      <c r="BV482" s="325"/>
      <c r="BW482" s="325"/>
      <c r="BX482" s="325"/>
      <c r="BY482" s="325"/>
      <c r="BZ482" s="325"/>
      <c r="CA482" s="325"/>
      <c r="CB482" s="325"/>
      <c r="CC482" s="325"/>
      <c r="CD482" s="325"/>
      <c r="CE482" s="325"/>
      <c r="CF482" s="325"/>
      <c r="CG482" s="325"/>
    </row>
    <row r="483" spans="1:85" ht="5.15" customHeight="1" thickBot="1" x14ac:dyDescent="0.3">
      <c r="A483" s="318"/>
      <c r="B483" s="21"/>
      <c r="C483" s="21"/>
      <c r="D483" s="21"/>
      <c r="E483" s="21"/>
      <c r="F483" s="21"/>
      <c r="G483" s="21"/>
      <c r="H483" s="22"/>
      <c r="I483" s="22"/>
      <c r="J483" s="22"/>
      <c r="K483" s="22"/>
      <c r="L483" s="22"/>
      <c r="M483" s="22"/>
      <c r="N483" s="22"/>
      <c r="O483" s="323"/>
      <c r="P483" s="259"/>
      <c r="Q483" s="2"/>
      <c r="R483" s="259"/>
      <c r="S483" s="2"/>
      <c r="T483" s="2"/>
      <c r="U483" s="2"/>
      <c r="V483" s="325"/>
      <c r="W483" s="325"/>
      <c r="X483" s="325"/>
      <c r="Y483" s="23"/>
      <c r="Z483" s="325"/>
      <c r="AA483" s="325"/>
      <c r="AB483" s="325"/>
      <c r="AC483" s="325"/>
      <c r="AD483" s="325"/>
      <c r="AE483" s="325"/>
      <c r="AF483" s="41"/>
      <c r="AG483" s="325"/>
      <c r="AH483" s="325"/>
      <c r="AI483" s="325"/>
      <c r="AJ483" s="342"/>
      <c r="AK483" s="342"/>
      <c r="AL483" s="337"/>
      <c r="AM483" s="337"/>
      <c r="AN483" s="337"/>
      <c r="AO483" s="337"/>
      <c r="AP483" s="337"/>
      <c r="AQ483" s="325"/>
      <c r="AR483" s="325"/>
      <c r="AS483" s="325"/>
      <c r="AT483" s="325"/>
      <c r="AU483" s="325"/>
      <c r="AV483" s="325"/>
      <c r="AW483" s="325"/>
      <c r="AX483" s="325"/>
      <c r="AY483" s="325"/>
      <c r="AZ483" s="325"/>
      <c r="BA483" s="325"/>
      <c r="BB483" s="325"/>
      <c r="BC483" s="325"/>
      <c r="BD483" s="325"/>
      <c r="BE483" s="325"/>
      <c r="BF483" s="325"/>
      <c r="BG483" s="325"/>
      <c r="BH483" s="325"/>
      <c r="BI483" s="325"/>
      <c r="BJ483" s="325"/>
      <c r="BK483" s="325"/>
      <c r="BL483" s="325"/>
      <c r="BM483" s="325"/>
      <c r="BN483" s="325"/>
      <c r="BO483" s="325"/>
      <c r="BP483" s="325"/>
      <c r="BQ483" s="325"/>
      <c r="BR483" s="325"/>
      <c r="BS483" s="325"/>
      <c r="BT483" s="325"/>
      <c r="BU483" s="325"/>
      <c r="BV483" s="325"/>
      <c r="BW483" s="325"/>
      <c r="BX483" s="325"/>
      <c r="BY483" s="325"/>
      <c r="BZ483" s="325"/>
      <c r="CA483" s="325"/>
      <c r="CB483" s="325"/>
      <c r="CC483" s="325"/>
      <c r="CD483" s="325"/>
      <c r="CE483" s="325"/>
      <c r="CF483" s="325"/>
      <c r="CG483" s="325"/>
    </row>
    <row r="484" spans="1:85" ht="12.75" customHeight="1" thickBot="1" x14ac:dyDescent="0.3">
      <c r="A484" s="318"/>
      <c r="B484" s="21"/>
      <c r="C484" s="21"/>
      <c r="D484" s="21"/>
      <c r="E484" s="21"/>
      <c r="F484" s="347" t="str">
        <f>Translations!$B$127</f>
        <v>Määrittämistaso</v>
      </c>
      <c r="G484" s="1141" t="str">
        <f>Translations!$B$393</f>
        <v>määrittämistason kuvaus</v>
      </c>
      <c r="H484" s="1141"/>
      <c r="I484" s="1142" t="str">
        <f>Translations!$B$394</f>
        <v>Yksikkö</v>
      </c>
      <c r="J484" s="1142"/>
      <c r="K484" s="1142" t="str">
        <f>Translations!$B$395</f>
        <v>Arvo</v>
      </c>
      <c r="L484" s="1142"/>
      <c r="M484" s="327" t="str">
        <f>Translations!$B$396</f>
        <v>virhe</v>
      </c>
      <c r="N484" s="22"/>
      <c r="O484" s="323"/>
      <c r="P484" s="611"/>
      <c r="Q484" s="335" t="str">
        <f>EUconst_SumEnergyIN</f>
        <v>SUM_EnergyIN</v>
      </c>
      <c r="R484" s="501" t="str">
        <f>IF(E480="","",BG489)</f>
        <v/>
      </c>
      <c r="S484" s="325"/>
      <c r="T484" s="325"/>
      <c r="U484" s="325"/>
      <c r="V484" s="336" t="s">
        <v>105</v>
      </c>
      <c r="W484" s="325"/>
      <c r="X484" s="325"/>
      <c r="Y484" s="23" t="s">
        <v>106</v>
      </c>
      <c r="Z484" s="23" t="s">
        <v>107</v>
      </c>
      <c r="AA484" s="325"/>
      <c r="AB484" s="325"/>
      <c r="AC484" s="343" t="s">
        <v>108</v>
      </c>
      <c r="AD484" s="325"/>
      <c r="AE484" s="325"/>
      <c r="AF484" s="325" t="s">
        <v>109</v>
      </c>
      <c r="AG484" s="325" t="s">
        <v>110</v>
      </c>
      <c r="AH484" s="23" t="s">
        <v>111</v>
      </c>
      <c r="AI484" s="342" t="s">
        <v>112</v>
      </c>
      <c r="AJ484" s="342" t="s">
        <v>113</v>
      </c>
      <c r="AK484" s="348" t="s">
        <v>114</v>
      </c>
      <c r="AL484" s="337"/>
      <c r="AM484" s="337"/>
      <c r="AN484" s="337"/>
      <c r="AO484" s="337"/>
      <c r="AP484" s="337"/>
      <c r="AQ484" s="325"/>
      <c r="AR484" s="325" t="s">
        <v>109</v>
      </c>
      <c r="AS484" s="325" t="s">
        <v>110</v>
      </c>
      <c r="AT484" s="349" t="s">
        <v>115</v>
      </c>
      <c r="AU484" s="342" t="s">
        <v>116</v>
      </c>
      <c r="AV484" s="342" t="s">
        <v>117</v>
      </c>
      <c r="AW484" s="348" t="s">
        <v>114</v>
      </c>
      <c r="AX484" s="348" t="s">
        <v>114</v>
      </c>
      <c r="AY484" s="325"/>
      <c r="AZ484" s="325"/>
      <c r="BA484" s="325"/>
      <c r="BB484" s="325" t="s">
        <v>118</v>
      </c>
      <c r="BC484" s="325"/>
      <c r="BD484" s="325"/>
      <c r="BE484" s="325"/>
      <c r="BF484" s="325"/>
      <c r="BG484" s="330" t="str">
        <f>EUconst_Fuel</f>
        <v>Poltto</v>
      </c>
      <c r="BH484" s="325"/>
      <c r="BI484" s="325"/>
      <c r="BJ484" s="325"/>
      <c r="BK484" s="325"/>
      <c r="BL484" s="325"/>
      <c r="BM484" s="325"/>
      <c r="BN484" s="325"/>
      <c r="BO484" s="325"/>
      <c r="BP484" s="325"/>
      <c r="BQ484" s="325"/>
      <c r="BR484" s="325"/>
      <c r="BS484" s="325"/>
      <c r="BT484" s="325"/>
      <c r="BU484" s="325"/>
      <c r="BV484" s="325"/>
      <c r="BW484" s="325"/>
      <c r="BX484" s="325"/>
      <c r="BY484" s="325"/>
      <c r="BZ484" s="325"/>
      <c r="CA484" s="325"/>
      <c r="CB484" s="325"/>
      <c r="CC484" s="325"/>
      <c r="CD484" s="325"/>
      <c r="CE484" s="325"/>
      <c r="CF484" s="325"/>
      <c r="CG484" s="330" t="s">
        <v>94</v>
      </c>
    </row>
    <row r="485" spans="1:85" ht="12.75" customHeight="1" thickBot="1" x14ac:dyDescent="0.3">
      <c r="A485" s="318"/>
      <c r="B485" s="21"/>
      <c r="C485" s="344"/>
      <c r="D485" s="345" t="str">
        <f>Translations!$B$356</f>
        <v>Polttoaineen määrä:</v>
      </c>
      <c r="E485" s="350"/>
      <c r="F485" s="351"/>
      <c r="G485" s="1120" t="str">
        <f>IF(OR(ISBLANK(F485),F485=EUconst_NoTier),"",IF(Z485=0,EUconst_NA,IF(ISERROR(Z485),"",Z485)))</f>
        <v/>
      </c>
      <c r="H485" s="1122"/>
      <c r="I485" s="352" t="str">
        <f>IF(J485&lt;&gt;"","",AI485)</f>
        <v/>
      </c>
      <c r="J485" s="353"/>
      <c r="K485" s="1143"/>
      <c r="L485" s="1144"/>
      <c r="M485" s="486" t="str">
        <f>IF(AND(E480&lt;&gt;"",OR(F485="",COUNT(K485)=0),Y485&lt;&gt;EUconst_NA),EUconst_ERR_Incomplete,"")</f>
        <v/>
      </c>
      <c r="N485" s="22"/>
      <c r="O485" s="323"/>
      <c r="P485" s="612"/>
      <c r="Q485" s="335" t="str">
        <f>EUconst_SumBioEnergyIN</f>
        <v>SUM_BioEnergyIN</v>
      </c>
      <c r="R485" s="501" t="str">
        <f>IF(E480="","",BG490)</f>
        <v/>
      </c>
      <c r="S485" s="325"/>
      <c r="T485" s="355" t="str">
        <f>EUconst_CNTR_ActivityData&amp;E480</f>
        <v>ActivityData_</v>
      </c>
      <c r="U485" s="23"/>
      <c r="V485" s="355" t="str">
        <f>IF(E479="","",INDEX('B_Polttoainevirtojen tiedot'!$I$67:$I$91,MATCH(U478,'B_Polttoainevirtojen tiedot'!$D$67:$D$91,0)))</f>
        <v/>
      </c>
      <c r="W485" s="342" t="s">
        <v>121</v>
      </c>
      <c r="X485" s="23"/>
      <c r="Y485" s="356" t="str">
        <f>IF(E480="","",INDEX(EUwideConstants!$P$153:$P$180,MATCH(T485,EUwideConstants!$S$153:$S$180,0)))</f>
        <v/>
      </c>
      <c r="Z485" s="357" t="str">
        <f>IF(ISBLANK(F485),"",IF(F485=EUconst_NA,"",INDEX(EUwideConstants!$H:$O,MATCH(T485,EUwideConstants!$S:$S,0),MATCH(F485,CNTR_TierList,0))))</f>
        <v/>
      </c>
      <c r="AA485" s="358" t="s">
        <v>111</v>
      </c>
      <c r="AB485" s="342"/>
      <c r="AC485" s="339" t="b">
        <f>E479&lt;&gt;""</f>
        <v>0</v>
      </c>
      <c r="AD485" s="325"/>
      <c r="AE485" s="359" t="str">
        <f>EUconst_CNTR_ActivityData&amp;EUconst_Unit</f>
        <v>ActivityData_Yksikkö</v>
      </c>
      <c r="AF485" s="360" t="str">
        <f>IF(AC485=TRUE, IF(COUNTIF(MSPara_SourceStreamCategory,V485)=0,"",INDEX(MSPara_CalcFactorsMatrix,MATCH(V485,MSPara_SourceStreamCategory,0),MATCH(AE485&amp;"_"&amp;2,MSPara_CalcFactors,0))),"")</f>
        <v/>
      </c>
      <c r="AG485" s="361" t="str">
        <f>IF(AC485=TRUE, IF(COUNTIF(MSPara_SourceStreamCategory,V485)=0,"",INDEX(MSPara_CalcFactorsMatrix,MATCH(V485,MSPara_SourceStreamCategory,0),MATCH(AE485&amp;"_"&amp;1,MSPara_CalcFactors,0))),"")</f>
        <v/>
      </c>
      <c r="AH485" s="339" t="str">
        <f>IF(OR(AF485="",AF485=EUconst_NA),IF(OR(AG485=EUconst_NA,AG485=""),"",AG485),AF485)</f>
        <v/>
      </c>
      <c r="AI485" s="356" t="str">
        <f>IF(AC485=TRUE,IF(AH485="",EUconst_t,AH485),"")</f>
        <v/>
      </c>
      <c r="AJ485" s="362" t="str">
        <f>IF(J485="",AI485,J485)</f>
        <v/>
      </c>
      <c r="AK485" s="363" t="b">
        <f>AND(E479&lt;&gt;"",J485&lt;&gt;"")</f>
        <v>0</v>
      </c>
      <c r="AL485" s="337"/>
      <c r="AM485" s="404" t="s">
        <v>122</v>
      </c>
      <c r="AN485" s="403" t="str">
        <f>AJ485</f>
        <v/>
      </c>
      <c r="AO485" s="337"/>
      <c r="AP485" s="337"/>
      <c r="AQ485" s="355" t="str">
        <f>EUconst_CNTR_ActivityData&amp;EUconst_Value</f>
        <v>ActivityData_Arvo</v>
      </c>
      <c r="AR485" s="343"/>
      <c r="AS485" s="343"/>
      <c r="AT485" s="339" t="b">
        <f>AND(AND(AH485&lt;&gt;"",AJ485&lt;&gt;""),AJ485=AH485)</f>
        <v>0</v>
      </c>
      <c r="AU485" s="325"/>
      <c r="AV485" s="339">
        <f>IF(Y485=EUconst_NA,0,IF(COUNT(K485:K485)=0,0,IF(K485="",#REF!,K485)))</f>
        <v>0</v>
      </c>
      <c r="AW485" s="346" t="b">
        <f>AND(AC485=TRUE,OR(K485&lt;&gt;"",AU485=""))</f>
        <v>0</v>
      </c>
      <c r="AX485" s="346" t="b">
        <f>AND(AC485=TRUE,NOT(AW485))</f>
        <v>0</v>
      </c>
      <c r="AY485" s="325"/>
      <c r="AZ485" s="325" t="s">
        <v>123</v>
      </c>
      <c r="BA485" s="325" t="s">
        <v>124</v>
      </c>
      <c r="BB485" s="346"/>
      <c r="BC485" s="325" t="s">
        <v>125</v>
      </c>
      <c r="BD485" s="325"/>
      <c r="BE485" s="325"/>
      <c r="BF485" s="400" t="str">
        <f>Translations!$B$390</f>
        <v>CO2 fossil</v>
      </c>
      <c r="BG485" s="495" t="str">
        <f>IF(COUNTIF(AO488:AO489,TRUE)=0,"",AV485*IF(AO488,1,AV487*AN489)*AV488*(1-AV489)*AV492)</f>
        <v/>
      </c>
      <c r="BH485" s="325"/>
      <c r="BI485" s="325"/>
      <c r="BJ485" s="325"/>
      <c r="BK485" s="325"/>
      <c r="BL485" s="325"/>
      <c r="BM485" s="325"/>
      <c r="BN485" s="325"/>
      <c r="BO485" s="325"/>
      <c r="BP485" s="325"/>
      <c r="BQ485" s="325"/>
      <c r="BR485" s="325"/>
      <c r="BS485" s="325"/>
      <c r="BT485" s="325"/>
      <c r="BU485" s="325"/>
      <c r="BV485" s="325"/>
      <c r="BW485" s="325"/>
      <c r="BX485" s="325"/>
      <c r="BY485" s="325"/>
      <c r="BZ485" s="325"/>
      <c r="CA485" s="325"/>
      <c r="CB485" s="325"/>
      <c r="CC485" s="325"/>
      <c r="CD485" s="325"/>
      <c r="CE485" s="325"/>
      <c r="CF485" s="325"/>
      <c r="CG485" s="346" t="b">
        <v>0</v>
      </c>
    </row>
    <row r="486" spans="1:85" ht="5.15" customHeight="1" thickBot="1" x14ac:dyDescent="0.3">
      <c r="A486" s="318"/>
      <c r="B486" s="21"/>
      <c r="C486" s="344"/>
      <c r="D486" s="188"/>
      <c r="E486" s="22"/>
      <c r="F486" s="22"/>
      <c r="G486" s="22"/>
      <c r="H486" s="22" t="str">
        <f>Translations!$B$397</f>
        <v xml:space="preserve"> </v>
      </c>
      <c r="I486" s="364"/>
      <c r="J486" s="364"/>
      <c r="K486" s="22"/>
      <c r="L486" s="22"/>
      <c r="M486" s="487"/>
      <c r="N486" s="22"/>
      <c r="O486" s="323"/>
      <c r="P486" s="301"/>
      <c r="Q486" s="23"/>
      <c r="R486" s="23"/>
      <c r="S486" s="325"/>
      <c r="T486" s="277"/>
      <c r="U486" s="23"/>
      <c r="V486" s="325"/>
      <c r="W486" s="325"/>
      <c r="X486" s="23"/>
      <c r="Y486" s="330"/>
      <c r="Z486" s="325"/>
      <c r="AA486" s="325"/>
      <c r="AB486" s="325"/>
      <c r="AC486" s="325"/>
      <c r="AD486" s="325"/>
      <c r="AE486" s="325"/>
      <c r="AF486" s="325"/>
      <c r="AG486" s="325"/>
      <c r="AH486" s="325"/>
      <c r="AI486" s="325"/>
      <c r="AJ486" s="325"/>
      <c r="AK486" s="325"/>
      <c r="AL486" s="337"/>
      <c r="AM486" s="337"/>
      <c r="AN486" s="337"/>
      <c r="AO486" s="337"/>
      <c r="AP486" s="337"/>
      <c r="AQ486" s="325"/>
      <c r="AR486" s="325"/>
      <c r="AS486" s="325"/>
      <c r="AT486" s="325"/>
      <c r="AU486" s="325"/>
      <c r="AV486" s="325"/>
      <c r="AW486" s="325"/>
      <c r="AX486" s="325"/>
      <c r="AY486" s="325"/>
      <c r="AZ486" s="325"/>
      <c r="BA486" s="325"/>
      <c r="BB486" s="325"/>
      <c r="BC486" s="325"/>
      <c r="BD486" s="325"/>
      <c r="BE486" s="325"/>
      <c r="BF486" s="325"/>
      <c r="BG486" s="496"/>
      <c r="BH486" s="325"/>
      <c r="BI486" s="325"/>
      <c r="BJ486" s="325"/>
      <c r="BK486" s="325"/>
      <c r="BL486" s="325"/>
      <c r="BM486" s="325"/>
      <c r="BN486" s="325"/>
      <c r="BO486" s="325"/>
      <c r="BP486" s="325"/>
      <c r="BQ486" s="325"/>
      <c r="BR486" s="325"/>
      <c r="BS486" s="325"/>
      <c r="BT486" s="325"/>
      <c r="BU486" s="325"/>
      <c r="BV486" s="325"/>
      <c r="BW486" s="325"/>
      <c r="BX486" s="325"/>
      <c r="BY486" s="325"/>
      <c r="BZ486" s="325"/>
      <c r="CA486" s="325"/>
      <c r="CB486" s="325"/>
      <c r="CC486" s="325"/>
      <c r="CD486" s="325"/>
      <c r="CE486" s="325"/>
      <c r="CF486" s="325"/>
      <c r="CG486" s="330"/>
    </row>
    <row r="487" spans="1:85" ht="12.75" customHeight="1" thickBot="1" x14ac:dyDescent="0.3">
      <c r="A487" s="318"/>
      <c r="B487" s="21"/>
      <c r="C487" s="344"/>
      <c r="D487" s="345" t="str">
        <f>Translations!$B$360</f>
        <v>Yksikön muuntokerroin:</v>
      </c>
      <c r="E487" s="350"/>
      <c r="F487" s="443"/>
      <c r="G487" s="1120" t="str">
        <f>IF(OR(ISBLANK(F487),F487=EUconst_NoTier),"",IF(Z487=0,EUconst_NotApplicable,IF(ISERROR(Z487),"",Z487)))</f>
        <v/>
      </c>
      <c r="H487" s="1122"/>
      <c r="I487" s="444" t="str">
        <f>IF(J487&lt;&gt;"","",AI487)</f>
        <v/>
      </c>
      <c r="J487" s="445"/>
      <c r="K487" s="632" t="str">
        <f>IF(L487="",AU487,"")</f>
        <v/>
      </c>
      <c r="L487" s="633"/>
      <c r="M487" s="486" t="str">
        <f>IF(AND(E480&lt;&gt;"",OR(F487="",COUNT(K487:L487)=0),Y487&lt;&gt;EUconst_NA),EUconst_ERR_Incomplete,IF(COUNTIF(BB487:BD487,TRUE)&gt;0,EUconst_ERR_Inconsistent,""))</f>
        <v/>
      </c>
      <c r="N487" s="752"/>
      <c r="O487" s="323"/>
      <c r="P487" s="301"/>
      <c r="Q487" s="23"/>
      <c r="R487" s="23"/>
      <c r="S487" s="325"/>
      <c r="T487" s="365" t="str">
        <f>EUconst_CNTR_UCF&amp;E480</f>
        <v>UCF_</v>
      </c>
      <c r="U487" s="23"/>
      <c r="V487" s="366" t="str">
        <f>V488</f>
        <v/>
      </c>
      <c r="W487" s="325"/>
      <c r="X487" s="23"/>
      <c r="Y487" s="448" t="str">
        <f>IF(E480="","",IF(OR(F487=EUconst_NA,W487=TRUE),EUconst_NA,INDEX(EUwideConstants!$P$153:$P$180,MATCH(T487,EUwideConstants!$S$153:$S$180,0))))</f>
        <v/>
      </c>
      <c r="Z487" s="471" t="str">
        <f>IF(ISBLANK(F487),"",IF(F487=EUconst_NA,"",INDEX(EUwideConstants!$H:$O,MATCH(T487,EUwideConstants!$S:$S,0),MATCH(F487,CNTR_TierList,0))))</f>
        <v/>
      </c>
      <c r="AA487" s="449" t="str">
        <f>IF(COUNTIF(EUconst_DefaultValues,Z487)&gt;0,MATCH(Z487,EUconst_DefaultValues,0),"")</f>
        <v/>
      </c>
      <c r="AB487" s="325"/>
      <c r="AC487" s="367" t="b">
        <f>AND(AC485,Y487&lt;&gt;EUconst_NA)</f>
        <v>0</v>
      </c>
      <c r="AD487" s="325"/>
      <c r="AE487" s="359" t="str">
        <f>EUconst_CNTR_UCF&amp;EUconst_Unit</f>
        <v>UCF_Yksikkö</v>
      </c>
      <c r="AF487" s="368" t="str">
        <f>IF(AC487=TRUE, IF(COUNTIF(MSPara_SourceStreamCategory,V487)=0,"",INDEX(MSPara_CalcFactorsMatrix,MATCH(V487,MSPara_SourceStreamCategory,0),MATCH(AE487&amp;"_"&amp;2,MSPara_CalcFactors,0))),"")</f>
        <v/>
      </c>
      <c r="AG487" s="372" t="str">
        <f>IF(AC487=TRUE, IF(COUNTIF(MSPara_SourceStreamCategory,V487)=0,"",INDEX(MSPara_CalcFactorsMatrix,MATCH(V487,MSPara_SourceStreamCategory,0),MATCH(AE487&amp;"_"&amp;1,MSPara_CalcFactors,0))),"")</f>
        <v/>
      </c>
      <c r="AH487" s="367" t="str">
        <f>IF(AA487="","",INDEX(AF487:AG487,3-AA487))</f>
        <v/>
      </c>
      <c r="AI487" s="367" t="str">
        <f>IF(AC487=TRUE,IF(OR(AH487="",AH487=EUconst_NA),EUconst_GJ&amp;"/"&amp;AJ485,AH487),"")</f>
        <v/>
      </c>
      <c r="AJ487" s="367" t="str">
        <f>IF(J487="",AI487,J487)</f>
        <v/>
      </c>
      <c r="AK487" s="366" t="b">
        <f>AND(E479&lt;&gt;"",J487&lt;&gt;"")</f>
        <v>0</v>
      </c>
      <c r="AL487" s="337"/>
      <c r="AM487" s="404" t="s">
        <v>127</v>
      </c>
      <c r="AN487" s="403" t="str">
        <f>IF(AJ487="",EUconst_NA,IF(AN485=EUconst_TJ,EUconst_TJ,INDEX(EUwideConstants!$C$124:$G$128,MATCH(AN485,RFAUnits,0),MATCH(AJ487,UCFUnits,0))))</f>
        <v>ei sovellettavissa</v>
      </c>
      <c r="AO487" s="337"/>
      <c r="AP487" s="337"/>
      <c r="AQ487" s="454" t="str">
        <f>EUconst_CNTR_UCF&amp;EUconst_Value</f>
        <v>UCF_Arvo</v>
      </c>
      <c r="AR487" s="475" t="str">
        <f>IF(AC487=TRUE,IF(COUNTIF(MSPara_SourceStreamCategory,V487)=0,"",INDEX(MSPara_CalcFactorsMatrix,MATCH(V487,MSPara_SourceStreamCategory,0),MATCH(AQ487&amp;"_"&amp;2,MSPara_CalcFactors,0))),"")</f>
        <v/>
      </c>
      <c r="AS487" s="371" t="str">
        <f>IF(AC487=TRUE,IF(COUNTIF(MSPara_SourceStreamCategory,V487)=0,"",INDEX(MSPara_CalcFactorsMatrix,MATCH(V487,MSPara_SourceStreamCategory,0),MATCH(AQ487&amp;"_"&amp;1,MSPara_CalcFactors,0))),"")</f>
        <v/>
      </c>
      <c r="AT487" s="369" t="b">
        <f>AND(AND(AH487&lt;&gt;"",AJ487&lt;&gt;""),AJ487=AH487)</f>
        <v>0</v>
      </c>
      <c r="AU487" s="381" t="str">
        <f>IF(AND(AA487&lt;&gt;"",AT487=TRUE),IF(OR(INDEX(AR487:AS487,3-AA487)=EUconst_NA,INDEX(AR487:AS487,3-AA487)=0),"",INDEX(AR487:AS487,3-AA487)),"")</f>
        <v/>
      </c>
      <c r="AV487" s="367">
        <f>IF(AC487=TRUE,IF(COUNT(K487:L487)=0,0,IF(L487="",K487,L487)),0)</f>
        <v>0</v>
      </c>
      <c r="AW487" s="366" t="b">
        <f>AND(AC487=TRUE,OR(AND(F487&lt;&gt;"",NOT(ISNUMBER(AA487))),L487&lt;&gt;"",F487="",AU487=""))</f>
        <v>0</v>
      </c>
      <c r="AX487" s="370" t="b">
        <f>AND(AC487=TRUE,NOT(AW487))</f>
        <v>0</v>
      </c>
      <c r="AY487" s="325"/>
      <c r="AZ487" s="373" t="b">
        <f>AND(ISNUMBER(AA487),AU487="")</f>
        <v>0</v>
      </c>
      <c r="BA487" s="399" t="b">
        <f>AND(ISNUMBER(AA487),AU487&lt;&gt;AV487)</f>
        <v>0</v>
      </c>
      <c r="BB487" s="366" t="b">
        <f>AND(E480&lt;&gt;"",F487&lt;&gt;EUconst_NA,AN487=EUconst_NA)</f>
        <v>0</v>
      </c>
      <c r="BC487" s="366" t="b">
        <f>AND(L487&lt;&gt;"",Y487=EUconst_NA)</f>
        <v>0</v>
      </c>
      <c r="BD487" s="325"/>
      <c r="BE487" s="325"/>
      <c r="BF487" s="373" t="s">
        <v>128</v>
      </c>
      <c r="BG487" s="497" t="str">
        <f>IF(COUNTIF(AO488:AO489,TRUE)=0,"",AV485*IF(AO488,1,AV487*AN489)*AV488*AV489*AV492)</f>
        <v/>
      </c>
      <c r="BH487" s="325"/>
      <c r="BI487" s="325"/>
      <c r="BJ487" s="325"/>
      <c r="BK487" s="325"/>
      <c r="BL487" s="325"/>
      <c r="BM487" s="325"/>
      <c r="BN487" s="325"/>
      <c r="BO487" s="325"/>
      <c r="BP487" s="325"/>
      <c r="BQ487" s="325"/>
      <c r="BR487" s="325"/>
      <c r="BS487" s="325"/>
      <c r="BT487" s="325"/>
      <c r="BU487" s="325"/>
      <c r="BV487" s="325"/>
      <c r="BW487" s="325"/>
      <c r="BX487" s="325"/>
      <c r="BY487" s="325"/>
      <c r="BZ487" s="325"/>
      <c r="CA487" s="325"/>
      <c r="CB487" s="325"/>
      <c r="CC487" s="325"/>
      <c r="CD487" s="325"/>
      <c r="CE487" s="325"/>
      <c r="CF487" s="325"/>
      <c r="CG487" s="375" t="b">
        <f>OR(CG485,Y487=EUconst_NA)</f>
        <v>0</v>
      </c>
    </row>
    <row r="488" spans="1:85" ht="12.75" customHeight="1" thickBot="1" x14ac:dyDescent="0.3">
      <c r="A488" s="318"/>
      <c r="B488" s="21"/>
      <c r="C488" s="344"/>
      <c r="D488" s="345" t="str">
        <f>Translations!$B$358</f>
        <v>Päästökerroin (alustava):</v>
      </c>
      <c r="E488" s="350"/>
      <c r="F488" s="624"/>
      <c r="G488" s="1120" t="str">
        <f>IF(OR(ISBLANK(F488),F488=EUconst_NoTier),"",IF(Z488=0,EUconst_NotApplicable,IF(ISERROR(Z488),"",Z488)))</f>
        <v/>
      </c>
      <c r="H488" s="1121"/>
      <c r="I488" s="625" t="str">
        <f>IF(J488&lt;&gt;"","",AI488)</f>
        <v/>
      </c>
      <c r="J488" s="631"/>
      <c r="K488" s="634" t="str">
        <f>IF(L488="",AU488,"")</f>
        <v/>
      </c>
      <c r="L488" s="754"/>
      <c r="M488" s="486" t="str">
        <f>IF(AND(E480&lt;&gt;"",OR(F488="",COUNT(K488:L488)=0),Y488&lt;&gt;EUconst_NA),EUconst_ERR_Incomplete,IF(COUNTIF(BB488:BD488,TRUE)&gt;0,EUconst_ERR_Inconsistent,""))</f>
        <v/>
      </c>
      <c r="N488" s="753"/>
      <c r="O488" s="323"/>
      <c r="P488" s="301"/>
      <c r="Q488" s="23"/>
      <c r="R488" s="23"/>
      <c r="S488" s="325"/>
      <c r="T488" s="374" t="str">
        <f>EUconst_CNTR_EF&amp;E480</f>
        <v>EF_</v>
      </c>
      <c r="U488" s="23"/>
      <c r="V488" s="375" t="str">
        <f>V485</f>
        <v/>
      </c>
      <c r="W488" s="325"/>
      <c r="X488" s="23"/>
      <c r="Y488" s="450" t="str">
        <f>IF(E480="","",IF(OR(F488=EUconst_NA,W488=TRUE),EUconst_NA,INDEX(EUwideConstants!$P$153:$P$180,MATCH(T488,EUwideConstants!$S$153:$S$180,0))))</f>
        <v/>
      </c>
      <c r="Z488" s="472" t="str">
        <f>IF(ISBLANK(F488),"",IF(F488=EUconst_NA,"",INDEX(EUwideConstants!$H:$O,MATCH(T488,EUwideConstants!$S:$S,0),MATCH(F488,CNTR_TierList,0))))</f>
        <v/>
      </c>
      <c r="AA488" s="451" t="str">
        <f>IF(COUNTIF(EUconst_DefaultValues,Z488)&gt;0,MATCH(Z488,EUconst_DefaultValues,0),"")</f>
        <v/>
      </c>
      <c r="AB488" s="325"/>
      <c r="AC488" s="376" t="b">
        <f>AND(AC485,Y488&lt;&gt;EUconst_NA)</f>
        <v>0</v>
      </c>
      <c r="AD488" s="325"/>
      <c r="AE488" s="377" t="str">
        <f>EUconst_CNTR_EF&amp;EUconst_Unit</f>
        <v>EF_Yksikkö</v>
      </c>
      <c r="AF488" s="378" t="str">
        <f>IF(AC488=TRUE, IF(COUNTIF(MSPara_SourceStreamCategory,V488)=0,"",INDEX(MSPara_CalcFactorsMatrix,MATCH(V488,MSPara_SourceStreamCategory,0),MATCH(AE488&amp;"_"&amp;2,MSPara_CalcFactors,0))),"")</f>
        <v/>
      </c>
      <c r="AG488" s="464" t="str">
        <f>IF(AC488=TRUE, IF(COUNTIF(MSPara_SourceStreamCategory,V488)=0,"",INDEX(MSPara_CalcFactorsMatrix,MATCH(V488,MSPara_SourceStreamCategory,0),MATCH(AE488&amp;"_"&amp;1,MSPara_CalcFactors,0))),"")</f>
        <v/>
      </c>
      <c r="AH488" s="376" t="str">
        <f>IF(AA488="","",INDEX(AF488:AG488,3-AA488))</f>
        <v/>
      </c>
      <c r="AI488" s="376" t="str">
        <f>IF(AC488=TRUE,IF(OR(AH488="",AH488=EUconst_NA),EUconst_tCO2&amp;"/"&amp;IF(AN487=EUconst_NA,AN485,IF(AN487=EUconst_GJ,EUconst_TJ,AN487)),AH488),"")</f>
        <v/>
      </c>
      <c r="AJ488" s="376" t="str">
        <f>IF(J488="",AI488,J488)</f>
        <v/>
      </c>
      <c r="AK488" s="375" t="b">
        <f>AND(E480&lt;&gt;"",J488&lt;&gt;"")</f>
        <v>0</v>
      </c>
      <c r="AL488" s="337"/>
      <c r="AM488" s="404" t="s">
        <v>130</v>
      </c>
      <c r="AN488" s="403" t="str">
        <f>IF(COUNTIF(RFAUnits,AN485)=0,EUconst_NA,INDEX(EUwideConstants!$C$139:$H$143,MATCH(AJ488,EFUnits,0),MATCH(AN485,EUwideConstants!$C$138:$H$138,0)))</f>
        <v>ei sovellettavissa</v>
      </c>
      <c r="AO488" s="403" t="b">
        <f>AN488&lt;&gt;EUconst_NA</f>
        <v>0</v>
      </c>
      <c r="AP488" s="337"/>
      <c r="AQ488" s="455" t="str">
        <f>EUconst_CNTR_EF&amp;EUconst_Value</f>
        <v>EF_Arvo</v>
      </c>
      <c r="AR488" s="476" t="str">
        <f>IF(AC488=TRUE,IF(COUNTIF(MSPara_SourceStreamCategory,V488)=0,"",INDEX(MSPara_CalcFactorsMatrix,MATCH(V488,MSPara_SourceStreamCategory,0),MATCH(AQ488&amp;"_"&amp;2,MSPara_CalcFactors,0))),"")</f>
        <v/>
      </c>
      <c r="AS488" s="383" t="str">
        <f>IF(AC488=TRUE,IF(COUNTIF(MSPara_SourceStreamCategory,V488)=0,"",INDEX(MSPara_CalcFactorsMatrix,MATCH(V488,MSPara_SourceStreamCategory,0),MATCH(AQ488&amp;"_"&amp;1,MSPara_CalcFactors,0))),"")</f>
        <v/>
      </c>
      <c r="AT488" s="456" t="b">
        <f>AND(AND(AH488&lt;&gt;"",AJ488&lt;&gt;""),AJ488=AH488)</f>
        <v>0</v>
      </c>
      <c r="AU488" s="334" t="str">
        <f>IF(AND(AA488&lt;&gt;"",AT488=TRUE),IF(OR(INDEX(AR488:AS488,3-AA488)=EUconst_NA,INDEX(AR488:AS488,3-AA488)=0),"",INDEX(AR488:AS488,3-AA488)),"")</f>
        <v/>
      </c>
      <c r="AV488" s="376">
        <f>IF(AC488=TRUE,IF(COUNT(K488:L488)=0,0,IF(L488="",K488,L488)),0)</f>
        <v>0</v>
      </c>
      <c r="AW488" s="375" t="b">
        <f>AND(AC488=TRUE,OR(AND(F488&lt;&gt;"",NOT(ISNUMBER(AA488))),L488&lt;&gt;"",F488="",AU488=""))</f>
        <v>0</v>
      </c>
      <c r="AX488" s="457" t="b">
        <f>AND(AC488=TRUE,NOT(AW488))</f>
        <v>0</v>
      </c>
      <c r="AY488" s="325"/>
      <c r="AZ488" s="379" t="b">
        <f>AND(ISNUMBER(AA488),AU488="")</f>
        <v>0</v>
      </c>
      <c r="BA488" s="380" t="b">
        <f>AND(ISNUMBER(AA488),AU488&lt;&gt;AV488)</f>
        <v>0</v>
      </c>
      <c r="BB488" s="382" t="b">
        <f>AND(E480&lt;&gt;"",COUNTIF(AO488:AO489,TRUE)=0)</f>
        <v>0</v>
      </c>
      <c r="BC488" s="375" t="b">
        <f>AND(L488&lt;&gt;"",Y488=EUconst_NA)</f>
        <v>0</v>
      </c>
      <c r="BD488" s="325"/>
      <c r="BE488" s="325"/>
      <c r="BF488" s="379" t="s">
        <v>131</v>
      </c>
      <c r="BG488" s="498" t="str">
        <f>IF(COUNTIF(AO488:AO489,TRUE)=0,"",AV485*IF(AO488,1,AV487*AN489)*AV488*AV490*AV492)</f>
        <v/>
      </c>
      <c r="BH488" s="325"/>
      <c r="BI488" s="325"/>
      <c r="BJ488" s="325"/>
      <c r="BK488" s="325"/>
      <c r="BL488" s="325"/>
      <c r="BM488" s="325"/>
      <c r="BN488" s="325"/>
      <c r="BO488" s="325"/>
      <c r="BP488" s="325"/>
      <c r="BQ488" s="325"/>
      <c r="BR488" s="325"/>
      <c r="BS488" s="325"/>
      <c r="BT488" s="325"/>
      <c r="BU488" s="325"/>
      <c r="BV488" s="325"/>
      <c r="BW488" s="325"/>
      <c r="BX488" s="325"/>
      <c r="BY488" s="325"/>
      <c r="BZ488" s="325"/>
      <c r="CA488" s="325"/>
      <c r="CB488" s="325"/>
      <c r="CC488" s="325"/>
      <c r="CD488" s="325"/>
      <c r="CE488" s="325"/>
      <c r="CF488" s="325"/>
      <c r="CG488" s="366" t="b">
        <f>OR(CG485,Y488=EUconst_NA)</f>
        <v>0</v>
      </c>
    </row>
    <row r="489" spans="1:85" ht="12.75" customHeight="1" x14ac:dyDescent="0.25">
      <c r="A489" s="318"/>
      <c r="B489" s="21"/>
      <c r="C489" s="344"/>
      <c r="D489" s="345" t="str">
        <f>Translations!$B$362</f>
        <v>Biomassaosuus:</v>
      </c>
      <c r="E489" s="350"/>
      <c r="F489" s="624"/>
      <c r="G489" s="1120" t="str">
        <f>IF(OR(ISBLANK(F489),F489=EUconst_NoTier),"",IF(Z489=0,EUconst_NotApplicable,IF(ISERROR(Z489),"",Z489)))</f>
        <v/>
      </c>
      <c r="H489" s="1122"/>
      <c r="I489" s="626" t="str">
        <f>IF(OR(AC489=FALSE,Y489=EUconst_NA),"","-")</f>
        <v/>
      </c>
      <c r="J489" s="446"/>
      <c r="K489" s="635" t="str">
        <f>IF(L489="",AU489,"")</f>
        <v/>
      </c>
      <c r="L489" s="627"/>
      <c r="M489" s="486" t="str">
        <f>IF(AND(E480&lt;&gt;"",OR(F489="",COUNT(K489:L489)=0),Y489&lt;&gt;EUconst_NA),EUconst_ERR_Incomplete,IF(COUNTIF(BB489:BD489,TRUE)&gt;0,EUconst_ERR_Inconsistent,""))</f>
        <v/>
      </c>
      <c r="O489" s="323"/>
      <c r="P489" s="612"/>
      <c r="Q489" s="354"/>
      <c r="R489" s="354"/>
      <c r="S489" s="325"/>
      <c r="T489" s="374" t="str">
        <f>EUconst_CNTR_BiomassContent&amp;E480</f>
        <v>BioC_</v>
      </c>
      <c r="U489" s="23"/>
      <c r="V489" s="375" t="str">
        <f>V487</f>
        <v/>
      </c>
      <c r="W489" s="366" t="e">
        <f>IF(COUNTIF(MSPara_SourceStreamCategory,V489)=0,"",INDEX(MSPara_IsFossil,MATCH(V489,MSPara_SourceStreamCategory,0)))</f>
        <v>#N/A</v>
      </c>
      <c r="X489" s="23"/>
      <c r="Y489" s="450" t="str">
        <f>IF(E480="","",IF(OR(F489=EUconst_NA,W489=TRUE),EUconst_NA,INDEX(EUwideConstants!$P$153:$P$180,MATCH(T489,EUwideConstants!$S$153:$S$180,0))))</f>
        <v/>
      </c>
      <c r="Z489" s="472" t="str">
        <f>IF(ISBLANK(F489),"",IF(F489=EUconst_NA,"",INDEX(EUwideConstants!$H:$O,MATCH(T489,EUwideConstants!$S:$S,0),MATCH(F489,CNTR_TierList,0))))</f>
        <v/>
      </c>
      <c r="AA489" s="681" t="str">
        <f>IF(F489=1,1,"")</f>
        <v/>
      </c>
      <c r="AB489" s="325"/>
      <c r="AC489" s="376" t="b">
        <f>AND(AC485,Y489&lt;&gt;EUconst_NA)</f>
        <v>0</v>
      </c>
      <c r="AD489" s="325"/>
      <c r="AE489" s="462"/>
      <c r="AF489" s="460"/>
      <c r="AG489" s="465"/>
      <c r="AH489" s="467"/>
      <c r="AI489" s="467"/>
      <c r="AJ489" s="467"/>
      <c r="AK489" s="469"/>
      <c r="AL489" s="337"/>
      <c r="AM489" s="404" t="s">
        <v>132</v>
      </c>
      <c r="AN489" s="403" t="str">
        <f>IF(AN487=EUconst_NA,EUconst_NA,INDEX(EUwideConstants!$C$139:$H$143,MATCH(AJ488,EFUnits,0),MATCH(AN487,EUwideConstants!$C$138:$H$138,0)))</f>
        <v>ei sovellettavissa</v>
      </c>
      <c r="AO489" s="403" t="b">
        <f>AN489&lt;&gt;EUconst_NA</f>
        <v>0</v>
      </c>
      <c r="AP489" s="337"/>
      <c r="AQ489" s="455" t="str">
        <f>EUconst_CNTR_BiomassContent&amp;EUconst_Value</f>
        <v>BioC_Arvo</v>
      </c>
      <c r="AR489" s="462"/>
      <c r="AS489" s="383" t="str">
        <f>IF(AC489=TRUE,IF(COUNTIF(MSPara_SourceStreamCategory,V489)=0,"",INDEX(MSPara_CalcFactorsMatrix,MATCH(V489,MSPara_SourceStreamCategory,0),MATCH(AQ489&amp;"_"&amp;2,MSPara_CalcFactors,0))),"")</f>
        <v/>
      </c>
      <c r="AT489" s="458"/>
      <c r="AU489" s="334" t="str">
        <f>IF(OR(AA489="",AS489=EUconst_NA),"",AS489)</f>
        <v/>
      </c>
      <c r="AV489" s="376">
        <f>IF(AC489=TRUE,IF(COUNT(K489:L489)=0,0,IF(L489="",K489,L489)),0)</f>
        <v>0</v>
      </c>
      <c r="AW489" s="375" t="b">
        <f>AND(AC489=TRUE,OR(AND(F489&lt;&gt;"",NOT(ISNUMBER(AA489))),L489&lt;&gt;"",F489="",AU489=""))</f>
        <v>0</v>
      </c>
      <c r="AX489" s="457" t="b">
        <f>AND(AC489=TRUE,NOT(AW489))</f>
        <v>0</v>
      </c>
      <c r="AY489" s="325"/>
      <c r="AZ489" s="379" t="b">
        <f>AND(ISNUMBER(AA489),AU489="")</f>
        <v>0</v>
      </c>
      <c r="BA489" s="380" t="b">
        <f>AND(ISNUMBER(AA489),AU489&lt;&gt;AV489)</f>
        <v>0</v>
      </c>
      <c r="BB489" s="325"/>
      <c r="BC489" s="375" t="b">
        <f>AND(L489&lt;&gt;"",Y489=EUconst_NA)</f>
        <v>0</v>
      </c>
      <c r="BD489" s="366" t="b">
        <f>OR(AV489&gt;100%,(AV489+AV490)&gt;100%)</f>
        <v>0</v>
      </c>
      <c r="BE489" s="325"/>
      <c r="BF489" s="379" t="s">
        <v>133</v>
      </c>
      <c r="BG489" s="498" t="str">
        <f>IF(AN485=EUconst_TJ,AV485*(1-AV489),IF(AN487=EUconst_GJ,AV485*AV487/1000*(1-AV489),""))</f>
        <v/>
      </c>
      <c r="BH489" s="325"/>
      <c r="BI489" s="325"/>
      <c r="BJ489" s="325"/>
      <c r="BK489" s="325"/>
      <c r="BL489" s="325"/>
      <c r="BM489" s="325"/>
      <c r="BN489" s="325"/>
      <c r="BO489" s="325"/>
      <c r="BP489" s="325"/>
      <c r="BQ489" s="325"/>
      <c r="BR489" s="325"/>
      <c r="BS489" s="325"/>
      <c r="BT489" s="325"/>
      <c r="BU489" s="325"/>
      <c r="BV489" s="325"/>
      <c r="BW489" s="325"/>
      <c r="BX489" s="325"/>
      <c r="BY489" s="325"/>
      <c r="BZ489" s="325"/>
      <c r="CA489" s="325"/>
      <c r="CB489" s="325"/>
      <c r="CC489" s="325"/>
      <c r="CD489" s="325"/>
      <c r="CE489" s="325"/>
      <c r="CF489" s="325"/>
      <c r="CG489" s="375" t="b">
        <f>OR(CG485,Y489=EUconst_NA)</f>
        <v>0</v>
      </c>
    </row>
    <row r="490" spans="1:85" ht="12.75" customHeight="1" thickBot="1" x14ac:dyDescent="0.3">
      <c r="A490" s="318"/>
      <c r="B490" s="21"/>
      <c r="C490" s="344"/>
      <c r="D490" s="345" t="str">
        <f>Translations!$B$368</f>
        <v>Ei kestävä biomassaosuus:</v>
      </c>
      <c r="E490" s="350"/>
      <c r="F490" s="628"/>
      <c r="G490" s="1120" t="str">
        <f>IF(OR(ISBLANK(F490),F490=EUconst_NoTier),"",IF(Z490=0,EUconst_NotApplicable,IF(ISERROR(Z490),"",Z490)))</f>
        <v/>
      </c>
      <c r="H490" s="1122"/>
      <c r="I490" s="629" t="str">
        <f>IF(OR(AC490=FALSE,Y490=EUconst_NA),"","-")</f>
        <v/>
      </c>
      <c r="J490" s="447"/>
      <c r="K490" s="636" t="str">
        <f>IF(L490="",AU490,"")</f>
        <v/>
      </c>
      <c r="L490" s="630"/>
      <c r="M490" s="486" t="str">
        <f>IF(AND(E480&lt;&gt;"",OR(F490="",COUNT(K490:L490)=0),Y490&lt;&gt;EUconst_NA),EUconst_ERR_Incomplete,IF(COUNTIF(BB490:BD490,TRUE)&gt;0,EUconst_ERR_Inconsistent,""))</f>
        <v/>
      </c>
      <c r="N490" s="22"/>
      <c r="O490" s="323"/>
      <c r="P490" s="612"/>
      <c r="Q490" s="354"/>
      <c r="R490" s="354"/>
      <c r="S490" s="325"/>
      <c r="T490" s="384" t="str">
        <f>EUconst_CNTR_BiomassContent&amp;E480</f>
        <v>BioC_</v>
      </c>
      <c r="U490" s="23"/>
      <c r="V490" s="382" t="str">
        <f>V489</f>
        <v/>
      </c>
      <c r="W490" s="382" t="e">
        <f>IF(COUNTIF(MSPara_SourceStreamCategory,V490)=0,"",INDEX(MSPara_IsFossil,MATCH(V490,MSPara_SourceStreamCategory,0)))</f>
        <v>#N/A</v>
      </c>
      <c r="X490" s="23"/>
      <c r="Y490" s="452" t="str">
        <f>IF(E480="","",IF(OR(F490=EUconst_NA,W490=TRUE),EUconst_NA,INDEX(EUwideConstants!$P$153:$P$180,MATCH(T490,EUwideConstants!$S$153:$S$180,0))))</f>
        <v/>
      </c>
      <c r="Z490" s="473" t="str">
        <f>IF(ISBLANK(F490),"",IF(F490=EUconst_NA,"",INDEX(EUwideConstants!$H:$O,MATCH(T490,EUwideConstants!$S:$S,0),MATCH(F490,CNTR_TierList,0))))</f>
        <v/>
      </c>
      <c r="AA490" s="682" t="str">
        <f>IF(F490=1,1,"")</f>
        <v/>
      </c>
      <c r="AB490" s="325"/>
      <c r="AC490" s="453" t="b">
        <f>AND(AC485,Y490&lt;&gt;EUconst_NA)</f>
        <v>0</v>
      </c>
      <c r="AD490" s="325"/>
      <c r="AE490" s="463"/>
      <c r="AF490" s="461"/>
      <c r="AG490" s="466"/>
      <c r="AH490" s="468"/>
      <c r="AI490" s="468"/>
      <c r="AJ490" s="468"/>
      <c r="AK490" s="470"/>
      <c r="AL490" s="337"/>
      <c r="AM490" s="337"/>
      <c r="AN490" s="337"/>
      <c r="AO490" s="337"/>
      <c r="AP490" s="337"/>
      <c r="AQ490" s="474" t="str">
        <f>EUconst_CNTR_BiomassContent&amp;EUconst_Value</f>
        <v>BioC_Arvo</v>
      </c>
      <c r="AR490" s="463"/>
      <c r="AS490" s="385" t="str">
        <f>IF(AC490=TRUE,IF(COUNTIF(MSPara_SourceStreamCategory,V490)=0,"",INDEX(MSPara_CalcFactorsMatrix,MATCH(V490,MSPara_SourceStreamCategory,0),MATCH(AQ490&amp;"_"&amp;2,MSPara_CalcFactors,0))),"")</f>
        <v/>
      </c>
      <c r="AT490" s="459"/>
      <c r="AU490" s="477" t="str">
        <f>IF(OR(AA490="",AS490=EUconst_NA),"",AS490)</f>
        <v/>
      </c>
      <c r="AV490" s="453">
        <f>IF(AC490=TRUE,IF(COUNT(K490:L490)=0,0,IF(L490="",K490,L490)),0)</f>
        <v>0</v>
      </c>
      <c r="AW490" s="382" t="b">
        <f>AND(AC490=TRUE,OR(AND(F490&lt;&gt;"",NOT(ISNUMBER(AA490))),L490&lt;&gt;"",F490="",AU490=""))</f>
        <v>0</v>
      </c>
      <c r="AX490" s="478" t="b">
        <f>AND(AC490=TRUE,NOT(AW490))</f>
        <v>0</v>
      </c>
      <c r="AY490" s="325"/>
      <c r="AZ490" s="386" t="b">
        <f>AND(ISNUMBER(AA490),AU490="")</f>
        <v>0</v>
      </c>
      <c r="BA490" s="387" t="b">
        <f>AND(ISNUMBER(AA490),AU490&lt;&gt;AV490)</f>
        <v>0</v>
      </c>
      <c r="BB490" s="325"/>
      <c r="BC490" s="382" t="b">
        <f>AND(L490&lt;&gt;"",Y490=EUconst_NA)</f>
        <v>0</v>
      </c>
      <c r="BD490" s="382" t="b">
        <f>OR(AV489&gt;100%,(AV489+AV490)&gt;100%)</f>
        <v>0</v>
      </c>
      <c r="BE490" s="325"/>
      <c r="BF490" s="386" t="s">
        <v>134</v>
      </c>
      <c r="BG490" s="499" t="str">
        <f>IF(AN485=EUconst_TJ,AV485*AV489,IF(AN487=EUconst_GJ,AV485*AV487/1000*AV489,""))</f>
        <v/>
      </c>
      <c r="BH490" s="325"/>
      <c r="BI490" s="325"/>
      <c r="BJ490" s="325"/>
      <c r="BK490" s="325"/>
      <c r="BL490" s="325"/>
      <c r="BM490" s="325"/>
      <c r="BN490" s="325"/>
      <c r="BO490" s="325"/>
      <c r="BP490" s="325"/>
      <c r="BQ490" s="325"/>
      <c r="BR490" s="325"/>
      <c r="BS490" s="325"/>
      <c r="BT490" s="325"/>
      <c r="BU490" s="325"/>
      <c r="BV490" s="325"/>
      <c r="BW490" s="325"/>
      <c r="BX490" s="325"/>
      <c r="BY490" s="325"/>
      <c r="BZ490" s="325"/>
      <c r="CA490" s="325"/>
      <c r="CB490" s="325"/>
      <c r="CC490" s="325"/>
      <c r="CD490" s="325"/>
      <c r="CE490" s="325"/>
      <c r="CF490" s="325"/>
      <c r="CG490" s="382" t="b">
        <f>OR(CG485,Y490=EUconst_NA)</f>
        <v>0</v>
      </c>
    </row>
    <row r="491" spans="1:85" ht="5.15" customHeight="1" thickBot="1" x14ac:dyDescent="0.3">
      <c r="A491" s="318"/>
      <c r="B491" s="21"/>
      <c r="C491" s="21"/>
      <c r="D491" s="327"/>
      <c r="E491" s="22"/>
      <c r="F491" s="22"/>
      <c r="G491" s="22"/>
      <c r="H491" s="22"/>
      <c r="I491" s="22"/>
      <c r="J491" s="22"/>
      <c r="K491" s="22"/>
      <c r="L491" s="22"/>
      <c r="M491" s="488"/>
      <c r="N491" s="22"/>
      <c r="O491" s="323"/>
      <c r="P491" s="301"/>
      <c r="Q491" s="23"/>
      <c r="R491" s="23"/>
      <c r="S491" s="325"/>
      <c r="T491" s="325"/>
      <c r="U491" s="325"/>
      <c r="V491" s="325"/>
      <c r="W491" s="325"/>
      <c r="X491" s="325"/>
      <c r="Y491" s="325"/>
      <c r="Z491" s="325"/>
      <c r="AA491" s="325"/>
      <c r="AB491" s="325"/>
      <c r="AC491" s="325"/>
      <c r="AD491" s="325"/>
      <c r="AE491" s="325"/>
      <c r="AF491" s="325"/>
      <c r="AG491" s="325"/>
      <c r="AH491" s="325"/>
      <c r="AI491" s="325"/>
      <c r="AJ491" s="325"/>
      <c r="AK491" s="325"/>
      <c r="AL491" s="325"/>
      <c r="AM491" s="325"/>
      <c r="AN491" s="325"/>
      <c r="AO491" s="325"/>
      <c r="AP491" s="325"/>
      <c r="AQ491" s="325"/>
      <c r="AR491" s="325"/>
      <c r="AS491" s="325"/>
      <c r="AT491" s="325"/>
      <c r="AU491" s="325"/>
      <c r="AV491" s="325"/>
      <c r="AW491" s="325"/>
      <c r="AX491" s="325"/>
      <c r="AY491" s="325"/>
      <c r="AZ491" s="325"/>
      <c r="BA491" s="325"/>
      <c r="BB491" s="325"/>
      <c r="BC491" s="325"/>
      <c r="BD491" s="325"/>
      <c r="BE491" s="325"/>
      <c r="BF491" s="325"/>
      <c r="BG491" s="325"/>
      <c r="BH491" s="325"/>
      <c r="BI491" s="325"/>
      <c r="BJ491" s="325"/>
      <c r="BK491" s="325"/>
      <c r="BL491" s="325"/>
      <c r="BM491" s="325"/>
      <c r="BN491" s="325"/>
      <c r="BO491" s="325"/>
      <c r="BP491" s="325"/>
      <c r="BQ491" s="325"/>
      <c r="BR491" s="325"/>
      <c r="BS491" s="325"/>
      <c r="BT491" s="325"/>
      <c r="BU491" s="325"/>
      <c r="BV491" s="325"/>
      <c r="BW491" s="325"/>
      <c r="BX491" s="325"/>
      <c r="BY491" s="325"/>
      <c r="BZ491" s="325"/>
      <c r="CA491" s="325"/>
      <c r="CB491" s="325"/>
      <c r="CC491" s="325"/>
      <c r="CD491" s="325"/>
      <c r="CE491" s="325"/>
      <c r="CF491" s="325"/>
      <c r="CG491" s="325"/>
    </row>
    <row r="492" spans="1:85" ht="12.75" customHeight="1" thickBot="1" x14ac:dyDescent="0.3">
      <c r="A492" s="318"/>
      <c r="B492" s="21"/>
      <c r="C492" s="344"/>
      <c r="D492" s="345" t="str">
        <f>Translations!$B$398</f>
        <v>Soveltamisalakerroin:</v>
      </c>
      <c r="E492" s="479"/>
      <c r="F492" s="803"/>
      <c r="G492" s="1125"/>
      <c r="H492" s="1126"/>
      <c r="I492" s="492" t="s">
        <v>52</v>
      </c>
      <c r="J492" s="480"/>
      <c r="K492" s="481" t="str">
        <f>IF(L492="",AU492,"")</f>
        <v/>
      </c>
      <c r="L492" s="607"/>
      <c r="M492" s="489" t="str">
        <f>IF(AND(E480&lt;&gt;"",OR(F492="",G492="",COUNT(K492:L492)=0)),EUconst_ERR_Incomplete,IF(COUNTIF(BB492:BD492,TRUE)&gt;0,EUconst_ERR_Inconsistent,""))</f>
        <v/>
      </c>
      <c r="N492" s="22"/>
      <c r="O492" s="323"/>
      <c r="P492" s="301"/>
      <c r="Q492" s="23"/>
      <c r="R492" s="325"/>
      <c r="S492" s="10"/>
      <c r="T492" s="48" t="str">
        <f>EUconst_CNTR_ScopeFactor&amp;E480</f>
        <v>ScopeFactor_</v>
      </c>
      <c r="U492" s="248" t="str">
        <f>IF(F492="","",INDEX(ScopeAddress,MATCH(F492,ScopeTiers,0)))</f>
        <v/>
      </c>
      <c r="V492" s="382" t="str">
        <f>V485</f>
        <v/>
      </c>
      <c r="W492" s="325"/>
      <c r="X492" s="325"/>
      <c r="Y492" s="452" t="str">
        <f>IF(E480="","",IF(F492=EUconst_NA,EUconst_NA,INDEX(EUwideConstants!$P$153:$P$180,MATCH(T492,EUwideConstants!$S$153:$S$180,0))))</f>
        <v/>
      </c>
      <c r="Z492" s="473" t="str">
        <f>IF(ISBLANK(F492),"",IF(F492=EUconst_NA,"",INDEX(EUwideConstants!$H:$O,MATCH(T492,EUwideConstants!$S:$S,0),MATCH(F492,CNTR_TierList,0))))</f>
        <v/>
      </c>
      <c r="AA492" s="339" t="str">
        <f>IF(G492=EUwideConstants!$A$88,1,"")</f>
        <v/>
      </c>
      <c r="AB492" s="325"/>
      <c r="AC492" s="376" t="b">
        <f>AND(AC485,Y492&lt;&gt;EUconst_NA)</f>
        <v>0</v>
      </c>
      <c r="AD492" s="325"/>
      <c r="AE492" s="325"/>
      <c r="AF492" s="325"/>
      <c r="AG492" s="330"/>
      <c r="AH492" s="325"/>
      <c r="AI492" s="325"/>
      <c r="AJ492" s="325"/>
      <c r="AK492" s="325"/>
      <c r="AL492" s="325"/>
      <c r="AM492" s="325"/>
      <c r="AN492" s="325"/>
      <c r="AO492" s="325"/>
      <c r="AP492" s="325"/>
      <c r="AQ492" s="325"/>
      <c r="AR492" s="325"/>
      <c r="AS492" s="338">
        <v>1</v>
      </c>
      <c r="AT492" s="325"/>
      <c r="AU492" s="330" t="str">
        <f>IF(G492=EUwideConstants!$A$88,AS492,"")</f>
        <v/>
      </c>
      <c r="AV492" s="376">
        <f>IF(AC492=TRUE,IF(COUNT(K492:L492)=0,0,IF(L492="",K492,L492)),0)</f>
        <v>0</v>
      </c>
      <c r="AW492" s="375" t="b">
        <f>AND(AC492=TRUE,OR(AND(F492&lt;&gt;"",NOT(ISNUMBER(AA492))),L492&lt;&gt;"",F492="",AU492=""))</f>
        <v>0</v>
      </c>
      <c r="AX492" s="457" t="b">
        <f>AND(AC492=TRUE,NOT(AW492))</f>
        <v>0</v>
      </c>
      <c r="AY492" s="325"/>
      <c r="AZ492" s="379" t="b">
        <f>AND(ISNUMBER(AA492),AU492="")</f>
        <v>0</v>
      </c>
      <c r="BA492" s="380" t="b">
        <f>AND(ISNUMBER(AA492),AU492&lt;&gt;AV492)</f>
        <v>0</v>
      </c>
      <c r="BB492" s="325"/>
      <c r="BC492" s="33" t="b">
        <f>AND(F492&lt;&gt;"",OR(COUNTIF(INDEX(ScopeMethods,F492,),G492)=0,AND(AA492&lt;&gt;"",AU492&lt;&gt;AV492)))</f>
        <v>0</v>
      </c>
      <c r="BD492" s="325"/>
      <c r="BE492" s="325"/>
      <c r="BF492" s="325"/>
      <c r="BG492" s="325"/>
      <c r="BH492" s="325"/>
      <c r="BI492" s="325"/>
      <c r="BJ492" s="325"/>
      <c r="BK492" s="325"/>
      <c r="BL492" s="325"/>
      <c r="BM492" s="325"/>
      <c r="BN492" s="325"/>
      <c r="BO492" s="325"/>
      <c r="BP492" s="325"/>
      <c r="BQ492" s="325"/>
      <c r="BR492" s="325"/>
      <c r="BS492" s="325"/>
      <c r="BT492" s="325"/>
      <c r="BU492" s="325"/>
      <c r="BV492" s="325"/>
      <c r="BW492" s="325"/>
      <c r="BX492" s="325"/>
      <c r="BY492" s="325"/>
      <c r="BZ492" s="325"/>
      <c r="CA492" s="325"/>
      <c r="CB492" s="325"/>
      <c r="CC492" s="325"/>
      <c r="CD492" s="325"/>
      <c r="CE492" s="325"/>
      <c r="CF492" s="325"/>
      <c r="CG492" s="325"/>
    </row>
    <row r="493" spans="1:85" ht="12.75" customHeight="1" x14ac:dyDescent="0.25">
      <c r="A493" s="318"/>
      <c r="B493" s="21"/>
      <c r="C493" s="21"/>
      <c r="D493" s="21"/>
      <c r="E493" s="21"/>
      <c r="F493" s="21"/>
      <c r="G493" s="1130" t="str">
        <f>IF(G492="","",INDEX(ScopeMethodsDetails,MATCH(G492,INDEX(ScopeMethodsDetails,,1),0),2))</f>
        <v/>
      </c>
      <c r="H493" s="1131"/>
      <c r="I493" s="1131"/>
      <c r="J493" s="1131"/>
      <c r="K493" s="1131"/>
      <c r="L493" s="1131"/>
      <c r="M493" s="1132"/>
      <c r="N493" s="22"/>
      <c r="O493" s="323"/>
      <c r="P493" s="301"/>
      <c r="Q493" s="23"/>
      <c r="R493" s="23"/>
      <c r="S493" s="325"/>
      <c r="T493" s="325"/>
      <c r="U493" s="325"/>
      <c r="V493" s="325"/>
      <c r="W493" s="325"/>
      <c r="X493" s="325"/>
      <c r="Y493" s="325"/>
      <c r="Z493" s="325"/>
      <c r="AA493" s="325"/>
      <c r="AB493" s="325"/>
      <c r="AC493" s="325"/>
      <c r="AD493" s="325"/>
      <c r="AE493" s="325"/>
      <c r="AF493" s="325"/>
      <c r="AG493" s="325"/>
      <c r="AH493" s="325"/>
      <c r="AI493" s="325"/>
      <c r="AJ493" s="325"/>
      <c r="AK493" s="325"/>
      <c r="AL493" s="325"/>
      <c r="AM493" s="325"/>
      <c r="AN493" s="325"/>
      <c r="AO493" s="325"/>
      <c r="AP493" s="325"/>
      <c r="AQ493" s="325"/>
      <c r="AR493" s="325"/>
      <c r="AS493" s="325"/>
      <c r="AT493" s="325"/>
      <c r="AU493" s="325"/>
      <c r="AV493" s="325"/>
      <c r="AW493" s="325"/>
      <c r="AX493" s="325"/>
      <c r="AY493" s="325"/>
      <c r="AZ493" s="325"/>
      <c r="BA493" s="325"/>
      <c r="BB493" s="325"/>
      <c r="BC493" s="325"/>
      <c r="BD493" s="325"/>
      <c r="BE493" s="325"/>
      <c r="BF493" s="325"/>
      <c r="BG493" s="325"/>
      <c r="BH493" s="325"/>
      <c r="BI493" s="325"/>
      <c r="BJ493" s="325"/>
      <c r="BK493" s="325"/>
      <c r="BL493" s="325"/>
      <c r="BM493" s="325"/>
      <c r="BN493" s="325"/>
      <c r="BO493" s="325"/>
      <c r="BP493" s="325"/>
      <c r="BQ493" s="325"/>
      <c r="BR493" s="325"/>
      <c r="BS493" s="325"/>
      <c r="BT493" s="325"/>
      <c r="BU493" s="325"/>
      <c r="BV493" s="325"/>
      <c r="BW493" s="325"/>
      <c r="BX493" s="325"/>
      <c r="BY493" s="325"/>
      <c r="BZ493" s="325"/>
      <c r="CA493" s="325"/>
      <c r="CB493" s="325"/>
      <c r="CC493" s="325"/>
      <c r="CD493" s="325"/>
      <c r="CE493" s="325"/>
      <c r="CF493" s="325"/>
      <c r="CG493" s="325"/>
    </row>
    <row r="494" spans="1:85" ht="5.15" customHeight="1" x14ac:dyDescent="0.25">
      <c r="A494" s="318"/>
      <c r="C494" s="22"/>
      <c r="D494" s="22"/>
      <c r="E494" s="22"/>
      <c r="F494" s="22"/>
      <c r="G494" s="22"/>
      <c r="H494" s="22"/>
      <c r="I494" s="22"/>
      <c r="J494" s="22"/>
      <c r="K494" s="22"/>
      <c r="L494" s="22"/>
      <c r="O494" s="323"/>
      <c r="P494" s="301"/>
      <c r="Q494" s="23"/>
      <c r="R494" s="23"/>
      <c r="S494" s="325"/>
      <c r="T494" s="325"/>
      <c r="U494" s="325"/>
      <c r="V494" s="325"/>
      <c r="W494" s="325"/>
      <c r="X494" s="325"/>
      <c r="Y494" s="325"/>
      <c r="Z494" s="325"/>
      <c r="AA494" s="325"/>
      <c r="AB494" s="325"/>
      <c r="AC494" s="325"/>
      <c r="AD494" s="325"/>
      <c r="AE494" s="325"/>
      <c r="AF494" s="325"/>
      <c r="AG494" s="325"/>
      <c r="AH494" s="325"/>
      <c r="AI494" s="325"/>
      <c r="AJ494" s="325"/>
      <c r="AK494" s="325"/>
      <c r="AL494" s="325"/>
      <c r="AM494" s="325"/>
      <c r="AN494" s="325"/>
      <c r="AO494" s="325"/>
      <c r="AP494" s="325"/>
      <c r="AQ494" s="325"/>
      <c r="AR494" s="325"/>
      <c r="AS494" s="325"/>
      <c r="AT494" s="325"/>
      <c r="AU494" s="325"/>
      <c r="AV494" s="325"/>
      <c r="AW494" s="325"/>
      <c r="AX494" s="325"/>
      <c r="AY494" s="325"/>
      <c r="AZ494" s="325"/>
      <c r="BA494" s="325"/>
      <c r="BB494" s="325"/>
      <c r="BC494" s="325"/>
      <c r="BD494" s="325"/>
      <c r="BE494" s="325"/>
      <c r="BF494" s="325"/>
      <c r="BG494" s="325"/>
      <c r="BH494" s="325"/>
      <c r="BI494" s="325"/>
      <c r="BJ494" s="325"/>
      <c r="BK494" s="325"/>
      <c r="BL494" s="325"/>
      <c r="BM494" s="325"/>
      <c r="BN494" s="325"/>
      <c r="BO494" s="325"/>
      <c r="BP494" s="325"/>
      <c r="BQ494" s="325"/>
      <c r="BR494" s="325"/>
      <c r="BS494" s="325"/>
      <c r="BT494" s="325"/>
      <c r="BU494" s="325"/>
      <c r="BV494" s="325"/>
      <c r="BW494" s="325"/>
      <c r="BX494" s="325"/>
      <c r="BY494" s="325"/>
      <c r="BZ494" s="325"/>
      <c r="CA494" s="325"/>
      <c r="CB494" s="325"/>
      <c r="CC494" s="325"/>
      <c r="CD494" s="325"/>
      <c r="CE494" s="325"/>
      <c r="CF494" s="325"/>
      <c r="CG494" s="325"/>
    </row>
    <row r="495" spans="1:85" ht="12.75" customHeight="1" x14ac:dyDescent="0.25">
      <c r="A495" s="318"/>
      <c r="C495" s="22"/>
      <c r="D495" s="22"/>
      <c r="E495" s="22"/>
      <c r="F495" s="22"/>
      <c r="G495" s="1133">
        <v>1</v>
      </c>
      <c r="H495" s="1133"/>
      <c r="I495" s="1133">
        <v>2</v>
      </c>
      <c r="J495" s="1133"/>
      <c r="K495" s="1133">
        <v>3</v>
      </c>
      <c r="L495" s="1133"/>
      <c r="O495" s="323"/>
      <c r="P495" s="301"/>
      <c r="Q495" s="23"/>
      <c r="R495" s="23"/>
      <c r="S495" s="325"/>
      <c r="T495" s="325"/>
      <c r="U495" s="325"/>
      <c r="V495" s="325"/>
      <c r="W495" s="325"/>
      <c r="X495" s="325"/>
      <c r="Y495" s="325"/>
      <c r="Z495" s="325"/>
      <c r="AA495" s="325"/>
      <c r="AB495" s="325"/>
      <c r="AC495" s="325"/>
      <c r="AD495" s="325"/>
      <c r="AE495" s="325"/>
      <c r="AF495" s="325"/>
      <c r="AG495" s="325"/>
      <c r="AH495" s="325"/>
      <c r="AI495" s="325"/>
      <c r="AJ495" s="325"/>
      <c r="AK495" s="325"/>
      <c r="AL495" s="325"/>
      <c r="AM495" s="325"/>
      <c r="AN495" s="325"/>
      <c r="AO495" s="325"/>
      <c r="AP495" s="325"/>
      <c r="AQ495" s="325"/>
      <c r="AR495" s="325"/>
      <c r="AS495" s="325"/>
      <c r="AT495" s="325"/>
      <c r="AU495" s="325"/>
      <c r="AV495" s="325"/>
      <c r="AW495" s="325"/>
      <c r="AX495" s="325"/>
      <c r="AY495" s="325"/>
      <c r="AZ495" s="325"/>
      <c r="BA495" s="325"/>
      <c r="BB495" s="325"/>
      <c r="BC495" s="325"/>
      <c r="BD495" s="325"/>
      <c r="BE495" s="325"/>
      <c r="BF495" s="325"/>
      <c r="BG495" s="325"/>
      <c r="BH495" s="325"/>
      <c r="BI495" s="325"/>
      <c r="BJ495" s="325"/>
      <c r="BK495" s="325"/>
      <c r="BL495" s="325"/>
      <c r="BM495" s="325"/>
      <c r="BN495" s="325"/>
      <c r="BO495" s="325"/>
      <c r="BP495" s="325"/>
      <c r="BQ495" s="325"/>
      <c r="BR495" s="325"/>
      <c r="BS495" s="325"/>
      <c r="BT495" s="325"/>
      <c r="BU495" s="325"/>
      <c r="BV495" s="325"/>
      <c r="BW495" s="325"/>
      <c r="BX495" s="325"/>
      <c r="BY495" s="325"/>
      <c r="BZ495" s="325"/>
      <c r="CA495" s="325"/>
      <c r="CB495" s="325"/>
      <c r="CC495" s="325"/>
      <c r="CD495" s="325"/>
      <c r="CE495" s="325"/>
      <c r="CF495" s="325"/>
      <c r="CG495" s="325"/>
    </row>
    <row r="496" spans="1:85" ht="12.75" customHeight="1" x14ac:dyDescent="0.25">
      <c r="A496" s="389"/>
      <c r="B496" s="22"/>
      <c r="C496" s="22"/>
      <c r="D496" s="1134" t="str">
        <f>Translations!$B$372</f>
        <v>CRF-luokka</v>
      </c>
      <c r="E496" s="1134"/>
      <c r="F496" s="1135"/>
      <c r="G496" s="1123"/>
      <c r="H496" s="1124"/>
      <c r="I496" s="1123"/>
      <c r="J496" s="1124"/>
      <c r="K496" s="1123"/>
      <c r="L496" s="1124"/>
      <c r="M496" s="623" t="str">
        <f>IF(AND(E479&lt;&gt;"",COUNTA(G496:L496)=0,AX496=FALSE),EUconst_ERR_Incomplete,"")</f>
        <v/>
      </c>
      <c r="N496" s="22"/>
      <c r="O496" s="323"/>
      <c r="P496" s="301"/>
      <c r="Q496" s="23"/>
      <c r="R496" s="23"/>
      <c r="S496" s="325"/>
      <c r="T496" s="325"/>
      <c r="U496" s="325"/>
      <c r="V496" s="325"/>
      <c r="W496" s="325"/>
      <c r="X496" s="325"/>
      <c r="Y496" s="325"/>
      <c r="Z496" s="325"/>
      <c r="AA496" s="325"/>
      <c r="AB496" s="325"/>
      <c r="AC496" s="325"/>
      <c r="AD496" s="325"/>
      <c r="AE496" s="325"/>
      <c r="AF496" s="325"/>
      <c r="AG496" s="325"/>
      <c r="AH496" s="325"/>
      <c r="AI496" s="325"/>
      <c r="AJ496" s="325"/>
      <c r="AK496" s="325"/>
      <c r="AL496" s="325"/>
      <c r="AM496" s="325"/>
      <c r="AN496" s="325"/>
      <c r="AO496" s="325"/>
      <c r="AP496" s="325"/>
      <c r="AQ496" s="325"/>
      <c r="AR496" s="325"/>
      <c r="AS496" s="325"/>
      <c r="AT496" s="325"/>
      <c r="AU496" s="325"/>
      <c r="AV496" s="325"/>
      <c r="AW496" s="325"/>
      <c r="AX496" s="33" t="b">
        <f>AND(AV492&lt;&gt;"",SUM(AV492=1))</f>
        <v>0</v>
      </c>
      <c r="AY496" s="325"/>
      <c r="AZ496" s="325"/>
      <c r="BA496" s="325"/>
      <c r="BB496" s="325"/>
      <c r="BC496" s="325"/>
      <c r="BD496" s="325"/>
      <c r="BE496" s="325"/>
      <c r="BF496" s="325"/>
      <c r="BG496" s="325"/>
      <c r="BH496" s="325"/>
      <c r="BI496" s="325"/>
      <c r="BJ496" s="325"/>
      <c r="BK496" s="325"/>
      <c r="BL496" s="325"/>
      <c r="BM496" s="325"/>
      <c r="BN496" s="325"/>
      <c r="BO496" s="325"/>
      <c r="BP496" s="325"/>
      <c r="BQ496" s="325"/>
      <c r="BR496" s="325"/>
      <c r="BS496" s="325"/>
      <c r="BT496" s="325"/>
      <c r="BU496" s="325"/>
      <c r="BV496" s="325"/>
      <c r="BW496" s="325"/>
      <c r="BX496" s="325"/>
      <c r="BY496" s="325"/>
      <c r="BZ496" s="325"/>
      <c r="CA496" s="325"/>
      <c r="CB496" s="325"/>
      <c r="CC496" s="325"/>
      <c r="CD496" s="325"/>
      <c r="CE496" s="325"/>
      <c r="CF496" s="325"/>
      <c r="CG496" s="325"/>
    </row>
    <row r="497" spans="1:85" ht="5.15" customHeight="1" x14ac:dyDescent="0.25">
      <c r="A497" s="318"/>
      <c r="B497" s="21"/>
      <c r="C497" s="21"/>
      <c r="D497" s="21"/>
      <c r="E497" s="21"/>
      <c r="F497" s="21"/>
      <c r="G497" s="22"/>
      <c r="H497" s="22"/>
      <c r="I497" s="22"/>
      <c r="J497" s="22"/>
      <c r="K497" s="22"/>
      <c r="L497" s="22"/>
      <c r="M497" s="22"/>
      <c r="N497" s="22"/>
      <c r="O497" s="323"/>
      <c r="P497" s="301"/>
      <c r="Q497" s="23"/>
      <c r="R497" s="23"/>
      <c r="S497" s="325"/>
      <c r="T497" s="325"/>
      <c r="U497" s="325"/>
      <c r="V497" s="325"/>
      <c r="W497" s="325"/>
      <c r="X497" s="325"/>
      <c r="Y497" s="325"/>
      <c r="Z497" s="325"/>
      <c r="AA497" s="325"/>
      <c r="AB497" s="325"/>
      <c r="AC497" s="325"/>
      <c r="AD497" s="325"/>
      <c r="AE497" s="325"/>
      <c r="AF497" s="325"/>
      <c r="AG497" s="325"/>
      <c r="AH497" s="325"/>
      <c r="AI497" s="325"/>
      <c r="AJ497" s="325"/>
      <c r="AK497" s="325"/>
      <c r="AL497" s="325"/>
      <c r="AM497" s="325"/>
      <c r="AN497" s="325"/>
      <c r="AO497" s="325"/>
      <c r="AP497" s="325"/>
      <c r="AQ497" s="325"/>
      <c r="AR497" s="325"/>
      <c r="AS497" s="325"/>
      <c r="AT497" s="325"/>
      <c r="AU497" s="325"/>
      <c r="AV497" s="325"/>
      <c r="AW497" s="325"/>
      <c r="AX497" s="325"/>
      <c r="AY497" s="325"/>
      <c r="AZ497" s="325"/>
      <c r="BA497" s="325"/>
      <c r="BB497" s="325"/>
      <c r="BC497" s="325"/>
      <c r="BD497" s="325"/>
      <c r="BE497" s="325"/>
      <c r="BF497" s="325"/>
      <c r="BG497" s="325"/>
      <c r="BH497" s="325"/>
      <c r="BI497" s="325"/>
      <c r="BJ497" s="325"/>
      <c r="BK497" s="325"/>
      <c r="BL497" s="325"/>
      <c r="BM497" s="325"/>
      <c r="BN497" s="325"/>
      <c r="BO497" s="325"/>
      <c r="BP497" s="325"/>
      <c r="BQ497" s="325"/>
      <c r="BR497" s="325"/>
      <c r="BS497" s="325"/>
      <c r="BT497" s="325"/>
      <c r="BU497" s="325"/>
      <c r="BV497" s="325"/>
      <c r="BW497" s="325"/>
      <c r="BX497" s="325"/>
      <c r="BY497" s="325"/>
      <c r="BZ497" s="325"/>
      <c r="CA497" s="325"/>
      <c r="CB497" s="325"/>
      <c r="CC497" s="325"/>
      <c r="CD497" s="325"/>
      <c r="CE497" s="325"/>
      <c r="CF497" s="325"/>
      <c r="CG497" s="325"/>
    </row>
    <row r="498" spans="1:85" ht="8.15" customHeight="1" x14ac:dyDescent="0.25">
      <c r="A498" s="318"/>
      <c r="B498" s="21"/>
      <c r="C498" s="21"/>
      <c r="D498" s="1145"/>
      <c r="E498" s="1145"/>
      <c r="F498" s="1145"/>
      <c r="G498" s="806"/>
      <c r="H498" s="807"/>
      <c r="I498" s="806"/>
      <c r="J498" s="236"/>
      <c r="K498" s="236"/>
      <c r="L498" s="236"/>
      <c r="M498" s="807"/>
      <c r="N498" s="808"/>
      <c r="O498" s="323"/>
      <c r="P498" s="301"/>
      <c r="Q498" s="23"/>
      <c r="R498" s="23"/>
      <c r="S498" s="388"/>
      <c r="T498" s="325"/>
      <c r="U498" s="325"/>
      <c r="V498" s="325"/>
      <c r="W498" s="325"/>
      <c r="X498" s="325"/>
      <c r="Y498" s="325"/>
      <c r="Z498" s="325"/>
      <c r="AA498" s="325"/>
      <c r="AB498" s="325"/>
      <c r="AC498" s="325"/>
      <c r="AD498" s="325"/>
      <c r="AE498" s="325"/>
      <c r="AF498" s="325"/>
      <c r="AG498" s="325"/>
      <c r="AH498" s="325"/>
      <c r="AI498" s="325"/>
      <c r="AJ498" s="325"/>
      <c r="AK498" s="325"/>
      <c r="AL498" s="325"/>
      <c r="AM498" s="325"/>
      <c r="AN498" s="325"/>
      <c r="AO498" s="325"/>
      <c r="AP498" s="325"/>
      <c r="AQ498" s="325"/>
      <c r="AR498" s="325"/>
      <c r="AS498" s="325"/>
      <c r="AT498" s="325"/>
      <c r="AU498" s="325"/>
      <c r="AV498" s="325"/>
      <c r="AW498" s="325"/>
      <c r="AX498" s="325"/>
      <c r="AY498" s="325"/>
      <c r="AZ498" s="325"/>
      <c r="BA498" s="325"/>
      <c r="BB498" s="325"/>
      <c r="BC498" s="325"/>
      <c r="BD498" s="325"/>
      <c r="BE498" s="325"/>
      <c r="BF498" s="325"/>
      <c r="BG498" s="325"/>
      <c r="BH498" s="325"/>
      <c r="BI498" s="325"/>
      <c r="BJ498" s="325"/>
      <c r="BK498" s="325"/>
      <c r="BL498" s="325"/>
      <c r="BM498" s="325"/>
      <c r="BN498" s="325"/>
      <c r="BO498" s="325"/>
      <c r="BP498" s="325"/>
      <c r="BQ498" s="325"/>
      <c r="BR498" s="325"/>
      <c r="BS498" s="325"/>
      <c r="BT498" s="325"/>
      <c r="BU498" s="325"/>
      <c r="BV498" s="325"/>
      <c r="BW498" s="325"/>
      <c r="BX498" s="325"/>
      <c r="BY498" s="325"/>
      <c r="BZ498" s="325"/>
      <c r="CA498" s="325"/>
      <c r="CB498" s="325"/>
      <c r="CC498" s="325"/>
      <c r="CD498" s="325"/>
      <c r="CE498" s="325"/>
      <c r="CF498" s="325"/>
      <c r="CG498" s="33" t="b">
        <f>CG485</f>
        <v>0</v>
      </c>
    </row>
    <row r="499" spans="1:85" ht="5.15" customHeight="1" x14ac:dyDescent="0.25">
      <c r="A499" s="389"/>
      <c r="B499" s="22"/>
      <c r="C499" s="22"/>
      <c r="D499" s="22"/>
      <c r="E499" s="1116" t="str">
        <f>Translations!$B$304</f>
        <v xml:space="preserve">Lisätiedot: 
tapa, jolla biomassan kestävyys on osoitettu; 
muut polttoainevirtaa koskevat lisätiedot. </v>
      </c>
      <c r="F499" s="1116"/>
      <c r="G499" s="22"/>
      <c r="H499" s="22"/>
      <c r="I499" s="22"/>
      <c r="J499" s="22"/>
      <c r="K499" s="22"/>
      <c r="L499" s="22"/>
      <c r="M499" s="22"/>
      <c r="N499" s="22"/>
      <c r="O499" s="323"/>
      <c r="P499" s="301"/>
      <c r="Q499" s="23"/>
      <c r="R499" s="23"/>
      <c r="S499" s="325"/>
      <c r="T499" s="325"/>
      <c r="U499" s="325"/>
      <c r="V499" s="325"/>
      <c r="W499" s="325"/>
      <c r="X499" s="325"/>
      <c r="Y499" s="325"/>
      <c r="Z499" s="325"/>
      <c r="AA499" s="325"/>
      <c r="AB499" s="325"/>
      <c r="AC499" s="325"/>
      <c r="AD499" s="325"/>
      <c r="AE499" s="325"/>
      <c r="AF499" s="325"/>
      <c r="AG499" s="325"/>
      <c r="AH499" s="325"/>
      <c r="AI499" s="325"/>
      <c r="AJ499" s="325"/>
      <c r="AK499" s="325"/>
      <c r="AL499" s="325"/>
      <c r="AM499" s="325"/>
      <c r="AN499" s="325"/>
      <c r="AO499" s="325"/>
      <c r="AP499" s="325"/>
      <c r="AQ499" s="325"/>
      <c r="AR499" s="325"/>
      <c r="AS499" s="325"/>
      <c r="AT499" s="325"/>
      <c r="AU499" s="325"/>
      <c r="AV499" s="325"/>
      <c r="AW499" s="325"/>
      <c r="AX499" s="325"/>
      <c r="AY499" s="325"/>
      <c r="AZ499" s="325"/>
      <c r="BA499" s="325"/>
      <c r="BB499" s="325"/>
      <c r="BC499" s="325"/>
      <c r="BD499" s="325"/>
      <c r="BE499" s="325"/>
      <c r="BF499" s="325"/>
      <c r="BG499" s="325"/>
      <c r="BH499" s="325"/>
      <c r="BI499" s="325"/>
      <c r="BJ499" s="325"/>
      <c r="BK499" s="325"/>
      <c r="BL499" s="325"/>
      <c r="BM499" s="325"/>
      <c r="BN499" s="325"/>
      <c r="BO499" s="325"/>
      <c r="BP499" s="325"/>
      <c r="BQ499" s="325"/>
      <c r="BR499" s="325"/>
      <c r="BS499" s="325"/>
      <c r="BT499" s="325"/>
      <c r="BU499" s="325"/>
      <c r="BV499" s="325"/>
      <c r="BW499" s="325"/>
      <c r="BX499" s="325"/>
      <c r="BY499" s="325"/>
      <c r="BZ499" s="325"/>
      <c r="CA499" s="325"/>
      <c r="CB499" s="325"/>
      <c r="CC499" s="325"/>
      <c r="CD499" s="325"/>
      <c r="CE499" s="325"/>
      <c r="CF499" s="325"/>
      <c r="CG499" s="325"/>
    </row>
    <row r="500" spans="1:85" ht="35.5" customHeight="1" x14ac:dyDescent="0.25">
      <c r="A500" s="389"/>
      <c r="B500" s="22"/>
      <c r="C500" s="22"/>
      <c r="D500" s="4"/>
      <c r="E500" s="1116"/>
      <c r="F500" s="1116"/>
      <c r="G500" s="1146"/>
      <c r="H500" s="1147"/>
      <c r="I500" s="1147"/>
      <c r="J500" s="1147"/>
      <c r="K500" s="1147"/>
      <c r="L500" s="1147"/>
      <c r="M500" s="1147"/>
      <c r="N500" s="1148"/>
      <c r="O500" s="323"/>
      <c r="P500" s="301"/>
      <c r="Q500" s="23"/>
      <c r="R500" s="23"/>
      <c r="S500" s="325"/>
      <c r="T500" s="325"/>
      <c r="U500" s="325"/>
      <c r="V500" s="325"/>
      <c r="W500" s="325"/>
      <c r="X500" s="325"/>
      <c r="Y500" s="325"/>
      <c r="Z500" s="325"/>
      <c r="AA500" s="325"/>
      <c r="AB500" s="325"/>
      <c r="AC500" s="325"/>
      <c r="AD500" s="325"/>
      <c r="AE500" s="325"/>
      <c r="AF500" s="325"/>
      <c r="AG500" s="325"/>
      <c r="AH500" s="325"/>
      <c r="AI500" s="325"/>
      <c r="AJ500" s="325"/>
      <c r="AK500" s="325"/>
      <c r="AL500" s="325"/>
      <c r="AM500" s="325"/>
      <c r="AN500" s="325"/>
      <c r="AO500" s="325"/>
      <c r="AP500" s="325"/>
      <c r="AQ500" s="325"/>
      <c r="AR500" s="325"/>
      <c r="AS500" s="325"/>
      <c r="AT500" s="325"/>
      <c r="AU500" s="325"/>
      <c r="AV500" s="325"/>
      <c r="AW500" s="325"/>
      <c r="AX500" s="325"/>
      <c r="AY500" s="325"/>
      <c r="AZ500" s="325"/>
      <c r="BA500" s="325"/>
      <c r="BB500" s="325"/>
      <c r="BC500" s="325"/>
      <c r="BD500" s="325"/>
      <c r="BE500" s="325"/>
      <c r="BF500" s="325"/>
      <c r="BG500" s="325"/>
      <c r="BH500" s="325"/>
      <c r="BI500" s="325"/>
      <c r="BJ500" s="325"/>
      <c r="BK500" s="325"/>
      <c r="BL500" s="325"/>
      <c r="BM500" s="325"/>
      <c r="BN500" s="325"/>
      <c r="BO500" s="325"/>
      <c r="BP500" s="325"/>
      <c r="BQ500" s="325"/>
      <c r="BR500" s="325"/>
      <c r="BS500" s="325"/>
      <c r="BT500" s="325"/>
      <c r="BU500" s="325"/>
      <c r="BV500" s="325"/>
      <c r="BW500" s="325"/>
      <c r="BX500" s="325"/>
      <c r="BY500" s="325"/>
      <c r="BZ500" s="325"/>
      <c r="CA500" s="325"/>
      <c r="CB500" s="325"/>
      <c r="CC500" s="325"/>
      <c r="CD500" s="325"/>
      <c r="CE500" s="325"/>
      <c r="CF500" s="325"/>
      <c r="CG500" s="33" t="b">
        <f>CG498</f>
        <v>0</v>
      </c>
    </row>
    <row r="501" spans="1:85" ht="12.75" customHeight="1" thickBot="1" x14ac:dyDescent="0.3">
      <c r="A501" s="318"/>
      <c r="B501" s="22"/>
      <c r="C501" s="319"/>
      <c r="D501" s="320"/>
      <c r="E501" s="321"/>
      <c r="F501" s="319"/>
      <c r="G501" s="322"/>
      <c r="H501" s="322"/>
      <c r="I501" s="322"/>
      <c r="J501" s="322"/>
      <c r="K501" s="322"/>
      <c r="L501" s="322"/>
      <c r="M501" s="322"/>
      <c r="N501" s="322"/>
      <c r="O501" s="323"/>
      <c r="P501" s="301"/>
      <c r="Q501" s="23"/>
      <c r="R501" s="23"/>
      <c r="S501" s="41"/>
      <c r="T501" s="41"/>
      <c r="U501" s="324"/>
      <c r="V501" s="41"/>
      <c r="W501" s="41"/>
      <c r="X501" s="324"/>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41"/>
      <c r="BM501" s="325"/>
      <c r="BN501" s="325"/>
      <c r="BO501" s="325"/>
      <c r="BP501" s="325"/>
      <c r="BQ501" s="325"/>
      <c r="BR501" s="325"/>
      <c r="BS501" s="325"/>
      <c r="BT501" s="325"/>
      <c r="BU501" s="41"/>
      <c r="BV501" s="41"/>
      <c r="BW501" s="41"/>
      <c r="BX501" s="41"/>
      <c r="BY501" s="41"/>
      <c r="BZ501" s="41"/>
      <c r="CA501" s="41"/>
      <c r="CB501" s="41"/>
      <c r="CC501" s="41"/>
      <c r="CD501" s="41"/>
      <c r="CE501" s="41"/>
      <c r="CF501" s="41"/>
      <c r="CG501" s="41"/>
    </row>
    <row r="502" spans="1:85" ht="12.75" customHeight="1" thickBot="1" x14ac:dyDescent="0.3">
      <c r="A502" s="326"/>
      <c r="B502" s="22"/>
      <c r="C502" s="22"/>
      <c r="D502" s="327"/>
      <c r="E502" s="328"/>
      <c r="F502" s="22"/>
      <c r="G502" s="1"/>
      <c r="H502" s="1"/>
      <c r="I502" s="1"/>
      <c r="J502" s="1"/>
      <c r="K502" s="22"/>
      <c r="L502" s="1"/>
      <c r="M502" s="1"/>
      <c r="N502" s="1"/>
      <c r="O502" s="323"/>
      <c r="P502" s="301"/>
      <c r="Q502" s="23"/>
      <c r="R502" s="23"/>
      <c r="S502" s="2"/>
      <c r="T502" s="20" t="str">
        <f>IF(ISBLANK(E503),"",MATCH(E503,CNTR_SourceStreamNames,0))</f>
        <v/>
      </c>
      <c r="U502" s="329" t="str">
        <f>IF(ISBLANK(E503),"",INDEX('B_Polttoainevirtojen tiedot'!$D$67:$D$91,MATCH(E503,CNTR_SourceStreamNames,0)))</f>
        <v/>
      </c>
      <c r="V502" s="60"/>
      <c r="W502" s="37"/>
      <c r="X502" s="37"/>
      <c r="Y502" s="37"/>
      <c r="Z502" s="41"/>
      <c r="AA502" s="41"/>
      <c r="AB502" s="41"/>
      <c r="AC502" s="41"/>
      <c r="AD502" s="41"/>
      <c r="AE502" s="41"/>
      <c r="AF502" s="41"/>
      <c r="AG502" s="41"/>
      <c r="AH502" s="41"/>
      <c r="AI502" s="41"/>
      <c r="AJ502" s="41"/>
      <c r="AK502" s="23"/>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37"/>
      <c r="BK502" s="37"/>
      <c r="BL502" s="37"/>
      <c r="BM502" s="37"/>
      <c r="BN502" s="37"/>
      <c r="BO502" s="37"/>
      <c r="BP502" s="37"/>
      <c r="BQ502" s="37"/>
      <c r="BR502" s="37"/>
      <c r="BS502" s="37"/>
      <c r="BT502" s="37"/>
      <c r="BU502" s="37"/>
      <c r="BV502" s="37"/>
      <c r="BW502" s="37"/>
      <c r="BX502" s="37"/>
      <c r="BY502" s="37"/>
      <c r="BZ502" s="37"/>
      <c r="CA502" s="37"/>
      <c r="CB502" s="37"/>
      <c r="CC502" s="37"/>
      <c r="CD502" s="37"/>
      <c r="CE502" s="37"/>
      <c r="CF502" s="37"/>
      <c r="CG502" s="330" t="s">
        <v>94</v>
      </c>
    </row>
    <row r="503" spans="1:85" ht="15" customHeight="1" thickBot="1" x14ac:dyDescent="0.3">
      <c r="A503" s="331">
        <f>C503</f>
        <v>20</v>
      </c>
      <c r="B503" s="21"/>
      <c r="C503" s="332">
        <f>C479+1</f>
        <v>20</v>
      </c>
      <c r="D503" s="21"/>
      <c r="E503" s="1117"/>
      <c r="F503" s="1118"/>
      <c r="G503" s="1118"/>
      <c r="H503" s="1118"/>
      <c r="I503" s="1118"/>
      <c r="J503" s="1119"/>
      <c r="K503" s="1138" t="str">
        <f>IF(INDEX('B_Polttoainevirtojen tiedot'!$K$100:$K$124,MATCH(U502,'B_Polttoainevirtojen tiedot'!$D$100:$D$124,0))&gt;0,INDEX('B_Polttoainevirtojen tiedot'!$K$100:$K$124,MATCH(U502,'B_Polttoainevirtojen tiedot'!$D$100:$D$124,0)),"")</f>
        <v/>
      </c>
      <c r="L503" s="1139"/>
      <c r="M503" s="328" t="str">
        <f>Translations!$B$374</f>
        <v>CO2 fossiilinen:</v>
      </c>
      <c r="N503" s="401" t="str">
        <f>IF(E504="","",BG509)</f>
        <v/>
      </c>
      <c r="O503" s="333" t="str">
        <f>EUconst_tCO2</f>
        <v>tCO2</v>
      </c>
      <c r="P503" s="610" t="str">
        <f>IF(AND(E503&lt;&gt;"",COUNTIF(P504:$P$811,"PRINT")=0),"PRINT","")</f>
        <v/>
      </c>
      <c r="Q503" s="335" t="str">
        <f>EUconst_SumCO2</f>
        <v>SUM_CO2</v>
      </c>
      <c r="R503" s="23"/>
      <c r="S503" s="2"/>
      <c r="T503" s="2"/>
      <c r="U503" s="2"/>
      <c r="V503" s="60"/>
      <c r="W503" s="37"/>
      <c r="X503" s="41"/>
      <c r="Y503" s="41"/>
      <c r="Z503" s="41"/>
      <c r="AA503" s="41"/>
      <c r="AB503" s="41"/>
      <c r="AC503" s="41"/>
      <c r="AD503" s="41"/>
      <c r="AE503" s="41"/>
      <c r="AF503" s="41"/>
      <c r="AG503" s="41"/>
      <c r="AH503" s="41"/>
      <c r="AI503" s="337"/>
      <c r="AJ503" s="337"/>
      <c r="AK503" s="337"/>
      <c r="AL503" s="337"/>
      <c r="AM503" s="337"/>
      <c r="AN503" s="337"/>
      <c r="AO503" s="337"/>
      <c r="AP503" s="337"/>
      <c r="AQ503" s="337"/>
      <c r="AR503" s="337"/>
      <c r="AS503" s="337"/>
      <c r="AT503" s="337"/>
      <c r="AU503" s="337"/>
      <c r="AV503" s="337"/>
      <c r="AW503" s="337"/>
      <c r="AX503" s="337"/>
      <c r="AY503" s="337"/>
      <c r="AZ503" s="337"/>
      <c r="BA503" s="337"/>
      <c r="BB503" s="337"/>
      <c r="BC503" s="337"/>
      <c r="BD503" s="337"/>
      <c r="BE503" s="337"/>
      <c r="BF503" s="337"/>
      <c r="BG503" s="337"/>
      <c r="BH503" s="337"/>
      <c r="BI503" s="483" t="str">
        <f>IF(E503="","",E503)</f>
        <v/>
      </c>
      <c r="BJ503" s="338" t="str">
        <f>IF(F509="","",F509)</f>
        <v/>
      </c>
      <c r="BK503" s="485">
        <f>AV509</f>
        <v>0</v>
      </c>
      <c r="BL503" s="485">
        <f>IF(BK503="","",BK503*(1-BP503))</f>
        <v>0</v>
      </c>
      <c r="BM503" s="338" t="str">
        <f>AJ509</f>
        <v/>
      </c>
      <c r="BN503" s="338" t="str">
        <f>IF(F516="","",F516)</f>
        <v/>
      </c>
      <c r="BO503" s="483" t="str">
        <f>IF(G516="","",G516)</f>
        <v/>
      </c>
      <c r="BP503" s="484">
        <f>AV516</f>
        <v>0</v>
      </c>
      <c r="BQ503" s="338" t="str">
        <f>IF(F512="","",F512)</f>
        <v/>
      </c>
      <c r="BR503" s="484">
        <f>AV512</f>
        <v>0</v>
      </c>
      <c r="BS503" s="484" t="str">
        <f>AJ512</f>
        <v/>
      </c>
      <c r="BT503" s="338" t="str">
        <f>IF(F511="","",F511)</f>
        <v/>
      </c>
      <c r="BU503" s="484">
        <f>IF(F511=EUconst_NA,"",AV511)</f>
        <v>0</v>
      </c>
      <c r="BV503" s="484" t="str">
        <f>AJ511</f>
        <v/>
      </c>
      <c r="BW503" s="338" t="str">
        <f>IF(F513="","",F513)</f>
        <v/>
      </c>
      <c r="BX503" s="484">
        <f>AV513</f>
        <v>0</v>
      </c>
      <c r="BY503" s="338" t="str">
        <f>IF(F514="","",F514)</f>
        <v/>
      </c>
      <c r="BZ503" s="484">
        <f>AV514</f>
        <v>0</v>
      </c>
      <c r="CA503" s="485" t="str">
        <f>N503</f>
        <v/>
      </c>
      <c r="CB503" s="485" t="str">
        <f>N504</f>
        <v/>
      </c>
      <c r="CC503" s="485" t="str">
        <f>R506</f>
        <v/>
      </c>
      <c r="CD503" s="485" t="str">
        <f>R508</f>
        <v/>
      </c>
      <c r="CE503" s="485" t="str">
        <f>R509</f>
        <v/>
      </c>
      <c r="CF503" s="37"/>
      <c r="CG503" s="339" t="b">
        <v>0</v>
      </c>
    </row>
    <row r="504" spans="1:85" ht="15" customHeight="1" thickBot="1" x14ac:dyDescent="0.3">
      <c r="A504" s="318"/>
      <c r="B504" s="21"/>
      <c r="C504" s="21"/>
      <c r="D504" s="21"/>
      <c r="E504" s="1127" t="str">
        <f>IF(ISBLANK(E503),"",IF(INDEX('B_Polttoainevirtojen tiedot'!$E$67:$E$91,MATCH(U502,'B_Polttoainevirtojen tiedot'!$D$67:$D$91,0))&gt;0,INDEX('B_Polttoainevirtojen tiedot'!$E$67:$E$91,MATCH(U502,'B_Polttoainevirtojen tiedot'!$D$67:$D$91,0)),""))</f>
        <v/>
      </c>
      <c r="F504" s="1128"/>
      <c r="G504" s="1128"/>
      <c r="H504" s="1128"/>
      <c r="I504" s="1128"/>
      <c r="J504" s="1129"/>
      <c r="K504" s="1138" t="str">
        <f>IF(INDEX('B_Polttoainevirtojen tiedot'!$M$100:$M$124,MATCH(U502,'B_Polttoainevirtojen tiedot'!$D$100:$D$124,0))&gt;0,INDEX('B_Polttoainevirtojen tiedot'!$M$100:$M$124,MATCH(U502,'B_Polttoainevirtojen tiedot'!$D$100:$D$124,0)),"")</f>
        <v/>
      </c>
      <c r="L504" s="1139"/>
      <c r="M504" s="340" t="str">
        <f>Translations!$B$375</f>
        <v>CO2 bio:</v>
      </c>
      <c r="N504" s="482" t="str">
        <f>IF(E504="","",BG511)</f>
        <v/>
      </c>
      <c r="O504" s="341" t="str">
        <f>EUconst_tCO2</f>
        <v>tCO2</v>
      </c>
      <c r="P504" s="301"/>
      <c r="Q504" s="335" t="str">
        <f>EUconst_SumBioCO2</f>
        <v>SUM_bioCO2</v>
      </c>
      <c r="R504" s="23"/>
      <c r="S504" s="2"/>
      <c r="T504" s="2"/>
      <c r="U504" s="2"/>
      <c r="V504" s="60"/>
      <c r="W504" s="37"/>
      <c r="X504" s="41"/>
      <c r="Y504" s="20" t="str">
        <f>Translations!$B$143</f>
        <v>Määrittämistasot</v>
      </c>
      <c r="Z504" s="325"/>
      <c r="AA504" s="325"/>
      <c r="AB504" s="325"/>
      <c r="AC504" s="325"/>
      <c r="AD504" s="325"/>
      <c r="AE504" s="20" t="s">
        <v>95</v>
      </c>
      <c r="AF504" s="41"/>
      <c r="AG504" s="342"/>
      <c r="AH504" s="325"/>
      <c r="AI504" s="325"/>
      <c r="AJ504" s="342"/>
      <c r="AK504" s="342"/>
      <c r="AL504" s="337"/>
      <c r="AM504" s="337"/>
      <c r="AN504" s="337"/>
      <c r="AO504" s="337"/>
      <c r="AP504" s="337"/>
      <c r="AQ504" s="20" t="s">
        <v>96</v>
      </c>
      <c r="AR504" s="343"/>
      <c r="AS504" s="343"/>
      <c r="AT504" s="325"/>
      <c r="AU504" s="325"/>
      <c r="AV504" s="325"/>
      <c r="AW504" s="325"/>
      <c r="AX504" s="325"/>
      <c r="AY504" s="325"/>
      <c r="AZ504" s="20" t="s">
        <v>97</v>
      </c>
      <c r="BA504" s="325"/>
      <c r="BB504" s="325"/>
      <c r="BC504" s="325"/>
      <c r="BD504" s="325"/>
      <c r="BE504" s="325"/>
      <c r="BF504" s="20" t="s">
        <v>98</v>
      </c>
      <c r="BG504" s="325"/>
      <c r="BH504" s="325"/>
      <c r="BI504" s="20" t="s">
        <v>99</v>
      </c>
      <c r="BJ504" s="338" t="str">
        <f>Translations!$B$376</f>
        <v>RFA-määrittämistaso</v>
      </c>
      <c r="BK504" s="338" t="str">
        <f>Translations!$B$377</f>
        <v>RFA</v>
      </c>
      <c r="BL504" s="338" t="str">
        <f>Translations!$B$378</f>
        <v>RFA (SF:n jälkeen)</v>
      </c>
      <c r="BM504" s="338" t="str">
        <f>Translations!$B$379</f>
        <v>RFA-yksikkö</v>
      </c>
      <c r="BN504" s="338" t="str">
        <f>Translations!$B$380</f>
        <v>SF-määrittämistaso</v>
      </c>
      <c r="BO504" s="338" t="str">
        <f>Translations!$B$380</f>
        <v>SF-määrittämistaso</v>
      </c>
      <c r="BP504" s="338" t="str">
        <f>Translations!$B$381</f>
        <v>SF</v>
      </c>
      <c r="BQ504" s="338" t="str">
        <f>Translations!$B$382</f>
        <v>EF-määrittämistaso</v>
      </c>
      <c r="BR504" s="338" t="str">
        <f>Translations!$B$383</f>
        <v>EF</v>
      </c>
      <c r="BS504" s="338" t="str">
        <f>Translations!$B$384</f>
        <v>EF-yksikkö</v>
      </c>
      <c r="BT504" s="338" t="str">
        <f>Translations!$B$385</f>
        <v>UCF-määrittämistaso</v>
      </c>
      <c r="BU504" s="338" t="str">
        <f>Translations!$B$386</f>
        <v>UCF</v>
      </c>
      <c r="BV504" s="338" t="str">
        <f>Translations!$B$387</f>
        <v>UCF-yksikkö</v>
      </c>
      <c r="BW504" s="338" t="str">
        <f>Translations!$B$388</f>
        <v>Bio-määrittämistaso</v>
      </c>
      <c r="BX504" s="338" t="s">
        <v>100</v>
      </c>
      <c r="BY504" s="338" t="str">
        <f>Translations!$B$389</f>
        <v>NonSustBio-määrittämistaso</v>
      </c>
      <c r="BZ504" s="338" t="s">
        <v>101</v>
      </c>
      <c r="CA504" s="338" t="str">
        <f>Translations!$B$390</f>
        <v>CO2 fossil</v>
      </c>
      <c r="CB504" s="338" t="str">
        <f>Translations!$B$391</f>
        <v>CO2 bio</v>
      </c>
      <c r="CC504" s="338" t="str">
        <f>Translations!$B$392</f>
        <v>CO2 non-sust</v>
      </c>
      <c r="CD504" s="338" t="s">
        <v>102</v>
      </c>
      <c r="CE504" s="338" t="s">
        <v>103</v>
      </c>
      <c r="CF504" s="325"/>
      <c r="CG504" s="325"/>
    </row>
    <row r="505" spans="1:85" ht="5.15" customHeight="1" thickBot="1" x14ac:dyDescent="0.3">
      <c r="A505" s="318"/>
      <c r="B505" s="21"/>
      <c r="C505" s="21"/>
      <c r="D505" s="21"/>
      <c r="E505" s="21"/>
      <c r="F505" s="21"/>
      <c r="G505" s="21"/>
      <c r="H505" s="22"/>
      <c r="I505" s="22"/>
      <c r="J505" s="22"/>
      <c r="K505" s="22"/>
      <c r="L505" s="22"/>
      <c r="M505" s="22"/>
      <c r="N505" s="22"/>
      <c r="O505" s="323"/>
      <c r="P505" s="301"/>
      <c r="Q505" s="23"/>
      <c r="R505" s="23"/>
      <c r="S505" s="2"/>
      <c r="T505" s="2"/>
      <c r="U505" s="2"/>
      <c r="V505" s="60"/>
      <c r="W505" s="325"/>
      <c r="X505" s="325"/>
      <c r="Y505" s="23"/>
      <c r="Z505" s="325"/>
      <c r="AA505" s="325"/>
      <c r="AB505" s="325"/>
      <c r="AC505" s="325"/>
      <c r="AD505" s="325"/>
      <c r="AE505" s="325"/>
      <c r="AF505" s="41"/>
      <c r="AG505" s="325"/>
      <c r="AH505" s="325"/>
      <c r="AI505" s="325"/>
      <c r="AJ505" s="342"/>
      <c r="AK505" s="342"/>
      <c r="AL505" s="337"/>
      <c r="AM505" s="337"/>
      <c r="AN505" s="337"/>
      <c r="AO505" s="337"/>
      <c r="AP505" s="337"/>
      <c r="AQ505" s="325"/>
      <c r="AR505" s="325"/>
      <c r="AS505" s="325"/>
      <c r="AT505" s="325"/>
      <c r="AU505" s="325"/>
      <c r="AV505" s="325"/>
      <c r="AW505" s="325"/>
      <c r="AX505" s="325"/>
      <c r="AY505" s="325"/>
      <c r="AZ505" s="325"/>
      <c r="BA505" s="325"/>
      <c r="BB505" s="325"/>
      <c r="BC505" s="325"/>
      <c r="BD505" s="325"/>
      <c r="BE505" s="325"/>
      <c r="BF505" s="325"/>
      <c r="BG505" s="325"/>
      <c r="BH505" s="325"/>
      <c r="BI505" s="325"/>
      <c r="BJ505" s="325"/>
      <c r="BK505" s="325"/>
      <c r="BL505" s="325"/>
      <c r="BM505" s="325"/>
      <c r="BN505" s="325"/>
      <c r="BO505" s="325"/>
      <c r="BP505" s="325"/>
      <c r="BQ505" s="325"/>
      <c r="BR505" s="325"/>
      <c r="BS505" s="325"/>
      <c r="BT505" s="325"/>
      <c r="BU505" s="325"/>
      <c r="BV505" s="325"/>
      <c r="BW505" s="325"/>
      <c r="BX505" s="325"/>
      <c r="BY505" s="325"/>
      <c r="BZ505" s="325"/>
      <c r="CA505" s="325"/>
      <c r="CB505" s="325"/>
      <c r="CC505" s="325"/>
      <c r="CD505" s="325"/>
      <c r="CE505" s="325"/>
      <c r="CF505" s="325"/>
      <c r="CG505" s="325"/>
    </row>
    <row r="506" spans="1:85" ht="12.75" customHeight="1" thickBot="1" x14ac:dyDescent="0.3">
      <c r="A506" s="318"/>
      <c r="B506" s="21"/>
      <c r="C506" s="21"/>
      <c r="D506" s="21"/>
      <c r="E506" s="1140" t="str">
        <f>IF(E503="","",HYPERLINK("#JUMP_E_Top",EUconst_FurtherGuidancePoint1))</f>
        <v/>
      </c>
      <c r="F506" s="1140"/>
      <c r="G506" s="1140"/>
      <c r="H506" s="1140"/>
      <c r="I506" s="1140"/>
      <c r="J506" s="1140"/>
      <c r="K506" s="1140"/>
      <c r="L506" s="1140"/>
      <c r="M506" s="1140"/>
      <c r="N506" s="22"/>
      <c r="O506" s="323"/>
      <c r="P506" s="301"/>
      <c r="Q506" s="335" t="str">
        <f>EUconst_SumNonSustBioCO2</f>
        <v>SUM_bioNonSustCO2</v>
      </c>
      <c r="R506" s="500" t="str">
        <f>IF(E504="","",BG512)</f>
        <v/>
      </c>
      <c r="S506" s="2"/>
      <c r="T506" s="2"/>
      <c r="U506" s="2"/>
      <c r="V506" s="325"/>
      <c r="W506" s="325"/>
      <c r="X506" s="325"/>
      <c r="Y506" s="41"/>
      <c r="Z506" s="325"/>
      <c r="AA506" s="325"/>
      <c r="AB506" s="325"/>
      <c r="AC506" s="325"/>
      <c r="AD506" s="325"/>
      <c r="AE506" s="325"/>
      <c r="AF506" s="41"/>
      <c r="AG506" s="325"/>
      <c r="AH506" s="325"/>
      <c r="AI506" s="325"/>
      <c r="AJ506" s="342"/>
      <c r="AK506" s="342"/>
      <c r="AL506" s="337"/>
      <c r="AM506" s="337"/>
      <c r="AN506" s="337"/>
      <c r="AO506" s="337"/>
      <c r="AP506" s="337"/>
      <c r="AQ506" s="325"/>
      <c r="AR506" s="325"/>
      <c r="AS506" s="325"/>
      <c r="AT506" s="325"/>
      <c r="AU506" s="325"/>
      <c r="AV506" s="325"/>
      <c r="AW506" s="325"/>
      <c r="AX506" s="325"/>
      <c r="AY506" s="325"/>
      <c r="AZ506" s="325"/>
      <c r="BA506" s="325"/>
      <c r="BB506" s="325"/>
      <c r="BC506" s="325"/>
      <c r="BD506" s="325"/>
      <c r="BE506" s="325"/>
      <c r="BF506" s="325"/>
      <c r="BG506" s="325"/>
      <c r="BH506" s="325"/>
      <c r="BI506" s="20" t="s">
        <v>104</v>
      </c>
      <c r="BJ506" s="343"/>
      <c r="BK506" s="483" t="str">
        <f>IF(G520="","",G520)</f>
        <v/>
      </c>
      <c r="BL506" s="483" t="str">
        <f>IF(I520="","",I520)</f>
        <v/>
      </c>
      <c r="BM506" s="483" t="str">
        <f>IF(K520="","",K520)</f>
        <v/>
      </c>
      <c r="BN506" s="325"/>
      <c r="BO506" s="325"/>
      <c r="BP506" s="325"/>
      <c r="BQ506" s="325"/>
      <c r="BR506" s="325"/>
      <c r="BS506" s="325"/>
      <c r="BT506" s="330"/>
      <c r="BU506" s="325"/>
      <c r="BV506" s="325"/>
      <c r="BW506" s="325"/>
      <c r="BX506" s="325"/>
      <c r="BY506" s="325"/>
      <c r="BZ506" s="325"/>
      <c r="CA506" s="325"/>
      <c r="CB506" s="325"/>
      <c r="CC506" s="325"/>
      <c r="CD506" s="325"/>
      <c r="CE506" s="325"/>
      <c r="CF506" s="325"/>
      <c r="CG506" s="325"/>
    </row>
    <row r="507" spans="1:85" ht="5.15" customHeight="1" thickBot="1" x14ac:dyDescent="0.3">
      <c r="A507" s="318"/>
      <c r="B507" s="21"/>
      <c r="C507" s="21"/>
      <c r="D507" s="21"/>
      <c r="E507" s="21"/>
      <c r="F507" s="21"/>
      <c r="G507" s="21"/>
      <c r="H507" s="22"/>
      <c r="I507" s="22"/>
      <c r="J507" s="22"/>
      <c r="K507" s="22"/>
      <c r="L507" s="22"/>
      <c r="M507" s="22"/>
      <c r="N507" s="22"/>
      <c r="O507" s="323"/>
      <c r="P507" s="259"/>
      <c r="Q507" s="2"/>
      <c r="R507" s="259"/>
      <c r="S507" s="2"/>
      <c r="T507" s="2"/>
      <c r="U507" s="2"/>
      <c r="V507" s="325"/>
      <c r="W507" s="325"/>
      <c r="X507" s="325"/>
      <c r="Y507" s="23"/>
      <c r="Z507" s="325"/>
      <c r="AA507" s="325"/>
      <c r="AB507" s="325"/>
      <c r="AC507" s="325"/>
      <c r="AD507" s="325"/>
      <c r="AE507" s="325"/>
      <c r="AF507" s="41"/>
      <c r="AG507" s="325"/>
      <c r="AH507" s="325"/>
      <c r="AI507" s="325"/>
      <c r="AJ507" s="342"/>
      <c r="AK507" s="342"/>
      <c r="AL507" s="337"/>
      <c r="AM507" s="337"/>
      <c r="AN507" s="337"/>
      <c r="AO507" s="337"/>
      <c r="AP507" s="337"/>
      <c r="AQ507" s="325"/>
      <c r="AR507" s="325"/>
      <c r="AS507" s="325"/>
      <c r="AT507" s="325"/>
      <c r="AU507" s="325"/>
      <c r="AV507" s="325"/>
      <c r="AW507" s="325"/>
      <c r="AX507" s="325"/>
      <c r="AY507" s="325"/>
      <c r="AZ507" s="325"/>
      <c r="BA507" s="325"/>
      <c r="BB507" s="325"/>
      <c r="BC507" s="325"/>
      <c r="BD507" s="325"/>
      <c r="BE507" s="325"/>
      <c r="BF507" s="325"/>
      <c r="BG507" s="325"/>
      <c r="BH507" s="325"/>
      <c r="BI507" s="325"/>
      <c r="BJ507" s="325"/>
      <c r="BK507" s="325"/>
      <c r="BL507" s="325"/>
      <c r="BM507" s="325"/>
      <c r="BN507" s="325"/>
      <c r="BO507" s="325"/>
      <c r="BP507" s="325"/>
      <c r="BQ507" s="325"/>
      <c r="BR507" s="325"/>
      <c r="BS507" s="325"/>
      <c r="BT507" s="325"/>
      <c r="BU507" s="325"/>
      <c r="BV507" s="325"/>
      <c r="BW507" s="325"/>
      <c r="BX507" s="325"/>
      <c r="BY507" s="325"/>
      <c r="BZ507" s="325"/>
      <c r="CA507" s="325"/>
      <c r="CB507" s="325"/>
      <c r="CC507" s="325"/>
      <c r="CD507" s="325"/>
      <c r="CE507" s="325"/>
      <c r="CF507" s="325"/>
      <c r="CG507" s="325"/>
    </row>
    <row r="508" spans="1:85" ht="12.75" customHeight="1" thickBot="1" x14ac:dyDescent="0.3">
      <c r="A508" s="318"/>
      <c r="B508" s="21"/>
      <c r="C508" s="21"/>
      <c r="D508" s="21"/>
      <c r="E508" s="21"/>
      <c r="F508" s="347" t="str">
        <f>Translations!$B$127</f>
        <v>Määrittämistaso</v>
      </c>
      <c r="G508" s="1141" t="str">
        <f>Translations!$B$393</f>
        <v>määrittämistason kuvaus</v>
      </c>
      <c r="H508" s="1141"/>
      <c r="I508" s="1142" t="str">
        <f>Translations!$B$394</f>
        <v>Yksikkö</v>
      </c>
      <c r="J508" s="1142"/>
      <c r="K508" s="1142" t="str">
        <f>Translations!$B$395</f>
        <v>Arvo</v>
      </c>
      <c r="L508" s="1142"/>
      <c r="M508" s="327" t="str">
        <f>Translations!$B$396</f>
        <v>virhe</v>
      </c>
      <c r="N508" s="22"/>
      <c r="O508" s="323"/>
      <c r="P508" s="611"/>
      <c r="Q508" s="335" t="str">
        <f>EUconst_SumEnergyIN</f>
        <v>SUM_EnergyIN</v>
      </c>
      <c r="R508" s="501" t="str">
        <f>IF(E504="","",BG513)</f>
        <v/>
      </c>
      <c r="S508" s="325"/>
      <c r="T508" s="325"/>
      <c r="U508" s="325"/>
      <c r="V508" s="336" t="s">
        <v>105</v>
      </c>
      <c r="W508" s="325"/>
      <c r="X508" s="325"/>
      <c r="Y508" s="23" t="s">
        <v>106</v>
      </c>
      <c r="Z508" s="23" t="s">
        <v>107</v>
      </c>
      <c r="AA508" s="325"/>
      <c r="AB508" s="325"/>
      <c r="AC508" s="343" t="s">
        <v>108</v>
      </c>
      <c r="AD508" s="325"/>
      <c r="AE508" s="325"/>
      <c r="AF508" s="325" t="s">
        <v>109</v>
      </c>
      <c r="AG508" s="325" t="s">
        <v>110</v>
      </c>
      <c r="AH508" s="23" t="s">
        <v>111</v>
      </c>
      <c r="AI508" s="342" t="s">
        <v>112</v>
      </c>
      <c r="AJ508" s="342" t="s">
        <v>113</v>
      </c>
      <c r="AK508" s="348" t="s">
        <v>114</v>
      </c>
      <c r="AL508" s="337"/>
      <c r="AM508" s="337"/>
      <c r="AN508" s="337"/>
      <c r="AO508" s="337"/>
      <c r="AP508" s="337"/>
      <c r="AQ508" s="325"/>
      <c r="AR508" s="325" t="s">
        <v>109</v>
      </c>
      <c r="AS508" s="325" t="s">
        <v>110</v>
      </c>
      <c r="AT508" s="349" t="s">
        <v>115</v>
      </c>
      <c r="AU508" s="342" t="s">
        <v>116</v>
      </c>
      <c r="AV508" s="342" t="s">
        <v>117</v>
      </c>
      <c r="AW508" s="348" t="s">
        <v>114</v>
      </c>
      <c r="AX508" s="348" t="s">
        <v>114</v>
      </c>
      <c r="AY508" s="325"/>
      <c r="AZ508" s="325"/>
      <c r="BA508" s="325"/>
      <c r="BB508" s="325" t="s">
        <v>118</v>
      </c>
      <c r="BC508" s="325"/>
      <c r="BD508" s="325"/>
      <c r="BE508" s="325"/>
      <c r="BF508" s="325"/>
      <c r="BG508" s="330" t="str">
        <f>EUconst_Fuel</f>
        <v>Poltto</v>
      </c>
      <c r="BH508" s="325"/>
      <c r="BI508" s="325"/>
      <c r="BJ508" s="325"/>
      <c r="BK508" s="325"/>
      <c r="BL508" s="325"/>
      <c r="BM508" s="325"/>
      <c r="BN508" s="325"/>
      <c r="BO508" s="325"/>
      <c r="BP508" s="325"/>
      <c r="BQ508" s="325"/>
      <c r="BR508" s="325"/>
      <c r="BS508" s="325"/>
      <c r="BT508" s="325"/>
      <c r="BU508" s="325"/>
      <c r="BV508" s="325"/>
      <c r="BW508" s="325"/>
      <c r="BX508" s="325"/>
      <c r="BY508" s="325"/>
      <c r="BZ508" s="325"/>
      <c r="CA508" s="325"/>
      <c r="CB508" s="325"/>
      <c r="CC508" s="325"/>
      <c r="CD508" s="325"/>
      <c r="CE508" s="325"/>
      <c r="CF508" s="325"/>
      <c r="CG508" s="330" t="s">
        <v>94</v>
      </c>
    </row>
    <row r="509" spans="1:85" ht="12.75" customHeight="1" thickBot="1" x14ac:dyDescent="0.3">
      <c r="A509" s="318"/>
      <c r="B509" s="21"/>
      <c r="C509" s="344"/>
      <c r="D509" s="345" t="str">
        <f>Translations!$B$356</f>
        <v>Polttoaineen määrä:</v>
      </c>
      <c r="E509" s="350"/>
      <c r="F509" s="351"/>
      <c r="G509" s="1120" t="str">
        <f>IF(OR(ISBLANK(F509),F509=EUconst_NoTier),"",IF(Z509=0,EUconst_NA,IF(ISERROR(Z509),"",Z509)))</f>
        <v/>
      </c>
      <c r="H509" s="1122"/>
      <c r="I509" s="352" t="str">
        <f>IF(J509&lt;&gt;"","",AI509)</f>
        <v/>
      </c>
      <c r="J509" s="353"/>
      <c r="K509" s="1143"/>
      <c r="L509" s="1144"/>
      <c r="M509" s="486" t="str">
        <f>IF(AND(E504&lt;&gt;"",OR(F509="",COUNT(K509)=0),Y509&lt;&gt;EUconst_NA),EUconst_ERR_Incomplete,"")</f>
        <v/>
      </c>
      <c r="N509" s="22"/>
      <c r="O509" s="323"/>
      <c r="P509" s="612"/>
      <c r="Q509" s="335" t="str">
        <f>EUconst_SumBioEnergyIN</f>
        <v>SUM_BioEnergyIN</v>
      </c>
      <c r="R509" s="501" t="str">
        <f>IF(E504="","",BG514)</f>
        <v/>
      </c>
      <c r="S509" s="325"/>
      <c r="T509" s="355" t="str">
        <f>EUconst_CNTR_ActivityData&amp;E504</f>
        <v>ActivityData_</v>
      </c>
      <c r="U509" s="23"/>
      <c r="V509" s="355" t="str">
        <f>IF(E503="","",INDEX('B_Polttoainevirtojen tiedot'!$I$67:$I$91,MATCH(U502,'B_Polttoainevirtojen tiedot'!$D$67:$D$91,0)))</f>
        <v/>
      </c>
      <c r="W509" s="342" t="s">
        <v>121</v>
      </c>
      <c r="X509" s="23"/>
      <c r="Y509" s="356" t="str">
        <f>IF(E504="","",INDEX(EUwideConstants!$P$153:$P$180,MATCH(T509,EUwideConstants!$S$153:$S$180,0)))</f>
        <v/>
      </c>
      <c r="Z509" s="357" t="str">
        <f>IF(ISBLANK(F509),"",IF(F509=EUconst_NA,"",INDEX(EUwideConstants!$H:$O,MATCH(T509,EUwideConstants!$S:$S,0),MATCH(F509,CNTR_TierList,0))))</f>
        <v/>
      </c>
      <c r="AA509" s="358" t="s">
        <v>111</v>
      </c>
      <c r="AB509" s="342"/>
      <c r="AC509" s="339" t="b">
        <f>E503&lt;&gt;""</f>
        <v>0</v>
      </c>
      <c r="AD509" s="325"/>
      <c r="AE509" s="359" t="str">
        <f>EUconst_CNTR_ActivityData&amp;EUconst_Unit</f>
        <v>ActivityData_Yksikkö</v>
      </c>
      <c r="AF509" s="360" t="str">
        <f>IF(AC509=TRUE, IF(COUNTIF(MSPara_SourceStreamCategory,V509)=0,"",INDEX(MSPara_CalcFactorsMatrix,MATCH(V509,MSPara_SourceStreamCategory,0),MATCH(AE509&amp;"_"&amp;2,MSPara_CalcFactors,0))),"")</f>
        <v/>
      </c>
      <c r="AG509" s="361" t="str">
        <f>IF(AC509=TRUE, IF(COUNTIF(MSPara_SourceStreamCategory,V509)=0,"",INDEX(MSPara_CalcFactorsMatrix,MATCH(V509,MSPara_SourceStreamCategory,0),MATCH(AE509&amp;"_"&amp;1,MSPara_CalcFactors,0))),"")</f>
        <v/>
      </c>
      <c r="AH509" s="339" t="str">
        <f>IF(OR(AF509="",AF509=EUconst_NA),IF(OR(AG509=EUconst_NA,AG509=""),"",AG509),AF509)</f>
        <v/>
      </c>
      <c r="AI509" s="356" t="str">
        <f>IF(AC509=TRUE,IF(AH509="",EUconst_t,AH509),"")</f>
        <v/>
      </c>
      <c r="AJ509" s="362" t="str">
        <f>IF(J509="",AI509,J509)</f>
        <v/>
      </c>
      <c r="AK509" s="363" t="b">
        <f>AND(E503&lt;&gt;"",J509&lt;&gt;"")</f>
        <v>0</v>
      </c>
      <c r="AL509" s="337"/>
      <c r="AM509" s="404" t="s">
        <v>122</v>
      </c>
      <c r="AN509" s="403" t="str">
        <f>AJ509</f>
        <v/>
      </c>
      <c r="AO509" s="337"/>
      <c r="AP509" s="337"/>
      <c r="AQ509" s="355" t="str">
        <f>EUconst_CNTR_ActivityData&amp;EUconst_Value</f>
        <v>ActivityData_Arvo</v>
      </c>
      <c r="AR509" s="343"/>
      <c r="AS509" s="343"/>
      <c r="AT509" s="339" t="b">
        <f>AND(AND(AH509&lt;&gt;"",AJ509&lt;&gt;""),AJ509=AH509)</f>
        <v>0</v>
      </c>
      <c r="AU509" s="325"/>
      <c r="AV509" s="339">
        <f>IF(Y509=EUconst_NA,0,IF(COUNT(K509:K509)=0,0,IF(K509="",#REF!,K509)))</f>
        <v>0</v>
      </c>
      <c r="AW509" s="346" t="b">
        <f>AND(AC509=TRUE,OR(K509&lt;&gt;"",AU509=""))</f>
        <v>0</v>
      </c>
      <c r="AX509" s="346" t="b">
        <f>AND(AC509=TRUE,NOT(AW509))</f>
        <v>0</v>
      </c>
      <c r="AY509" s="325"/>
      <c r="AZ509" s="325" t="s">
        <v>123</v>
      </c>
      <c r="BA509" s="325" t="s">
        <v>124</v>
      </c>
      <c r="BB509" s="346"/>
      <c r="BC509" s="325" t="s">
        <v>125</v>
      </c>
      <c r="BD509" s="325"/>
      <c r="BE509" s="325"/>
      <c r="BF509" s="400" t="str">
        <f>Translations!$B$390</f>
        <v>CO2 fossil</v>
      </c>
      <c r="BG509" s="495" t="str">
        <f>IF(COUNTIF(AO512:AO513,TRUE)=0,"",AV509*IF(AO512,1,AV511*AN513)*AV512*(1-AV513)*AV516)</f>
        <v/>
      </c>
      <c r="BH509" s="325"/>
      <c r="BI509" s="325"/>
      <c r="BJ509" s="325"/>
      <c r="BK509" s="325"/>
      <c r="BL509" s="325"/>
      <c r="BM509" s="325"/>
      <c r="BN509" s="325"/>
      <c r="BO509" s="325"/>
      <c r="BP509" s="325"/>
      <c r="BQ509" s="325"/>
      <c r="BR509" s="325"/>
      <c r="BS509" s="325"/>
      <c r="BT509" s="325"/>
      <c r="BU509" s="325"/>
      <c r="BV509" s="325"/>
      <c r="BW509" s="325"/>
      <c r="BX509" s="325"/>
      <c r="BY509" s="325"/>
      <c r="BZ509" s="325"/>
      <c r="CA509" s="325"/>
      <c r="CB509" s="325"/>
      <c r="CC509" s="325"/>
      <c r="CD509" s="325"/>
      <c r="CE509" s="325"/>
      <c r="CF509" s="325"/>
      <c r="CG509" s="346" t="b">
        <v>0</v>
      </c>
    </row>
    <row r="510" spans="1:85" ht="5.15" customHeight="1" thickBot="1" x14ac:dyDescent="0.3">
      <c r="A510" s="318"/>
      <c r="B510" s="21"/>
      <c r="C510" s="344"/>
      <c r="D510" s="188"/>
      <c r="E510" s="22"/>
      <c r="F510" s="22"/>
      <c r="G510" s="22"/>
      <c r="H510" s="22" t="str">
        <f>Translations!$B$397</f>
        <v xml:space="preserve"> </v>
      </c>
      <c r="I510" s="364"/>
      <c r="J510" s="364"/>
      <c r="K510" s="22"/>
      <c r="L510" s="22"/>
      <c r="M510" s="487"/>
      <c r="N510" s="22"/>
      <c r="O510" s="323"/>
      <c r="P510" s="301"/>
      <c r="Q510" s="23"/>
      <c r="R510" s="23"/>
      <c r="S510" s="325"/>
      <c r="T510" s="277"/>
      <c r="U510" s="23"/>
      <c r="V510" s="325"/>
      <c r="W510" s="325"/>
      <c r="X510" s="23"/>
      <c r="Y510" s="330"/>
      <c r="Z510" s="325"/>
      <c r="AA510" s="325"/>
      <c r="AB510" s="325"/>
      <c r="AC510" s="325"/>
      <c r="AD510" s="325"/>
      <c r="AE510" s="325"/>
      <c r="AF510" s="325"/>
      <c r="AG510" s="325"/>
      <c r="AH510" s="325"/>
      <c r="AI510" s="325"/>
      <c r="AJ510" s="325"/>
      <c r="AK510" s="325"/>
      <c r="AL510" s="337"/>
      <c r="AM510" s="337"/>
      <c r="AN510" s="337"/>
      <c r="AO510" s="337"/>
      <c r="AP510" s="337"/>
      <c r="AQ510" s="325"/>
      <c r="AR510" s="325"/>
      <c r="AS510" s="325"/>
      <c r="AT510" s="325"/>
      <c r="AU510" s="325"/>
      <c r="AV510" s="325"/>
      <c r="AW510" s="325"/>
      <c r="AX510" s="325"/>
      <c r="AY510" s="325"/>
      <c r="AZ510" s="325"/>
      <c r="BA510" s="325"/>
      <c r="BB510" s="325"/>
      <c r="BC510" s="325"/>
      <c r="BD510" s="325"/>
      <c r="BE510" s="325"/>
      <c r="BF510" s="325"/>
      <c r="BG510" s="496"/>
      <c r="BH510" s="325"/>
      <c r="BI510" s="325"/>
      <c r="BJ510" s="325"/>
      <c r="BK510" s="325"/>
      <c r="BL510" s="325"/>
      <c r="BM510" s="325"/>
      <c r="BN510" s="325"/>
      <c r="BO510" s="325"/>
      <c r="BP510" s="325"/>
      <c r="BQ510" s="325"/>
      <c r="BR510" s="325"/>
      <c r="BS510" s="325"/>
      <c r="BT510" s="325"/>
      <c r="BU510" s="325"/>
      <c r="BV510" s="325"/>
      <c r="BW510" s="325"/>
      <c r="BX510" s="325"/>
      <c r="BY510" s="325"/>
      <c r="BZ510" s="325"/>
      <c r="CA510" s="325"/>
      <c r="CB510" s="325"/>
      <c r="CC510" s="325"/>
      <c r="CD510" s="325"/>
      <c r="CE510" s="325"/>
      <c r="CF510" s="325"/>
      <c r="CG510" s="330"/>
    </row>
    <row r="511" spans="1:85" ht="12.75" customHeight="1" thickBot="1" x14ac:dyDescent="0.3">
      <c r="A511" s="318"/>
      <c r="B511" s="21"/>
      <c r="C511" s="344"/>
      <c r="D511" s="345" t="str">
        <f>Translations!$B$360</f>
        <v>Yksikön muuntokerroin:</v>
      </c>
      <c r="E511" s="350"/>
      <c r="F511" s="443"/>
      <c r="G511" s="1120" t="str">
        <f>IF(OR(ISBLANK(F511),F511=EUconst_NoTier),"",IF(Z511=0,EUconst_NotApplicable,IF(ISERROR(Z511),"",Z511)))</f>
        <v/>
      </c>
      <c r="H511" s="1122"/>
      <c r="I511" s="444" t="str">
        <f>IF(J511&lt;&gt;"","",AI511)</f>
        <v/>
      </c>
      <c r="J511" s="445"/>
      <c r="K511" s="632" t="str">
        <f>IF(L511="",AU511,"")</f>
        <v/>
      </c>
      <c r="L511" s="633"/>
      <c r="M511" s="486" t="str">
        <f>IF(AND(E504&lt;&gt;"",OR(F511="",COUNT(K511:L511)=0),Y511&lt;&gt;EUconst_NA),EUconst_ERR_Incomplete,IF(COUNTIF(BB511:BD511,TRUE)&gt;0,EUconst_ERR_Inconsistent,""))</f>
        <v/>
      </c>
      <c r="N511" s="752"/>
      <c r="O511" s="323"/>
      <c r="P511" s="301"/>
      <c r="Q511" s="23"/>
      <c r="R511" s="23"/>
      <c r="S511" s="325"/>
      <c r="T511" s="365" t="str">
        <f>EUconst_CNTR_UCF&amp;E504</f>
        <v>UCF_</v>
      </c>
      <c r="U511" s="23"/>
      <c r="V511" s="366" t="str">
        <f>V512</f>
        <v/>
      </c>
      <c r="W511" s="325"/>
      <c r="X511" s="23"/>
      <c r="Y511" s="448" t="str">
        <f>IF(E504="","",IF(OR(F511=EUconst_NA,W511=TRUE),EUconst_NA,INDEX(EUwideConstants!$P$153:$P$180,MATCH(T511,EUwideConstants!$S$153:$S$180,0))))</f>
        <v/>
      </c>
      <c r="Z511" s="471" t="str">
        <f>IF(ISBLANK(F511),"",IF(F511=EUconst_NA,"",INDEX(EUwideConstants!$H:$O,MATCH(T511,EUwideConstants!$S:$S,0),MATCH(F511,CNTR_TierList,0))))</f>
        <v/>
      </c>
      <c r="AA511" s="449" t="str">
        <f>IF(COUNTIF(EUconst_DefaultValues,Z511)&gt;0,MATCH(Z511,EUconst_DefaultValues,0),"")</f>
        <v/>
      </c>
      <c r="AB511" s="325"/>
      <c r="AC511" s="367" t="b">
        <f>AND(AC509,Y511&lt;&gt;EUconst_NA)</f>
        <v>0</v>
      </c>
      <c r="AD511" s="325"/>
      <c r="AE511" s="359" t="str">
        <f>EUconst_CNTR_UCF&amp;EUconst_Unit</f>
        <v>UCF_Yksikkö</v>
      </c>
      <c r="AF511" s="368" t="str">
        <f>IF(AC511=TRUE, IF(COUNTIF(MSPara_SourceStreamCategory,V511)=0,"",INDEX(MSPara_CalcFactorsMatrix,MATCH(V511,MSPara_SourceStreamCategory,0),MATCH(AE511&amp;"_"&amp;2,MSPara_CalcFactors,0))),"")</f>
        <v/>
      </c>
      <c r="AG511" s="372" t="str">
        <f>IF(AC511=TRUE, IF(COUNTIF(MSPara_SourceStreamCategory,V511)=0,"",INDEX(MSPara_CalcFactorsMatrix,MATCH(V511,MSPara_SourceStreamCategory,0),MATCH(AE511&amp;"_"&amp;1,MSPara_CalcFactors,0))),"")</f>
        <v/>
      </c>
      <c r="AH511" s="367" t="str">
        <f>IF(AA511="","",INDEX(AF511:AG511,3-AA511))</f>
        <v/>
      </c>
      <c r="AI511" s="367" t="str">
        <f>IF(AC511=TRUE,IF(OR(AH511="",AH511=EUconst_NA),EUconst_GJ&amp;"/"&amp;AJ509,AH511),"")</f>
        <v/>
      </c>
      <c r="AJ511" s="367" t="str">
        <f>IF(J511="",AI511,J511)</f>
        <v/>
      </c>
      <c r="AK511" s="366" t="b">
        <f>AND(E503&lt;&gt;"",J511&lt;&gt;"")</f>
        <v>0</v>
      </c>
      <c r="AL511" s="337"/>
      <c r="AM511" s="404" t="s">
        <v>127</v>
      </c>
      <c r="AN511" s="403" t="str">
        <f>IF(AJ511="",EUconst_NA,IF(AN509=EUconst_TJ,EUconst_TJ,INDEX(EUwideConstants!$C$124:$G$128,MATCH(AN509,RFAUnits,0),MATCH(AJ511,UCFUnits,0))))</f>
        <v>ei sovellettavissa</v>
      </c>
      <c r="AO511" s="337"/>
      <c r="AP511" s="337"/>
      <c r="AQ511" s="454" t="str">
        <f>EUconst_CNTR_UCF&amp;EUconst_Value</f>
        <v>UCF_Arvo</v>
      </c>
      <c r="AR511" s="475" t="str">
        <f>IF(AC511=TRUE,IF(COUNTIF(MSPara_SourceStreamCategory,V511)=0,"",INDEX(MSPara_CalcFactorsMatrix,MATCH(V511,MSPara_SourceStreamCategory,0),MATCH(AQ511&amp;"_"&amp;2,MSPara_CalcFactors,0))),"")</f>
        <v/>
      </c>
      <c r="AS511" s="371" t="str">
        <f>IF(AC511=TRUE,IF(COUNTIF(MSPara_SourceStreamCategory,V511)=0,"",INDEX(MSPara_CalcFactorsMatrix,MATCH(V511,MSPara_SourceStreamCategory,0),MATCH(AQ511&amp;"_"&amp;1,MSPara_CalcFactors,0))),"")</f>
        <v/>
      </c>
      <c r="AT511" s="369" t="b">
        <f>AND(AND(AH511&lt;&gt;"",AJ511&lt;&gt;""),AJ511=AH511)</f>
        <v>0</v>
      </c>
      <c r="AU511" s="381" t="str">
        <f>IF(AND(AA511&lt;&gt;"",AT511=TRUE),IF(OR(INDEX(AR511:AS511,3-AA511)=EUconst_NA,INDEX(AR511:AS511,3-AA511)=0),"",INDEX(AR511:AS511,3-AA511)),"")</f>
        <v/>
      </c>
      <c r="AV511" s="367">
        <f>IF(AC511=TRUE,IF(COUNT(K511:L511)=0,0,IF(L511="",K511,L511)),0)</f>
        <v>0</v>
      </c>
      <c r="AW511" s="366" t="b">
        <f>AND(AC511=TRUE,OR(AND(F511&lt;&gt;"",NOT(ISNUMBER(AA511))),L511&lt;&gt;"",F511="",AU511=""))</f>
        <v>0</v>
      </c>
      <c r="AX511" s="370" t="b">
        <f>AND(AC511=TRUE,NOT(AW511))</f>
        <v>0</v>
      </c>
      <c r="AY511" s="325"/>
      <c r="AZ511" s="373" t="b">
        <f>AND(ISNUMBER(AA511),AU511="")</f>
        <v>0</v>
      </c>
      <c r="BA511" s="399" t="b">
        <f>AND(ISNUMBER(AA511),AU511&lt;&gt;AV511)</f>
        <v>0</v>
      </c>
      <c r="BB511" s="366" t="b">
        <f>AND(E504&lt;&gt;"",F511&lt;&gt;EUconst_NA,AN511=EUconst_NA)</f>
        <v>0</v>
      </c>
      <c r="BC511" s="366" t="b">
        <f>AND(L511&lt;&gt;"",Y511=EUconst_NA)</f>
        <v>0</v>
      </c>
      <c r="BD511" s="325"/>
      <c r="BE511" s="325"/>
      <c r="BF511" s="373" t="s">
        <v>128</v>
      </c>
      <c r="BG511" s="497" t="str">
        <f>IF(COUNTIF(AO512:AO513,TRUE)=0,"",AV509*IF(AO512,1,AV511*AN513)*AV512*AV513*AV516)</f>
        <v/>
      </c>
      <c r="BH511" s="325"/>
      <c r="BI511" s="325"/>
      <c r="BJ511" s="325"/>
      <c r="BK511" s="325"/>
      <c r="BL511" s="325"/>
      <c r="BM511" s="325"/>
      <c r="BN511" s="325"/>
      <c r="BO511" s="325"/>
      <c r="BP511" s="325"/>
      <c r="BQ511" s="325"/>
      <c r="BR511" s="325"/>
      <c r="BS511" s="325"/>
      <c r="BT511" s="325"/>
      <c r="BU511" s="325"/>
      <c r="BV511" s="325"/>
      <c r="BW511" s="325"/>
      <c r="BX511" s="325"/>
      <c r="BY511" s="325"/>
      <c r="BZ511" s="325"/>
      <c r="CA511" s="325"/>
      <c r="CB511" s="325"/>
      <c r="CC511" s="325"/>
      <c r="CD511" s="325"/>
      <c r="CE511" s="325"/>
      <c r="CF511" s="325"/>
      <c r="CG511" s="375" t="b">
        <f>OR(CG509,Y511=EUconst_NA)</f>
        <v>0</v>
      </c>
    </row>
    <row r="512" spans="1:85" ht="12.75" customHeight="1" thickBot="1" x14ac:dyDescent="0.3">
      <c r="A512" s="318"/>
      <c r="B512" s="21"/>
      <c r="C512" s="344"/>
      <c r="D512" s="345" t="str">
        <f>Translations!$B$358</f>
        <v>Päästökerroin (alustava):</v>
      </c>
      <c r="E512" s="350"/>
      <c r="F512" s="624"/>
      <c r="G512" s="1120" t="str">
        <f>IF(OR(ISBLANK(F512),F512=EUconst_NoTier),"",IF(Z512=0,EUconst_NotApplicable,IF(ISERROR(Z512),"",Z512)))</f>
        <v/>
      </c>
      <c r="H512" s="1121"/>
      <c r="I512" s="625" t="str">
        <f>IF(J512&lt;&gt;"","",AI512)</f>
        <v/>
      </c>
      <c r="J512" s="631"/>
      <c r="K512" s="634" t="str">
        <f>IF(L512="",AU512,"")</f>
        <v/>
      </c>
      <c r="L512" s="754"/>
      <c r="M512" s="486" t="str">
        <f>IF(AND(E504&lt;&gt;"",OR(F512="",COUNT(K512:L512)=0),Y512&lt;&gt;EUconst_NA),EUconst_ERR_Incomplete,IF(COUNTIF(BB512:BD512,TRUE)&gt;0,EUconst_ERR_Inconsistent,""))</f>
        <v/>
      </c>
      <c r="N512" s="753"/>
      <c r="O512" s="323"/>
      <c r="P512" s="301"/>
      <c r="Q512" s="23"/>
      <c r="R512" s="23"/>
      <c r="S512" s="325"/>
      <c r="T512" s="374" t="str">
        <f>EUconst_CNTR_EF&amp;E504</f>
        <v>EF_</v>
      </c>
      <c r="U512" s="23"/>
      <c r="V512" s="375" t="str">
        <f>V509</f>
        <v/>
      </c>
      <c r="W512" s="325"/>
      <c r="X512" s="23"/>
      <c r="Y512" s="450" t="str">
        <f>IF(E504="","",IF(OR(F512=EUconst_NA,W512=TRUE),EUconst_NA,INDEX(EUwideConstants!$P$153:$P$180,MATCH(T512,EUwideConstants!$S$153:$S$180,0))))</f>
        <v/>
      </c>
      <c r="Z512" s="472" t="str">
        <f>IF(ISBLANK(F512),"",IF(F512=EUconst_NA,"",INDEX(EUwideConstants!$H:$O,MATCH(T512,EUwideConstants!$S:$S,0),MATCH(F512,CNTR_TierList,0))))</f>
        <v/>
      </c>
      <c r="AA512" s="451" t="str">
        <f>IF(COUNTIF(EUconst_DefaultValues,Z512)&gt;0,MATCH(Z512,EUconst_DefaultValues,0),"")</f>
        <v/>
      </c>
      <c r="AB512" s="325"/>
      <c r="AC512" s="376" t="b">
        <f>AND(AC509,Y512&lt;&gt;EUconst_NA)</f>
        <v>0</v>
      </c>
      <c r="AD512" s="325"/>
      <c r="AE512" s="377" t="str">
        <f>EUconst_CNTR_EF&amp;EUconst_Unit</f>
        <v>EF_Yksikkö</v>
      </c>
      <c r="AF512" s="378" t="str">
        <f>IF(AC512=TRUE, IF(COUNTIF(MSPara_SourceStreamCategory,V512)=0,"",INDEX(MSPara_CalcFactorsMatrix,MATCH(V512,MSPara_SourceStreamCategory,0),MATCH(AE512&amp;"_"&amp;2,MSPara_CalcFactors,0))),"")</f>
        <v/>
      </c>
      <c r="AG512" s="464" t="str">
        <f>IF(AC512=TRUE, IF(COUNTIF(MSPara_SourceStreamCategory,V512)=0,"",INDEX(MSPara_CalcFactorsMatrix,MATCH(V512,MSPara_SourceStreamCategory,0),MATCH(AE512&amp;"_"&amp;1,MSPara_CalcFactors,0))),"")</f>
        <v/>
      </c>
      <c r="AH512" s="376" t="str">
        <f>IF(AA512="","",INDEX(AF512:AG512,3-AA512))</f>
        <v/>
      </c>
      <c r="AI512" s="376" t="str">
        <f>IF(AC512=TRUE,IF(OR(AH512="",AH512=EUconst_NA),EUconst_tCO2&amp;"/"&amp;IF(AN511=EUconst_NA,AN509,IF(AN511=EUconst_GJ,EUconst_TJ,AN511)),AH512),"")</f>
        <v/>
      </c>
      <c r="AJ512" s="376" t="str">
        <f>IF(J512="",AI512,J512)</f>
        <v/>
      </c>
      <c r="AK512" s="375" t="b">
        <f>AND(E504&lt;&gt;"",J512&lt;&gt;"")</f>
        <v>0</v>
      </c>
      <c r="AL512" s="337"/>
      <c r="AM512" s="404" t="s">
        <v>130</v>
      </c>
      <c r="AN512" s="403" t="str">
        <f>IF(COUNTIF(RFAUnits,AN509)=0,EUconst_NA,INDEX(EUwideConstants!$C$139:$H$143,MATCH(AJ512,EFUnits,0),MATCH(AN509,EUwideConstants!$C$138:$H$138,0)))</f>
        <v>ei sovellettavissa</v>
      </c>
      <c r="AO512" s="403" t="b">
        <f>AN512&lt;&gt;EUconst_NA</f>
        <v>0</v>
      </c>
      <c r="AP512" s="337"/>
      <c r="AQ512" s="455" t="str">
        <f>EUconst_CNTR_EF&amp;EUconst_Value</f>
        <v>EF_Arvo</v>
      </c>
      <c r="AR512" s="476" t="str">
        <f>IF(AC512=TRUE,IF(COUNTIF(MSPara_SourceStreamCategory,V512)=0,"",INDEX(MSPara_CalcFactorsMatrix,MATCH(V512,MSPara_SourceStreamCategory,0),MATCH(AQ512&amp;"_"&amp;2,MSPara_CalcFactors,0))),"")</f>
        <v/>
      </c>
      <c r="AS512" s="383" t="str">
        <f>IF(AC512=TRUE,IF(COUNTIF(MSPara_SourceStreamCategory,V512)=0,"",INDEX(MSPara_CalcFactorsMatrix,MATCH(V512,MSPara_SourceStreamCategory,0),MATCH(AQ512&amp;"_"&amp;1,MSPara_CalcFactors,0))),"")</f>
        <v/>
      </c>
      <c r="AT512" s="456" t="b">
        <f>AND(AND(AH512&lt;&gt;"",AJ512&lt;&gt;""),AJ512=AH512)</f>
        <v>0</v>
      </c>
      <c r="AU512" s="334" t="str">
        <f>IF(AND(AA512&lt;&gt;"",AT512=TRUE),IF(OR(INDEX(AR512:AS512,3-AA512)=EUconst_NA,INDEX(AR512:AS512,3-AA512)=0),"",INDEX(AR512:AS512,3-AA512)),"")</f>
        <v/>
      </c>
      <c r="AV512" s="376">
        <f>IF(AC512=TRUE,IF(COUNT(K512:L512)=0,0,IF(L512="",K512,L512)),0)</f>
        <v>0</v>
      </c>
      <c r="AW512" s="375" t="b">
        <f>AND(AC512=TRUE,OR(AND(F512&lt;&gt;"",NOT(ISNUMBER(AA512))),L512&lt;&gt;"",F512="",AU512=""))</f>
        <v>0</v>
      </c>
      <c r="AX512" s="457" t="b">
        <f>AND(AC512=TRUE,NOT(AW512))</f>
        <v>0</v>
      </c>
      <c r="AY512" s="325"/>
      <c r="AZ512" s="379" t="b">
        <f>AND(ISNUMBER(AA512),AU512="")</f>
        <v>0</v>
      </c>
      <c r="BA512" s="380" t="b">
        <f>AND(ISNUMBER(AA512),AU512&lt;&gt;AV512)</f>
        <v>0</v>
      </c>
      <c r="BB512" s="382" t="b">
        <f>AND(E504&lt;&gt;"",COUNTIF(AO512:AO513,TRUE)=0)</f>
        <v>0</v>
      </c>
      <c r="BC512" s="375" t="b">
        <f>AND(L512&lt;&gt;"",Y512=EUconst_NA)</f>
        <v>0</v>
      </c>
      <c r="BD512" s="325"/>
      <c r="BE512" s="325"/>
      <c r="BF512" s="379" t="s">
        <v>131</v>
      </c>
      <c r="BG512" s="498" t="str">
        <f>IF(COUNTIF(AO512:AO513,TRUE)=0,"",AV509*IF(AO512,1,AV511*AN513)*AV512*AV514*AV516)</f>
        <v/>
      </c>
      <c r="BH512" s="325"/>
      <c r="BI512" s="325"/>
      <c r="BJ512" s="325"/>
      <c r="BK512" s="325"/>
      <c r="BL512" s="325"/>
      <c r="BM512" s="325"/>
      <c r="BN512" s="325"/>
      <c r="BO512" s="325"/>
      <c r="BP512" s="325"/>
      <c r="BQ512" s="325"/>
      <c r="BR512" s="325"/>
      <c r="BS512" s="325"/>
      <c r="BT512" s="325"/>
      <c r="BU512" s="325"/>
      <c r="BV512" s="325"/>
      <c r="BW512" s="325"/>
      <c r="BX512" s="325"/>
      <c r="BY512" s="325"/>
      <c r="BZ512" s="325"/>
      <c r="CA512" s="325"/>
      <c r="CB512" s="325"/>
      <c r="CC512" s="325"/>
      <c r="CD512" s="325"/>
      <c r="CE512" s="325"/>
      <c r="CF512" s="325"/>
      <c r="CG512" s="366" t="b">
        <f>OR(CG509,Y512=EUconst_NA)</f>
        <v>0</v>
      </c>
    </row>
    <row r="513" spans="1:85" ht="12.75" customHeight="1" x14ac:dyDescent="0.25">
      <c r="A513" s="318"/>
      <c r="B513" s="21"/>
      <c r="C513" s="344"/>
      <c r="D513" s="345" t="str">
        <f>Translations!$B$362</f>
        <v>Biomassaosuus:</v>
      </c>
      <c r="E513" s="350"/>
      <c r="F513" s="624"/>
      <c r="G513" s="1120" t="str">
        <f>IF(OR(ISBLANK(F513),F513=EUconst_NoTier),"",IF(Z513=0,EUconst_NotApplicable,IF(ISERROR(Z513),"",Z513)))</f>
        <v/>
      </c>
      <c r="H513" s="1122"/>
      <c r="I513" s="626" t="str">
        <f>IF(OR(AC513=FALSE,Y513=EUconst_NA),"","-")</f>
        <v/>
      </c>
      <c r="J513" s="446"/>
      <c r="K513" s="635" t="str">
        <f>IF(L513="",AU513,"")</f>
        <v/>
      </c>
      <c r="L513" s="627"/>
      <c r="M513" s="486" t="str">
        <f>IF(AND(E504&lt;&gt;"",OR(F513="",COUNT(K513:L513)=0),Y513&lt;&gt;EUconst_NA),EUconst_ERR_Incomplete,IF(COUNTIF(BB513:BD513,TRUE)&gt;0,EUconst_ERR_Inconsistent,""))</f>
        <v/>
      </c>
      <c r="O513" s="323"/>
      <c r="P513" s="612"/>
      <c r="Q513" s="354"/>
      <c r="R513" s="354"/>
      <c r="S513" s="325"/>
      <c r="T513" s="374" t="str">
        <f>EUconst_CNTR_BiomassContent&amp;E504</f>
        <v>BioC_</v>
      </c>
      <c r="U513" s="23"/>
      <c r="V513" s="375" t="str">
        <f>V511</f>
        <v/>
      </c>
      <c r="W513" s="366" t="e">
        <f>IF(COUNTIF(MSPara_SourceStreamCategory,V513)=0,"",INDEX(MSPara_IsFossil,MATCH(V513,MSPara_SourceStreamCategory,0)))</f>
        <v>#N/A</v>
      </c>
      <c r="X513" s="23"/>
      <c r="Y513" s="450" t="str">
        <f>IF(E504="","",IF(OR(F513=EUconst_NA,W513=TRUE),EUconst_NA,INDEX(EUwideConstants!$P$153:$P$180,MATCH(T513,EUwideConstants!$S$153:$S$180,0))))</f>
        <v/>
      </c>
      <c r="Z513" s="472" t="str">
        <f>IF(ISBLANK(F513),"",IF(F513=EUconst_NA,"",INDEX(EUwideConstants!$H:$O,MATCH(T513,EUwideConstants!$S:$S,0),MATCH(F513,CNTR_TierList,0))))</f>
        <v/>
      </c>
      <c r="AA513" s="681" t="str">
        <f>IF(F513=1,1,"")</f>
        <v/>
      </c>
      <c r="AB513" s="325"/>
      <c r="AC513" s="376" t="b">
        <f>AND(AC509,Y513&lt;&gt;EUconst_NA)</f>
        <v>0</v>
      </c>
      <c r="AD513" s="325"/>
      <c r="AE513" s="462"/>
      <c r="AF513" s="460"/>
      <c r="AG513" s="465"/>
      <c r="AH513" s="467"/>
      <c r="AI513" s="467"/>
      <c r="AJ513" s="467"/>
      <c r="AK513" s="469"/>
      <c r="AL513" s="337"/>
      <c r="AM513" s="404" t="s">
        <v>132</v>
      </c>
      <c r="AN513" s="403" t="str">
        <f>IF(AN511=EUconst_NA,EUconst_NA,INDEX(EUwideConstants!$C$139:$H$143,MATCH(AJ512,EFUnits,0),MATCH(AN511,EUwideConstants!$C$138:$H$138,0)))</f>
        <v>ei sovellettavissa</v>
      </c>
      <c r="AO513" s="403" t="b">
        <f>AN513&lt;&gt;EUconst_NA</f>
        <v>0</v>
      </c>
      <c r="AP513" s="337"/>
      <c r="AQ513" s="455" t="str">
        <f>EUconst_CNTR_BiomassContent&amp;EUconst_Value</f>
        <v>BioC_Arvo</v>
      </c>
      <c r="AR513" s="462"/>
      <c r="AS513" s="383" t="str">
        <f>IF(AC513=TRUE,IF(COUNTIF(MSPara_SourceStreamCategory,V513)=0,"",INDEX(MSPara_CalcFactorsMatrix,MATCH(V513,MSPara_SourceStreamCategory,0),MATCH(AQ513&amp;"_"&amp;2,MSPara_CalcFactors,0))),"")</f>
        <v/>
      </c>
      <c r="AT513" s="458"/>
      <c r="AU513" s="334" t="str">
        <f>IF(OR(AA513="",AS513=EUconst_NA),"",AS513)</f>
        <v/>
      </c>
      <c r="AV513" s="376">
        <f>IF(AC513=TRUE,IF(COUNT(K513:L513)=0,0,IF(L513="",K513,L513)),0)</f>
        <v>0</v>
      </c>
      <c r="AW513" s="375" t="b">
        <f>AND(AC513=TRUE,OR(AND(F513&lt;&gt;"",NOT(ISNUMBER(AA513))),L513&lt;&gt;"",F513="",AU513=""))</f>
        <v>0</v>
      </c>
      <c r="AX513" s="457" t="b">
        <f>AND(AC513=TRUE,NOT(AW513))</f>
        <v>0</v>
      </c>
      <c r="AY513" s="325"/>
      <c r="AZ513" s="379" t="b">
        <f>AND(ISNUMBER(AA513),AU513="")</f>
        <v>0</v>
      </c>
      <c r="BA513" s="380" t="b">
        <f>AND(ISNUMBER(AA513),AU513&lt;&gt;AV513)</f>
        <v>0</v>
      </c>
      <c r="BB513" s="325"/>
      <c r="BC513" s="375" t="b">
        <f>AND(L513&lt;&gt;"",Y513=EUconst_NA)</f>
        <v>0</v>
      </c>
      <c r="BD513" s="366" t="b">
        <f>OR(AV513&gt;100%,(AV513+AV514)&gt;100%)</f>
        <v>0</v>
      </c>
      <c r="BE513" s="325"/>
      <c r="BF513" s="379" t="s">
        <v>133</v>
      </c>
      <c r="BG513" s="498" t="str">
        <f>IF(AN509=EUconst_TJ,AV509*(1-AV513),IF(AN511=EUconst_GJ,AV509*AV511/1000*(1-AV513),""))</f>
        <v/>
      </c>
      <c r="BH513" s="325"/>
      <c r="BI513" s="325"/>
      <c r="BJ513" s="325"/>
      <c r="BK513" s="325"/>
      <c r="BL513" s="325"/>
      <c r="BM513" s="325"/>
      <c r="BN513" s="325"/>
      <c r="BO513" s="325"/>
      <c r="BP513" s="325"/>
      <c r="BQ513" s="325"/>
      <c r="BR513" s="325"/>
      <c r="BS513" s="325"/>
      <c r="BT513" s="325"/>
      <c r="BU513" s="325"/>
      <c r="BV513" s="325"/>
      <c r="BW513" s="325"/>
      <c r="BX513" s="325"/>
      <c r="BY513" s="325"/>
      <c r="BZ513" s="325"/>
      <c r="CA513" s="325"/>
      <c r="CB513" s="325"/>
      <c r="CC513" s="325"/>
      <c r="CD513" s="325"/>
      <c r="CE513" s="325"/>
      <c r="CF513" s="325"/>
      <c r="CG513" s="375" t="b">
        <f>OR(CG509,Y513=EUconst_NA)</f>
        <v>0</v>
      </c>
    </row>
    <row r="514" spans="1:85" ht="12.75" customHeight="1" thickBot="1" x14ac:dyDescent="0.3">
      <c r="A514" s="318"/>
      <c r="B514" s="21"/>
      <c r="C514" s="344"/>
      <c r="D514" s="345" t="str">
        <f>Translations!$B$368</f>
        <v>Ei kestävä biomassaosuus:</v>
      </c>
      <c r="E514" s="350"/>
      <c r="F514" s="628"/>
      <c r="G514" s="1120" t="str">
        <f>IF(OR(ISBLANK(F514),F514=EUconst_NoTier),"",IF(Z514=0,EUconst_NotApplicable,IF(ISERROR(Z514),"",Z514)))</f>
        <v/>
      </c>
      <c r="H514" s="1122"/>
      <c r="I514" s="629" t="str">
        <f>IF(OR(AC514=FALSE,Y514=EUconst_NA),"","-")</f>
        <v/>
      </c>
      <c r="J514" s="447"/>
      <c r="K514" s="636" t="str">
        <f>IF(L514="",AU514,"")</f>
        <v/>
      </c>
      <c r="L514" s="630"/>
      <c r="M514" s="486" t="str">
        <f>IF(AND(E504&lt;&gt;"",OR(F514="",COUNT(K514:L514)=0),Y514&lt;&gt;EUconst_NA),EUconst_ERR_Incomplete,IF(COUNTIF(BB514:BD514,TRUE)&gt;0,EUconst_ERR_Inconsistent,""))</f>
        <v/>
      </c>
      <c r="N514" s="22"/>
      <c r="O514" s="323"/>
      <c r="P514" s="612"/>
      <c r="Q514" s="354"/>
      <c r="R514" s="354"/>
      <c r="S514" s="325"/>
      <c r="T514" s="384" t="str">
        <f>EUconst_CNTR_BiomassContent&amp;E504</f>
        <v>BioC_</v>
      </c>
      <c r="U514" s="23"/>
      <c r="V514" s="382" t="str">
        <f>V513</f>
        <v/>
      </c>
      <c r="W514" s="382" t="e">
        <f>IF(COUNTIF(MSPara_SourceStreamCategory,V514)=0,"",INDEX(MSPara_IsFossil,MATCH(V514,MSPara_SourceStreamCategory,0)))</f>
        <v>#N/A</v>
      </c>
      <c r="X514" s="23"/>
      <c r="Y514" s="452" t="str">
        <f>IF(E504="","",IF(OR(F514=EUconst_NA,W514=TRUE),EUconst_NA,INDEX(EUwideConstants!$P$153:$P$180,MATCH(T514,EUwideConstants!$S$153:$S$180,0))))</f>
        <v/>
      </c>
      <c r="Z514" s="473" t="str">
        <f>IF(ISBLANK(F514),"",IF(F514=EUconst_NA,"",INDEX(EUwideConstants!$H:$O,MATCH(T514,EUwideConstants!$S:$S,0),MATCH(F514,CNTR_TierList,0))))</f>
        <v/>
      </c>
      <c r="AA514" s="682" t="str">
        <f>IF(F514=1,1,"")</f>
        <v/>
      </c>
      <c r="AB514" s="325"/>
      <c r="AC514" s="453" t="b">
        <f>AND(AC509,Y514&lt;&gt;EUconst_NA)</f>
        <v>0</v>
      </c>
      <c r="AD514" s="325"/>
      <c r="AE514" s="463"/>
      <c r="AF514" s="461"/>
      <c r="AG514" s="466"/>
      <c r="AH514" s="468"/>
      <c r="AI514" s="468"/>
      <c r="AJ514" s="468"/>
      <c r="AK514" s="470"/>
      <c r="AL514" s="337"/>
      <c r="AM514" s="337"/>
      <c r="AN514" s="337"/>
      <c r="AO514" s="337"/>
      <c r="AP514" s="337"/>
      <c r="AQ514" s="474" t="str">
        <f>EUconst_CNTR_BiomassContent&amp;EUconst_Value</f>
        <v>BioC_Arvo</v>
      </c>
      <c r="AR514" s="463"/>
      <c r="AS514" s="385" t="str">
        <f>IF(AC514=TRUE,IF(COUNTIF(MSPara_SourceStreamCategory,V514)=0,"",INDEX(MSPara_CalcFactorsMatrix,MATCH(V514,MSPara_SourceStreamCategory,0),MATCH(AQ514&amp;"_"&amp;2,MSPara_CalcFactors,0))),"")</f>
        <v/>
      </c>
      <c r="AT514" s="459"/>
      <c r="AU514" s="477" t="str">
        <f>IF(OR(AA514="",AS514=EUconst_NA),"",AS514)</f>
        <v/>
      </c>
      <c r="AV514" s="453">
        <f>IF(AC514=TRUE,IF(COUNT(K514:L514)=0,0,IF(L514="",K514,L514)),0)</f>
        <v>0</v>
      </c>
      <c r="AW514" s="382" t="b">
        <f>AND(AC514=TRUE,OR(AND(F514&lt;&gt;"",NOT(ISNUMBER(AA514))),L514&lt;&gt;"",F514="",AU514=""))</f>
        <v>0</v>
      </c>
      <c r="AX514" s="478" t="b">
        <f>AND(AC514=TRUE,NOT(AW514))</f>
        <v>0</v>
      </c>
      <c r="AY514" s="325"/>
      <c r="AZ514" s="386" t="b">
        <f>AND(ISNUMBER(AA514),AU514="")</f>
        <v>0</v>
      </c>
      <c r="BA514" s="387" t="b">
        <f>AND(ISNUMBER(AA514),AU514&lt;&gt;AV514)</f>
        <v>0</v>
      </c>
      <c r="BB514" s="325"/>
      <c r="BC514" s="382" t="b">
        <f>AND(L514&lt;&gt;"",Y514=EUconst_NA)</f>
        <v>0</v>
      </c>
      <c r="BD514" s="382" t="b">
        <f>OR(AV513&gt;100%,(AV513+AV514)&gt;100%)</f>
        <v>0</v>
      </c>
      <c r="BE514" s="325"/>
      <c r="BF514" s="386" t="s">
        <v>134</v>
      </c>
      <c r="BG514" s="499" t="str">
        <f>IF(AN509=EUconst_TJ,AV509*AV513,IF(AN511=EUconst_GJ,AV509*AV511/1000*AV513,""))</f>
        <v/>
      </c>
      <c r="BH514" s="325"/>
      <c r="BI514" s="325"/>
      <c r="BJ514" s="325"/>
      <c r="BK514" s="325"/>
      <c r="BL514" s="325"/>
      <c r="BM514" s="325"/>
      <c r="BN514" s="325"/>
      <c r="BO514" s="325"/>
      <c r="BP514" s="325"/>
      <c r="BQ514" s="325"/>
      <c r="BR514" s="325"/>
      <c r="BS514" s="325"/>
      <c r="BT514" s="325"/>
      <c r="BU514" s="325"/>
      <c r="BV514" s="325"/>
      <c r="BW514" s="325"/>
      <c r="BX514" s="325"/>
      <c r="BY514" s="325"/>
      <c r="BZ514" s="325"/>
      <c r="CA514" s="325"/>
      <c r="CB514" s="325"/>
      <c r="CC514" s="325"/>
      <c r="CD514" s="325"/>
      <c r="CE514" s="325"/>
      <c r="CF514" s="325"/>
      <c r="CG514" s="382" t="b">
        <f>OR(CG509,Y514=EUconst_NA)</f>
        <v>0</v>
      </c>
    </row>
    <row r="515" spans="1:85" ht="5.15" customHeight="1" thickBot="1" x14ac:dyDescent="0.3">
      <c r="A515" s="318"/>
      <c r="B515" s="21"/>
      <c r="C515" s="21"/>
      <c r="D515" s="327"/>
      <c r="E515" s="22"/>
      <c r="F515" s="22"/>
      <c r="G515" s="22"/>
      <c r="H515" s="22"/>
      <c r="I515" s="22"/>
      <c r="J515" s="22"/>
      <c r="K515" s="22"/>
      <c r="L515" s="22"/>
      <c r="M515" s="488"/>
      <c r="N515" s="22"/>
      <c r="O515" s="323"/>
      <c r="P515" s="301"/>
      <c r="Q515" s="23"/>
      <c r="R515" s="23"/>
      <c r="S515" s="325"/>
      <c r="T515" s="325"/>
      <c r="U515" s="325"/>
      <c r="V515" s="325"/>
      <c r="W515" s="325"/>
      <c r="X515" s="325"/>
      <c r="Y515" s="325"/>
      <c r="Z515" s="325"/>
      <c r="AA515" s="325"/>
      <c r="AB515" s="325"/>
      <c r="AC515" s="325"/>
      <c r="AD515" s="325"/>
      <c r="AE515" s="325"/>
      <c r="AF515" s="325"/>
      <c r="AG515" s="325"/>
      <c r="AH515" s="325"/>
      <c r="AI515" s="325"/>
      <c r="AJ515" s="325"/>
      <c r="AK515" s="325"/>
      <c r="AL515" s="325"/>
      <c r="AM515" s="325"/>
      <c r="AN515" s="325"/>
      <c r="AO515" s="325"/>
      <c r="AP515" s="325"/>
      <c r="AQ515" s="325"/>
      <c r="AR515" s="325"/>
      <c r="AS515" s="325"/>
      <c r="AT515" s="325"/>
      <c r="AU515" s="325"/>
      <c r="AV515" s="325"/>
      <c r="AW515" s="325"/>
      <c r="AX515" s="325"/>
      <c r="AY515" s="325"/>
      <c r="AZ515" s="325"/>
      <c r="BA515" s="325"/>
      <c r="BB515" s="325"/>
      <c r="BC515" s="325"/>
      <c r="BD515" s="325"/>
      <c r="BE515" s="325"/>
      <c r="BF515" s="325"/>
      <c r="BG515" s="325"/>
      <c r="BH515" s="325"/>
      <c r="BI515" s="325"/>
      <c r="BJ515" s="325"/>
      <c r="BK515" s="325"/>
      <c r="BL515" s="325"/>
      <c r="BM515" s="325"/>
      <c r="BN515" s="325"/>
      <c r="BO515" s="325"/>
      <c r="BP515" s="325"/>
      <c r="BQ515" s="325"/>
      <c r="BR515" s="325"/>
      <c r="BS515" s="325"/>
      <c r="BT515" s="325"/>
      <c r="BU515" s="325"/>
      <c r="BV515" s="325"/>
      <c r="BW515" s="325"/>
      <c r="BX515" s="325"/>
      <c r="BY515" s="325"/>
      <c r="BZ515" s="325"/>
      <c r="CA515" s="325"/>
      <c r="CB515" s="325"/>
      <c r="CC515" s="325"/>
      <c r="CD515" s="325"/>
      <c r="CE515" s="325"/>
      <c r="CF515" s="325"/>
      <c r="CG515" s="325"/>
    </row>
    <row r="516" spans="1:85" ht="12.75" customHeight="1" thickBot="1" x14ac:dyDescent="0.3">
      <c r="A516" s="318"/>
      <c r="B516" s="21"/>
      <c r="C516" s="344"/>
      <c r="D516" s="345" t="str">
        <f>Translations!$B$398</f>
        <v>Soveltamisalakerroin:</v>
      </c>
      <c r="E516" s="479"/>
      <c r="F516" s="803"/>
      <c r="G516" s="1125"/>
      <c r="H516" s="1126"/>
      <c r="I516" s="492" t="s">
        <v>52</v>
      </c>
      <c r="J516" s="480"/>
      <c r="K516" s="481" t="str">
        <f>IF(L516="",AU516,"")</f>
        <v/>
      </c>
      <c r="L516" s="607"/>
      <c r="M516" s="489" t="str">
        <f>IF(AND(E504&lt;&gt;"",OR(F516="",G516="",COUNT(K516:L516)=0)),EUconst_ERR_Incomplete,IF(COUNTIF(BB516:BD516,TRUE)&gt;0,EUconst_ERR_Inconsistent,""))</f>
        <v/>
      </c>
      <c r="N516" s="22"/>
      <c r="O516" s="323"/>
      <c r="P516" s="301"/>
      <c r="Q516" s="23"/>
      <c r="R516" s="325"/>
      <c r="S516" s="10"/>
      <c r="T516" s="48" t="str">
        <f>EUconst_CNTR_ScopeFactor&amp;E504</f>
        <v>ScopeFactor_</v>
      </c>
      <c r="U516" s="248" t="str">
        <f>IF(F516="","",INDEX(ScopeAddress,MATCH(F516,ScopeTiers,0)))</f>
        <v/>
      </c>
      <c r="V516" s="382" t="str">
        <f>V509</f>
        <v/>
      </c>
      <c r="W516" s="325"/>
      <c r="X516" s="325"/>
      <c r="Y516" s="452" t="str">
        <f>IF(E504="","",IF(F516=EUconst_NA,EUconst_NA,INDEX(EUwideConstants!$P$153:$P$180,MATCH(T516,EUwideConstants!$S$153:$S$180,0))))</f>
        <v/>
      </c>
      <c r="Z516" s="473" t="str">
        <f>IF(ISBLANK(F516),"",IF(F516=EUconst_NA,"",INDEX(EUwideConstants!$H:$O,MATCH(T516,EUwideConstants!$S:$S,0),MATCH(F516,CNTR_TierList,0))))</f>
        <v/>
      </c>
      <c r="AA516" s="339" t="str">
        <f>IF(G516=EUwideConstants!$A$88,1,"")</f>
        <v/>
      </c>
      <c r="AB516" s="325"/>
      <c r="AC516" s="376" t="b">
        <f>AND(AC509,Y516&lt;&gt;EUconst_NA)</f>
        <v>0</v>
      </c>
      <c r="AD516" s="325"/>
      <c r="AE516" s="325"/>
      <c r="AF516" s="325"/>
      <c r="AG516" s="330"/>
      <c r="AH516" s="325"/>
      <c r="AI516" s="325"/>
      <c r="AJ516" s="325"/>
      <c r="AK516" s="325"/>
      <c r="AL516" s="325"/>
      <c r="AM516" s="325"/>
      <c r="AN516" s="325"/>
      <c r="AO516" s="325"/>
      <c r="AP516" s="325"/>
      <c r="AQ516" s="325"/>
      <c r="AR516" s="325"/>
      <c r="AS516" s="338">
        <v>1</v>
      </c>
      <c r="AT516" s="325"/>
      <c r="AU516" s="330" t="str">
        <f>IF(G516=EUwideConstants!$A$88,AS516,"")</f>
        <v/>
      </c>
      <c r="AV516" s="376">
        <f>IF(AC516=TRUE,IF(COUNT(K516:L516)=0,0,IF(L516="",K516,L516)),0)</f>
        <v>0</v>
      </c>
      <c r="AW516" s="375" t="b">
        <f>AND(AC516=TRUE,OR(AND(F516&lt;&gt;"",NOT(ISNUMBER(AA516))),L516&lt;&gt;"",F516="",AU516=""))</f>
        <v>0</v>
      </c>
      <c r="AX516" s="457" t="b">
        <f>AND(AC516=TRUE,NOT(AW516))</f>
        <v>0</v>
      </c>
      <c r="AY516" s="325"/>
      <c r="AZ516" s="379" t="b">
        <f>AND(ISNUMBER(AA516),AU516="")</f>
        <v>0</v>
      </c>
      <c r="BA516" s="380" t="b">
        <f>AND(ISNUMBER(AA516),AU516&lt;&gt;AV516)</f>
        <v>0</v>
      </c>
      <c r="BB516" s="325"/>
      <c r="BC516" s="33" t="b">
        <f>AND(F516&lt;&gt;"",OR(COUNTIF(INDEX(ScopeMethods,F516,),G516)=0,AND(AA516&lt;&gt;"",AU516&lt;&gt;AV516)))</f>
        <v>0</v>
      </c>
      <c r="BD516" s="325"/>
      <c r="BE516" s="325"/>
      <c r="BF516" s="325"/>
      <c r="BG516" s="325"/>
      <c r="BH516" s="325"/>
      <c r="BI516" s="325"/>
      <c r="BJ516" s="325"/>
      <c r="BK516" s="325"/>
      <c r="BL516" s="325"/>
      <c r="BM516" s="325"/>
      <c r="BN516" s="325"/>
      <c r="BO516" s="325"/>
      <c r="BP516" s="325"/>
      <c r="BQ516" s="325"/>
      <c r="BR516" s="325"/>
      <c r="BS516" s="325"/>
      <c r="BT516" s="325"/>
      <c r="BU516" s="325"/>
      <c r="BV516" s="325"/>
      <c r="BW516" s="325"/>
      <c r="BX516" s="325"/>
      <c r="BY516" s="325"/>
      <c r="BZ516" s="325"/>
      <c r="CA516" s="325"/>
      <c r="CB516" s="325"/>
      <c r="CC516" s="325"/>
      <c r="CD516" s="325"/>
      <c r="CE516" s="325"/>
      <c r="CF516" s="325"/>
      <c r="CG516" s="325"/>
    </row>
    <row r="517" spans="1:85" ht="12.75" customHeight="1" x14ac:dyDescent="0.25">
      <c r="A517" s="318"/>
      <c r="B517" s="21"/>
      <c r="C517" s="21"/>
      <c r="D517" s="21"/>
      <c r="E517" s="21"/>
      <c r="F517" s="21"/>
      <c r="G517" s="1130" t="str">
        <f>IF(G516="","",INDEX(ScopeMethodsDetails,MATCH(G516,INDEX(ScopeMethodsDetails,,1),0),2))</f>
        <v/>
      </c>
      <c r="H517" s="1131"/>
      <c r="I517" s="1131"/>
      <c r="J517" s="1131"/>
      <c r="K517" s="1131"/>
      <c r="L517" s="1131"/>
      <c r="M517" s="1132"/>
      <c r="N517" s="22"/>
      <c r="O517" s="323"/>
      <c r="P517" s="301"/>
      <c r="Q517" s="23"/>
      <c r="R517" s="23"/>
      <c r="S517" s="325"/>
      <c r="T517" s="325"/>
      <c r="U517" s="325"/>
      <c r="V517" s="325"/>
      <c r="W517" s="325"/>
      <c r="X517" s="325"/>
      <c r="Y517" s="325"/>
      <c r="Z517" s="325"/>
      <c r="AA517" s="325"/>
      <c r="AB517" s="325"/>
      <c r="AC517" s="325"/>
      <c r="AD517" s="325"/>
      <c r="AE517" s="325"/>
      <c r="AF517" s="325"/>
      <c r="AG517" s="325"/>
      <c r="AH517" s="325"/>
      <c r="AI517" s="325"/>
      <c r="AJ517" s="325"/>
      <c r="AK517" s="325"/>
      <c r="AL517" s="325"/>
      <c r="AM517" s="325"/>
      <c r="AN517" s="325"/>
      <c r="AO517" s="325"/>
      <c r="AP517" s="325"/>
      <c r="AQ517" s="325"/>
      <c r="AR517" s="325"/>
      <c r="AS517" s="325"/>
      <c r="AT517" s="325"/>
      <c r="AU517" s="325"/>
      <c r="AV517" s="325"/>
      <c r="AW517" s="325"/>
      <c r="AX517" s="325"/>
      <c r="AY517" s="325"/>
      <c r="AZ517" s="325"/>
      <c r="BA517" s="325"/>
      <c r="BB517" s="325"/>
      <c r="BC517" s="325"/>
      <c r="BD517" s="325"/>
      <c r="BE517" s="325"/>
      <c r="BF517" s="325"/>
      <c r="BG517" s="325"/>
      <c r="BH517" s="325"/>
      <c r="BI517" s="325"/>
      <c r="BJ517" s="325"/>
      <c r="BK517" s="325"/>
      <c r="BL517" s="325"/>
      <c r="BM517" s="325"/>
      <c r="BN517" s="325"/>
      <c r="BO517" s="325"/>
      <c r="BP517" s="325"/>
      <c r="BQ517" s="325"/>
      <c r="BR517" s="325"/>
      <c r="BS517" s="325"/>
      <c r="BT517" s="325"/>
      <c r="BU517" s="325"/>
      <c r="BV517" s="325"/>
      <c r="BW517" s="325"/>
      <c r="BX517" s="325"/>
      <c r="BY517" s="325"/>
      <c r="BZ517" s="325"/>
      <c r="CA517" s="325"/>
      <c r="CB517" s="325"/>
      <c r="CC517" s="325"/>
      <c r="CD517" s="325"/>
      <c r="CE517" s="325"/>
      <c r="CF517" s="325"/>
      <c r="CG517" s="325"/>
    </row>
    <row r="518" spans="1:85" ht="5.15" customHeight="1" x14ac:dyDescent="0.25">
      <c r="A518" s="318"/>
      <c r="C518" s="22"/>
      <c r="D518" s="22"/>
      <c r="E518" s="22"/>
      <c r="F518" s="22"/>
      <c r="G518" s="22"/>
      <c r="H518" s="22"/>
      <c r="I518" s="22"/>
      <c r="J518" s="22"/>
      <c r="K518" s="22"/>
      <c r="L518" s="22"/>
      <c r="O518" s="323"/>
      <c r="P518" s="301"/>
      <c r="Q518" s="23"/>
      <c r="R518" s="23"/>
      <c r="S518" s="325"/>
      <c r="T518" s="325"/>
      <c r="U518" s="325"/>
      <c r="V518" s="325"/>
      <c r="W518" s="325"/>
      <c r="X518" s="325"/>
      <c r="Y518" s="325"/>
      <c r="Z518" s="325"/>
      <c r="AA518" s="325"/>
      <c r="AB518" s="325"/>
      <c r="AC518" s="325"/>
      <c r="AD518" s="325"/>
      <c r="AE518" s="325"/>
      <c r="AF518" s="325"/>
      <c r="AG518" s="325"/>
      <c r="AH518" s="325"/>
      <c r="AI518" s="325"/>
      <c r="AJ518" s="325"/>
      <c r="AK518" s="325"/>
      <c r="AL518" s="325"/>
      <c r="AM518" s="325"/>
      <c r="AN518" s="325"/>
      <c r="AO518" s="325"/>
      <c r="AP518" s="325"/>
      <c r="AQ518" s="325"/>
      <c r="AR518" s="325"/>
      <c r="AS518" s="325"/>
      <c r="AT518" s="325"/>
      <c r="AU518" s="325"/>
      <c r="AV518" s="325"/>
      <c r="AW518" s="325"/>
      <c r="AX518" s="325"/>
      <c r="AY518" s="325"/>
      <c r="AZ518" s="325"/>
      <c r="BA518" s="325"/>
      <c r="BB518" s="325"/>
      <c r="BC518" s="325"/>
      <c r="BD518" s="325"/>
      <c r="BE518" s="325"/>
      <c r="BF518" s="325"/>
      <c r="BG518" s="325"/>
      <c r="BH518" s="325"/>
      <c r="BI518" s="325"/>
      <c r="BJ518" s="325"/>
      <c r="BK518" s="325"/>
      <c r="BL518" s="325"/>
      <c r="BM518" s="325"/>
      <c r="BN518" s="325"/>
      <c r="BO518" s="325"/>
      <c r="BP518" s="325"/>
      <c r="BQ518" s="325"/>
      <c r="BR518" s="325"/>
      <c r="BS518" s="325"/>
      <c r="BT518" s="325"/>
      <c r="BU518" s="325"/>
      <c r="BV518" s="325"/>
      <c r="BW518" s="325"/>
      <c r="BX518" s="325"/>
      <c r="BY518" s="325"/>
      <c r="BZ518" s="325"/>
      <c r="CA518" s="325"/>
      <c r="CB518" s="325"/>
      <c r="CC518" s="325"/>
      <c r="CD518" s="325"/>
      <c r="CE518" s="325"/>
      <c r="CF518" s="325"/>
      <c r="CG518" s="325"/>
    </row>
    <row r="519" spans="1:85" ht="12.75" customHeight="1" x14ac:dyDescent="0.25">
      <c r="A519" s="318"/>
      <c r="C519" s="22"/>
      <c r="D519" s="22"/>
      <c r="E519" s="22"/>
      <c r="F519" s="22"/>
      <c r="G519" s="1133">
        <v>1</v>
      </c>
      <c r="H519" s="1133"/>
      <c r="I519" s="1133">
        <v>2</v>
      </c>
      <c r="J519" s="1133"/>
      <c r="K519" s="1133">
        <v>3</v>
      </c>
      <c r="L519" s="1133"/>
      <c r="O519" s="323"/>
      <c r="P519" s="301"/>
      <c r="Q519" s="23"/>
      <c r="R519" s="23"/>
      <c r="S519" s="325"/>
      <c r="T519" s="325"/>
      <c r="U519" s="325"/>
      <c r="V519" s="325"/>
      <c r="W519" s="325"/>
      <c r="X519" s="325"/>
      <c r="Y519" s="325"/>
      <c r="Z519" s="325"/>
      <c r="AA519" s="325"/>
      <c r="AB519" s="325"/>
      <c r="AC519" s="325"/>
      <c r="AD519" s="325"/>
      <c r="AE519" s="325"/>
      <c r="AF519" s="325"/>
      <c r="AG519" s="325"/>
      <c r="AH519" s="325"/>
      <c r="AI519" s="325"/>
      <c r="AJ519" s="325"/>
      <c r="AK519" s="325"/>
      <c r="AL519" s="325"/>
      <c r="AM519" s="325"/>
      <c r="AN519" s="325"/>
      <c r="AO519" s="325"/>
      <c r="AP519" s="325"/>
      <c r="AQ519" s="325"/>
      <c r="AR519" s="325"/>
      <c r="AS519" s="325"/>
      <c r="AT519" s="325"/>
      <c r="AU519" s="325"/>
      <c r="AV519" s="325"/>
      <c r="AW519" s="325"/>
      <c r="AX519" s="325"/>
      <c r="AY519" s="325"/>
      <c r="AZ519" s="325"/>
      <c r="BA519" s="325"/>
      <c r="BB519" s="325"/>
      <c r="BC519" s="325"/>
      <c r="BD519" s="325"/>
      <c r="BE519" s="325"/>
      <c r="BF519" s="325"/>
      <c r="BG519" s="325"/>
      <c r="BH519" s="325"/>
      <c r="BI519" s="325"/>
      <c r="BJ519" s="325"/>
      <c r="BK519" s="325"/>
      <c r="BL519" s="325"/>
      <c r="BM519" s="325"/>
      <c r="BN519" s="325"/>
      <c r="BO519" s="325"/>
      <c r="BP519" s="325"/>
      <c r="BQ519" s="325"/>
      <c r="BR519" s="325"/>
      <c r="BS519" s="325"/>
      <c r="BT519" s="325"/>
      <c r="BU519" s="325"/>
      <c r="BV519" s="325"/>
      <c r="BW519" s="325"/>
      <c r="BX519" s="325"/>
      <c r="BY519" s="325"/>
      <c r="BZ519" s="325"/>
      <c r="CA519" s="325"/>
      <c r="CB519" s="325"/>
      <c r="CC519" s="325"/>
      <c r="CD519" s="325"/>
      <c r="CE519" s="325"/>
      <c r="CF519" s="325"/>
      <c r="CG519" s="325"/>
    </row>
    <row r="520" spans="1:85" ht="12.75" customHeight="1" x14ac:dyDescent="0.25">
      <c r="A520" s="389"/>
      <c r="B520" s="22"/>
      <c r="C520" s="22"/>
      <c r="D520" s="1134" t="str">
        <f>Translations!$B$372</f>
        <v>CRF-luokka</v>
      </c>
      <c r="E520" s="1134"/>
      <c r="F520" s="1135"/>
      <c r="G520" s="1123"/>
      <c r="H520" s="1124"/>
      <c r="I520" s="1123"/>
      <c r="J520" s="1124"/>
      <c r="K520" s="1123"/>
      <c r="L520" s="1124"/>
      <c r="M520" s="623" t="str">
        <f>IF(AND(E503&lt;&gt;"",COUNTA(G520:L520)=0,AX520=FALSE),EUconst_ERR_Incomplete,"")</f>
        <v/>
      </c>
      <c r="N520" s="22"/>
      <c r="O520" s="323"/>
      <c r="P520" s="301"/>
      <c r="Q520" s="23"/>
      <c r="R520" s="23"/>
      <c r="S520" s="325"/>
      <c r="T520" s="325"/>
      <c r="U520" s="325"/>
      <c r="V520" s="325"/>
      <c r="W520" s="325"/>
      <c r="X520" s="325"/>
      <c r="Y520" s="325"/>
      <c r="Z520" s="325"/>
      <c r="AA520" s="325"/>
      <c r="AB520" s="325"/>
      <c r="AC520" s="325"/>
      <c r="AD520" s="325"/>
      <c r="AE520" s="325"/>
      <c r="AF520" s="325"/>
      <c r="AG520" s="325"/>
      <c r="AH520" s="325"/>
      <c r="AI520" s="325"/>
      <c r="AJ520" s="325"/>
      <c r="AK520" s="325"/>
      <c r="AL520" s="325"/>
      <c r="AM520" s="325"/>
      <c r="AN520" s="325"/>
      <c r="AO520" s="325"/>
      <c r="AP520" s="325"/>
      <c r="AQ520" s="325"/>
      <c r="AR520" s="325"/>
      <c r="AS520" s="325"/>
      <c r="AT520" s="325"/>
      <c r="AU520" s="325"/>
      <c r="AV520" s="325"/>
      <c r="AW520" s="325"/>
      <c r="AX520" s="33" t="b">
        <f>AND(AV516&lt;&gt;"",SUM(AV516=1))</f>
        <v>0</v>
      </c>
      <c r="AY520" s="325"/>
      <c r="AZ520" s="325"/>
      <c r="BA520" s="325"/>
      <c r="BB520" s="325"/>
      <c r="BC520" s="325"/>
      <c r="BD520" s="325"/>
      <c r="BE520" s="325"/>
      <c r="BF520" s="325"/>
      <c r="BG520" s="325"/>
      <c r="BH520" s="325"/>
      <c r="BI520" s="325"/>
      <c r="BJ520" s="325"/>
      <c r="BK520" s="325"/>
      <c r="BL520" s="325"/>
      <c r="BM520" s="325"/>
      <c r="BN520" s="325"/>
      <c r="BO520" s="325"/>
      <c r="BP520" s="325"/>
      <c r="BQ520" s="325"/>
      <c r="BR520" s="325"/>
      <c r="BS520" s="325"/>
      <c r="BT520" s="325"/>
      <c r="BU520" s="325"/>
      <c r="BV520" s="325"/>
      <c r="BW520" s="325"/>
      <c r="BX520" s="325"/>
      <c r="BY520" s="325"/>
      <c r="BZ520" s="325"/>
      <c r="CA520" s="325"/>
      <c r="CB520" s="325"/>
      <c r="CC520" s="325"/>
      <c r="CD520" s="325"/>
      <c r="CE520" s="325"/>
      <c r="CF520" s="325"/>
      <c r="CG520" s="325"/>
    </row>
    <row r="521" spans="1:85" ht="5.15" customHeight="1" x14ac:dyDescent="0.25">
      <c r="A521" s="318"/>
      <c r="B521" s="21"/>
      <c r="C521" s="21"/>
      <c r="D521" s="21"/>
      <c r="E521" s="21"/>
      <c r="F521" s="21"/>
      <c r="G521" s="22"/>
      <c r="H521" s="22"/>
      <c r="I521" s="22"/>
      <c r="J521" s="22"/>
      <c r="K521" s="22"/>
      <c r="L521" s="22"/>
      <c r="M521" s="22"/>
      <c r="N521" s="22"/>
      <c r="O521" s="323"/>
      <c r="P521" s="301"/>
      <c r="Q521" s="23"/>
      <c r="R521" s="23"/>
      <c r="S521" s="325"/>
      <c r="T521" s="325"/>
      <c r="U521" s="325"/>
      <c r="V521" s="325"/>
      <c r="W521" s="325"/>
      <c r="X521" s="325"/>
      <c r="Y521" s="325"/>
      <c r="Z521" s="325"/>
      <c r="AA521" s="325"/>
      <c r="AB521" s="325"/>
      <c r="AC521" s="325"/>
      <c r="AD521" s="325"/>
      <c r="AE521" s="325"/>
      <c r="AF521" s="325"/>
      <c r="AG521" s="325"/>
      <c r="AH521" s="325"/>
      <c r="AI521" s="325"/>
      <c r="AJ521" s="325"/>
      <c r="AK521" s="325"/>
      <c r="AL521" s="325"/>
      <c r="AM521" s="325"/>
      <c r="AN521" s="325"/>
      <c r="AO521" s="325"/>
      <c r="AP521" s="325"/>
      <c r="AQ521" s="325"/>
      <c r="AR521" s="325"/>
      <c r="AS521" s="325"/>
      <c r="AT521" s="325"/>
      <c r="AU521" s="325"/>
      <c r="AV521" s="325"/>
      <c r="AW521" s="325"/>
      <c r="AX521" s="325"/>
      <c r="AY521" s="325"/>
      <c r="AZ521" s="325"/>
      <c r="BA521" s="325"/>
      <c r="BB521" s="325"/>
      <c r="BC521" s="325"/>
      <c r="BD521" s="325"/>
      <c r="BE521" s="325"/>
      <c r="BF521" s="325"/>
      <c r="BG521" s="325"/>
      <c r="BH521" s="325"/>
      <c r="BI521" s="325"/>
      <c r="BJ521" s="325"/>
      <c r="BK521" s="325"/>
      <c r="BL521" s="325"/>
      <c r="BM521" s="325"/>
      <c r="BN521" s="325"/>
      <c r="BO521" s="325"/>
      <c r="BP521" s="325"/>
      <c r="BQ521" s="325"/>
      <c r="BR521" s="325"/>
      <c r="BS521" s="325"/>
      <c r="BT521" s="325"/>
      <c r="BU521" s="325"/>
      <c r="BV521" s="325"/>
      <c r="BW521" s="325"/>
      <c r="BX521" s="325"/>
      <c r="BY521" s="325"/>
      <c r="BZ521" s="325"/>
      <c r="CA521" s="325"/>
      <c r="CB521" s="325"/>
      <c r="CC521" s="325"/>
      <c r="CD521" s="325"/>
      <c r="CE521" s="325"/>
      <c r="CF521" s="325"/>
      <c r="CG521" s="325"/>
    </row>
    <row r="522" spans="1:85" ht="6.65" customHeight="1" x14ac:dyDescent="0.25">
      <c r="A522" s="318"/>
      <c r="B522" s="21"/>
      <c r="C522" s="21"/>
      <c r="D522" s="1145"/>
      <c r="E522" s="1145"/>
      <c r="F522" s="1145"/>
      <c r="G522" s="806"/>
      <c r="H522" s="807"/>
      <c r="I522" s="806"/>
      <c r="J522" s="236"/>
      <c r="K522" s="236"/>
      <c r="L522" s="236"/>
      <c r="M522" s="807"/>
      <c r="N522" s="808"/>
      <c r="O522" s="323"/>
      <c r="P522" s="301"/>
      <c r="Q522" s="23"/>
      <c r="R522" s="23"/>
      <c r="S522" s="388"/>
      <c r="T522" s="325"/>
      <c r="U522" s="325"/>
      <c r="V522" s="325"/>
      <c r="W522" s="325"/>
      <c r="X522" s="325"/>
      <c r="Y522" s="325"/>
      <c r="Z522" s="325"/>
      <c r="AA522" s="325"/>
      <c r="AB522" s="325"/>
      <c r="AC522" s="325"/>
      <c r="AD522" s="325"/>
      <c r="AE522" s="325"/>
      <c r="AF522" s="325"/>
      <c r="AG522" s="325"/>
      <c r="AH522" s="325"/>
      <c r="AI522" s="325"/>
      <c r="AJ522" s="325"/>
      <c r="AK522" s="325"/>
      <c r="AL522" s="325"/>
      <c r="AM522" s="325"/>
      <c r="AN522" s="325"/>
      <c r="AO522" s="325"/>
      <c r="AP522" s="325"/>
      <c r="AQ522" s="325"/>
      <c r="AR522" s="325"/>
      <c r="AS522" s="325"/>
      <c r="AT522" s="325"/>
      <c r="AU522" s="325"/>
      <c r="AV522" s="325"/>
      <c r="AW522" s="325"/>
      <c r="AX522" s="325"/>
      <c r="AY522" s="325"/>
      <c r="AZ522" s="325"/>
      <c r="BA522" s="325"/>
      <c r="BB522" s="325"/>
      <c r="BC522" s="325"/>
      <c r="BD522" s="325"/>
      <c r="BE522" s="325"/>
      <c r="BF522" s="325"/>
      <c r="BG522" s="325"/>
      <c r="BH522" s="325"/>
      <c r="BI522" s="325"/>
      <c r="BJ522" s="325"/>
      <c r="BK522" s="325"/>
      <c r="BL522" s="325"/>
      <c r="BM522" s="325"/>
      <c r="BN522" s="325"/>
      <c r="BO522" s="325"/>
      <c r="BP522" s="325"/>
      <c r="BQ522" s="325"/>
      <c r="BR522" s="325"/>
      <c r="BS522" s="325"/>
      <c r="BT522" s="325"/>
      <c r="BU522" s="325"/>
      <c r="BV522" s="325"/>
      <c r="BW522" s="325"/>
      <c r="BX522" s="325"/>
      <c r="BY522" s="325"/>
      <c r="BZ522" s="325"/>
      <c r="CA522" s="325"/>
      <c r="CB522" s="325"/>
      <c r="CC522" s="325"/>
      <c r="CD522" s="325"/>
      <c r="CE522" s="325"/>
      <c r="CF522" s="325"/>
      <c r="CG522" s="33" t="b">
        <f>CG509</f>
        <v>0</v>
      </c>
    </row>
    <row r="523" spans="1:85" ht="5.15" customHeight="1" x14ac:dyDescent="0.25">
      <c r="A523" s="389"/>
      <c r="B523" s="22"/>
      <c r="C523" s="22"/>
      <c r="D523" s="22"/>
      <c r="E523" s="1116" t="str">
        <f>Translations!$B$304</f>
        <v xml:space="preserve">Lisätiedot: 
tapa, jolla biomassan kestävyys on osoitettu; 
muut polttoainevirtaa koskevat lisätiedot. </v>
      </c>
      <c r="F523" s="1116"/>
      <c r="G523" s="22"/>
      <c r="H523" s="22"/>
      <c r="I523" s="22"/>
      <c r="J523" s="22"/>
      <c r="K523" s="22"/>
      <c r="L523" s="22"/>
      <c r="M523" s="22"/>
      <c r="N523" s="22"/>
      <c r="O523" s="323"/>
      <c r="P523" s="301"/>
      <c r="Q523" s="23"/>
      <c r="R523" s="23"/>
      <c r="S523" s="325"/>
      <c r="T523" s="325"/>
      <c r="U523" s="325"/>
      <c r="V523" s="325"/>
      <c r="W523" s="325"/>
      <c r="X523" s="325"/>
      <c r="Y523" s="325"/>
      <c r="Z523" s="325"/>
      <c r="AA523" s="325"/>
      <c r="AB523" s="325"/>
      <c r="AC523" s="325"/>
      <c r="AD523" s="325"/>
      <c r="AE523" s="325"/>
      <c r="AF523" s="325"/>
      <c r="AG523" s="325"/>
      <c r="AH523" s="325"/>
      <c r="AI523" s="325"/>
      <c r="AJ523" s="325"/>
      <c r="AK523" s="325"/>
      <c r="AL523" s="325"/>
      <c r="AM523" s="325"/>
      <c r="AN523" s="325"/>
      <c r="AO523" s="325"/>
      <c r="AP523" s="325"/>
      <c r="AQ523" s="325"/>
      <c r="AR523" s="325"/>
      <c r="AS523" s="325"/>
      <c r="AT523" s="325"/>
      <c r="AU523" s="325"/>
      <c r="AV523" s="325"/>
      <c r="AW523" s="325"/>
      <c r="AX523" s="325"/>
      <c r="AY523" s="325"/>
      <c r="AZ523" s="325"/>
      <c r="BA523" s="325"/>
      <c r="BB523" s="325"/>
      <c r="BC523" s="325"/>
      <c r="BD523" s="325"/>
      <c r="BE523" s="325"/>
      <c r="BF523" s="325"/>
      <c r="BG523" s="325"/>
      <c r="BH523" s="325"/>
      <c r="BI523" s="325"/>
      <c r="BJ523" s="325"/>
      <c r="BK523" s="325"/>
      <c r="BL523" s="325"/>
      <c r="BM523" s="325"/>
      <c r="BN523" s="325"/>
      <c r="BO523" s="325"/>
      <c r="BP523" s="325"/>
      <c r="BQ523" s="325"/>
      <c r="BR523" s="325"/>
      <c r="BS523" s="325"/>
      <c r="BT523" s="325"/>
      <c r="BU523" s="325"/>
      <c r="BV523" s="325"/>
      <c r="BW523" s="325"/>
      <c r="BX523" s="325"/>
      <c r="BY523" s="325"/>
      <c r="BZ523" s="325"/>
      <c r="CA523" s="325"/>
      <c r="CB523" s="325"/>
      <c r="CC523" s="325"/>
      <c r="CD523" s="325"/>
      <c r="CE523" s="325"/>
      <c r="CF523" s="325"/>
      <c r="CG523" s="325"/>
    </row>
    <row r="524" spans="1:85" ht="45" customHeight="1" x14ac:dyDescent="0.25">
      <c r="A524" s="389"/>
      <c r="B524" s="22"/>
      <c r="C524" s="22"/>
      <c r="D524" s="4"/>
      <c r="E524" s="1116"/>
      <c r="F524" s="1116"/>
      <c r="G524" s="1146"/>
      <c r="H524" s="1147"/>
      <c r="I524" s="1147"/>
      <c r="J524" s="1147"/>
      <c r="K524" s="1147"/>
      <c r="L524" s="1147"/>
      <c r="M524" s="1147"/>
      <c r="N524" s="1148"/>
      <c r="O524" s="323"/>
      <c r="P524" s="301"/>
      <c r="Q524" s="23"/>
      <c r="R524" s="23"/>
      <c r="S524" s="325"/>
      <c r="T524" s="325"/>
      <c r="U524" s="325"/>
      <c r="V524" s="325"/>
      <c r="W524" s="325"/>
      <c r="X524" s="325"/>
      <c r="Y524" s="325"/>
      <c r="Z524" s="325"/>
      <c r="AA524" s="325"/>
      <c r="AB524" s="325"/>
      <c r="AC524" s="325"/>
      <c r="AD524" s="325"/>
      <c r="AE524" s="325"/>
      <c r="AF524" s="325"/>
      <c r="AG524" s="325"/>
      <c r="AH524" s="325"/>
      <c r="AI524" s="325"/>
      <c r="AJ524" s="325"/>
      <c r="AK524" s="325"/>
      <c r="AL524" s="325"/>
      <c r="AM524" s="325"/>
      <c r="AN524" s="325"/>
      <c r="AO524" s="325"/>
      <c r="AP524" s="325"/>
      <c r="AQ524" s="325"/>
      <c r="AR524" s="325"/>
      <c r="AS524" s="325"/>
      <c r="AT524" s="325"/>
      <c r="AU524" s="325"/>
      <c r="AV524" s="325"/>
      <c r="AW524" s="325"/>
      <c r="AX524" s="325"/>
      <c r="AY524" s="325"/>
      <c r="AZ524" s="325"/>
      <c r="BA524" s="325"/>
      <c r="BB524" s="325"/>
      <c r="BC524" s="325"/>
      <c r="BD524" s="325"/>
      <c r="BE524" s="325"/>
      <c r="BF524" s="325"/>
      <c r="BG524" s="325"/>
      <c r="BH524" s="325"/>
      <c r="BI524" s="325"/>
      <c r="BJ524" s="325"/>
      <c r="BK524" s="325"/>
      <c r="BL524" s="325"/>
      <c r="BM524" s="325"/>
      <c r="BN524" s="325"/>
      <c r="BO524" s="325"/>
      <c r="BP524" s="325"/>
      <c r="BQ524" s="325"/>
      <c r="BR524" s="325"/>
      <c r="BS524" s="325"/>
      <c r="BT524" s="325"/>
      <c r="BU524" s="325"/>
      <c r="BV524" s="325"/>
      <c r="BW524" s="325"/>
      <c r="BX524" s="325"/>
      <c r="BY524" s="325"/>
      <c r="BZ524" s="325"/>
      <c r="CA524" s="325"/>
      <c r="CB524" s="325"/>
      <c r="CC524" s="325"/>
      <c r="CD524" s="325"/>
      <c r="CE524" s="325"/>
      <c r="CF524" s="325"/>
      <c r="CG524" s="33" t="b">
        <f>CG522</f>
        <v>0</v>
      </c>
    </row>
    <row r="525" spans="1:85" ht="12.75" customHeight="1" thickBot="1" x14ac:dyDescent="0.3">
      <c r="A525" s="318"/>
      <c r="B525" s="22"/>
      <c r="C525" s="319"/>
      <c r="D525" s="320"/>
      <c r="E525" s="321"/>
      <c r="F525" s="319"/>
      <c r="G525" s="322"/>
      <c r="H525" s="322"/>
      <c r="I525" s="322"/>
      <c r="J525" s="322"/>
      <c r="K525" s="322"/>
      <c r="L525" s="322"/>
      <c r="M525" s="322"/>
      <c r="N525" s="322"/>
      <c r="O525" s="323"/>
      <c r="P525" s="301"/>
      <c r="Q525" s="23"/>
      <c r="R525" s="23"/>
      <c r="S525" s="41"/>
      <c r="T525" s="41"/>
      <c r="U525" s="324"/>
      <c r="V525" s="41"/>
      <c r="W525" s="41"/>
      <c r="X525" s="324"/>
      <c r="Y525" s="41"/>
      <c r="Z525" s="41"/>
      <c r="AA525" s="4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c r="BD525" s="41"/>
      <c r="BE525" s="41"/>
      <c r="BF525" s="41"/>
      <c r="BG525" s="41"/>
      <c r="BH525" s="41"/>
      <c r="BI525" s="41"/>
      <c r="BJ525" s="41"/>
      <c r="BK525" s="41"/>
      <c r="BL525" s="41"/>
      <c r="BM525" s="325"/>
      <c r="BN525" s="325"/>
      <c r="BO525" s="325"/>
      <c r="BP525" s="325"/>
      <c r="BQ525" s="325"/>
      <c r="BR525" s="325"/>
      <c r="BS525" s="325"/>
      <c r="BT525" s="325"/>
      <c r="BU525" s="41"/>
      <c r="BV525" s="41"/>
      <c r="BW525" s="41"/>
      <c r="BX525" s="41"/>
      <c r="BY525" s="41"/>
      <c r="BZ525" s="41"/>
      <c r="CA525" s="41"/>
      <c r="CB525" s="41"/>
      <c r="CC525" s="41"/>
      <c r="CD525" s="41"/>
      <c r="CE525" s="41"/>
      <c r="CF525" s="41"/>
      <c r="CG525" s="41"/>
    </row>
    <row r="526" spans="1:85" ht="12.75" customHeight="1" thickBot="1" x14ac:dyDescent="0.3">
      <c r="A526" s="326"/>
      <c r="B526" s="22"/>
      <c r="C526" s="22"/>
      <c r="D526" s="327"/>
      <c r="E526" s="328"/>
      <c r="F526" s="22"/>
      <c r="G526" s="1"/>
      <c r="H526" s="1"/>
      <c r="I526" s="1"/>
      <c r="J526" s="1"/>
      <c r="K526" s="22"/>
      <c r="L526" s="1"/>
      <c r="M526" s="1"/>
      <c r="N526" s="1"/>
      <c r="O526" s="323"/>
      <c r="P526" s="301"/>
      <c r="Q526" s="23"/>
      <c r="R526" s="23"/>
      <c r="S526" s="2"/>
      <c r="T526" s="20" t="str">
        <f>IF(ISBLANK(E527),"",MATCH(E527,CNTR_SourceStreamNames,0))</f>
        <v/>
      </c>
      <c r="U526" s="329" t="str">
        <f>IF(ISBLANK(E527),"",INDEX('B_Polttoainevirtojen tiedot'!$D$67:$D$91,MATCH(E527,CNTR_SourceStreamNames,0)))</f>
        <v/>
      </c>
      <c r="V526" s="60"/>
      <c r="W526" s="37"/>
      <c r="X526" s="37"/>
      <c r="Y526" s="37"/>
      <c r="Z526" s="41"/>
      <c r="AA526" s="41"/>
      <c r="AB526" s="41"/>
      <c r="AC526" s="41"/>
      <c r="AD526" s="41"/>
      <c r="AE526" s="41"/>
      <c r="AF526" s="41"/>
      <c r="AG526" s="41"/>
      <c r="AH526" s="41"/>
      <c r="AI526" s="41"/>
      <c r="AJ526" s="41"/>
      <c r="AK526" s="23"/>
      <c r="AL526" s="41"/>
      <c r="AM526" s="41"/>
      <c r="AN526" s="41"/>
      <c r="AO526" s="41"/>
      <c r="AP526" s="41"/>
      <c r="AQ526" s="41"/>
      <c r="AR526" s="41"/>
      <c r="AS526" s="41"/>
      <c r="AT526" s="41"/>
      <c r="AU526" s="41"/>
      <c r="AV526" s="41"/>
      <c r="AW526" s="41"/>
      <c r="AX526" s="41"/>
      <c r="AY526" s="41"/>
      <c r="AZ526" s="41"/>
      <c r="BA526" s="41"/>
      <c r="BB526" s="41"/>
      <c r="BC526" s="41"/>
      <c r="BD526" s="41"/>
      <c r="BE526" s="41"/>
      <c r="BF526" s="41"/>
      <c r="BG526" s="41"/>
      <c r="BH526" s="41"/>
      <c r="BI526" s="41"/>
      <c r="BJ526" s="37"/>
      <c r="BK526" s="37"/>
      <c r="BL526" s="37"/>
      <c r="BM526" s="37"/>
      <c r="BN526" s="37"/>
      <c r="BO526" s="37"/>
      <c r="BP526" s="37"/>
      <c r="BQ526" s="37"/>
      <c r="BR526" s="37"/>
      <c r="BS526" s="37"/>
      <c r="BT526" s="37"/>
      <c r="BU526" s="37"/>
      <c r="BV526" s="37"/>
      <c r="BW526" s="37"/>
      <c r="BX526" s="37"/>
      <c r="BY526" s="37"/>
      <c r="BZ526" s="37"/>
      <c r="CA526" s="37"/>
      <c r="CB526" s="37"/>
      <c r="CC526" s="37"/>
      <c r="CD526" s="37"/>
      <c r="CE526" s="37"/>
      <c r="CF526" s="37"/>
      <c r="CG526" s="330" t="s">
        <v>94</v>
      </c>
    </row>
    <row r="527" spans="1:85" ht="15" customHeight="1" thickBot="1" x14ac:dyDescent="0.3">
      <c r="A527" s="331">
        <f>C527</f>
        <v>21</v>
      </c>
      <c r="B527" s="21"/>
      <c r="C527" s="332">
        <f>C503+1</f>
        <v>21</v>
      </c>
      <c r="D527" s="21"/>
      <c r="E527" s="1117"/>
      <c r="F527" s="1118"/>
      <c r="G527" s="1118"/>
      <c r="H527" s="1118"/>
      <c r="I527" s="1118"/>
      <c r="J527" s="1119"/>
      <c r="K527" s="1138" t="str">
        <f>IF(INDEX('B_Polttoainevirtojen tiedot'!$K$100:$K$124,MATCH(U526,'B_Polttoainevirtojen tiedot'!$D$100:$D$124,0))&gt;0,INDEX('B_Polttoainevirtojen tiedot'!$K$100:$K$124,MATCH(U526,'B_Polttoainevirtojen tiedot'!$D$100:$D$124,0)),"")</f>
        <v/>
      </c>
      <c r="L527" s="1139"/>
      <c r="M527" s="328" t="str">
        <f>Translations!$B$374</f>
        <v>CO2 fossiilinen:</v>
      </c>
      <c r="N527" s="401" t="str">
        <f>IF(E528="","",BG533)</f>
        <v/>
      </c>
      <c r="O527" s="333" t="str">
        <f>EUconst_tCO2</f>
        <v>tCO2</v>
      </c>
      <c r="P527" s="610" t="str">
        <f>IF(AND(E527&lt;&gt;"",COUNTIF(P528:$P$811,"PRINT")=0),"PRINT","")</f>
        <v/>
      </c>
      <c r="Q527" s="335" t="str">
        <f>EUconst_SumCO2</f>
        <v>SUM_CO2</v>
      </c>
      <c r="R527" s="23"/>
      <c r="S527" s="2"/>
      <c r="T527" s="2"/>
      <c r="U527" s="2"/>
      <c r="V527" s="60"/>
      <c r="W527" s="37"/>
      <c r="X527" s="41"/>
      <c r="Y527" s="41"/>
      <c r="Z527" s="41"/>
      <c r="AA527" s="41"/>
      <c r="AB527" s="41"/>
      <c r="AC527" s="41"/>
      <c r="AD527" s="41"/>
      <c r="AE527" s="41"/>
      <c r="AF527" s="41"/>
      <c r="AG527" s="41"/>
      <c r="AH527" s="41"/>
      <c r="AI527" s="337"/>
      <c r="AJ527" s="337"/>
      <c r="AK527" s="337"/>
      <c r="AL527" s="337"/>
      <c r="AM527" s="337"/>
      <c r="AN527" s="337"/>
      <c r="AO527" s="337"/>
      <c r="AP527" s="337"/>
      <c r="AQ527" s="337"/>
      <c r="AR527" s="337"/>
      <c r="AS527" s="337"/>
      <c r="AT527" s="337"/>
      <c r="AU527" s="337"/>
      <c r="AV527" s="337"/>
      <c r="AW527" s="337"/>
      <c r="AX527" s="337"/>
      <c r="AY527" s="337"/>
      <c r="AZ527" s="337"/>
      <c r="BA527" s="337"/>
      <c r="BB527" s="337"/>
      <c r="BC527" s="337"/>
      <c r="BD527" s="337"/>
      <c r="BE527" s="337"/>
      <c r="BF527" s="337"/>
      <c r="BG527" s="337"/>
      <c r="BH527" s="337"/>
      <c r="BI527" s="483" t="str">
        <f>IF(E527="","",E527)</f>
        <v/>
      </c>
      <c r="BJ527" s="338" t="str">
        <f>IF(F533="","",F533)</f>
        <v/>
      </c>
      <c r="BK527" s="485">
        <f>AV533</f>
        <v>0</v>
      </c>
      <c r="BL527" s="485">
        <f>IF(BK527="","",BK527*(1-BP527))</f>
        <v>0</v>
      </c>
      <c r="BM527" s="338" t="str">
        <f>AJ533</f>
        <v/>
      </c>
      <c r="BN527" s="338" t="str">
        <f>IF(F540="","",F540)</f>
        <v/>
      </c>
      <c r="BO527" s="483" t="str">
        <f>IF(G540="","",G540)</f>
        <v/>
      </c>
      <c r="BP527" s="484">
        <f>AV540</f>
        <v>0</v>
      </c>
      <c r="BQ527" s="338" t="str">
        <f>IF(F536="","",F536)</f>
        <v/>
      </c>
      <c r="BR527" s="484">
        <f>AV536</f>
        <v>0</v>
      </c>
      <c r="BS527" s="484" t="str">
        <f>AJ536</f>
        <v/>
      </c>
      <c r="BT527" s="338" t="str">
        <f>IF(F535="","",F535)</f>
        <v/>
      </c>
      <c r="BU527" s="484">
        <f>IF(F535=EUconst_NA,"",AV535)</f>
        <v>0</v>
      </c>
      <c r="BV527" s="484" t="str">
        <f>AJ535</f>
        <v/>
      </c>
      <c r="BW527" s="338" t="str">
        <f>IF(F537="","",F537)</f>
        <v/>
      </c>
      <c r="BX527" s="484">
        <f>AV537</f>
        <v>0</v>
      </c>
      <c r="BY527" s="338" t="str">
        <f>IF(F538="","",F538)</f>
        <v/>
      </c>
      <c r="BZ527" s="484">
        <f>AV538</f>
        <v>0</v>
      </c>
      <c r="CA527" s="485" t="str">
        <f>N527</f>
        <v/>
      </c>
      <c r="CB527" s="485" t="str">
        <f>N528</f>
        <v/>
      </c>
      <c r="CC527" s="485" t="str">
        <f>R530</f>
        <v/>
      </c>
      <c r="CD527" s="485" t="str">
        <f>R532</f>
        <v/>
      </c>
      <c r="CE527" s="485" t="str">
        <f>R533</f>
        <v/>
      </c>
      <c r="CF527" s="37"/>
      <c r="CG527" s="339" t="b">
        <v>0</v>
      </c>
    </row>
    <row r="528" spans="1:85" ht="15" customHeight="1" thickBot="1" x14ac:dyDescent="0.3">
      <c r="A528" s="318"/>
      <c r="B528" s="21"/>
      <c r="C528" s="21"/>
      <c r="D528" s="21"/>
      <c r="E528" s="1127" t="str">
        <f>IF(ISBLANK(E527),"",IF(INDEX('B_Polttoainevirtojen tiedot'!$E$67:$E$91,MATCH(U526,'B_Polttoainevirtojen tiedot'!$D$67:$D$91,0))&gt;0,INDEX('B_Polttoainevirtojen tiedot'!$E$67:$E$91,MATCH(U526,'B_Polttoainevirtojen tiedot'!$D$67:$D$91,0)),""))</f>
        <v/>
      </c>
      <c r="F528" s="1128"/>
      <c r="G528" s="1128"/>
      <c r="H528" s="1128"/>
      <c r="I528" s="1128"/>
      <c r="J528" s="1129"/>
      <c r="K528" s="1138" t="str">
        <f>IF(INDEX('B_Polttoainevirtojen tiedot'!$M$100:$M$124,MATCH(U526,'B_Polttoainevirtojen tiedot'!$D$100:$D$124,0))&gt;0,INDEX('B_Polttoainevirtojen tiedot'!$M$100:$M$124,MATCH(U526,'B_Polttoainevirtojen tiedot'!$D$100:$D$124,0)),"")</f>
        <v/>
      </c>
      <c r="L528" s="1139"/>
      <c r="M528" s="340" t="str">
        <f>Translations!$B$375</f>
        <v>CO2 bio:</v>
      </c>
      <c r="N528" s="482" t="str">
        <f>IF(E528="","",BG535)</f>
        <v/>
      </c>
      <c r="O528" s="341" t="str">
        <f>EUconst_tCO2</f>
        <v>tCO2</v>
      </c>
      <c r="P528" s="301"/>
      <c r="Q528" s="335" t="str">
        <f>EUconst_SumBioCO2</f>
        <v>SUM_bioCO2</v>
      </c>
      <c r="R528" s="23"/>
      <c r="S528" s="2"/>
      <c r="T528" s="2"/>
      <c r="U528" s="2"/>
      <c r="V528" s="60"/>
      <c r="W528" s="37"/>
      <c r="X528" s="41"/>
      <c r="Y528" s="20" t="str">
        <f>Translations!$B$143</f>
        <v>Määrittämistasot</v>
      </c>
      <c r="Z528" s="325"/>
      <c r="AA528" s="325"/>
      <c r="AB528" s="325"/>
      <c r="AC528" s="325"/>
      <c r="AD528" s="325"/>
      <c r="AE528" s="20" t="s">
        <v>95</v>
      </c>
      <c r="AF528" s="41"/>
      <c r="AG528" s="342"/>
      <c r="AH528" s="325"/>
      <c r="AI528" s="325"/>
      <c r="AJ528" s="342"/>
      <c r="AK528" s="342"/>
      <c r="AL528" s="337"/>
      <c r="AM528" s="337"/>
      <c r="AN528" s="337"/>
      <c r="AO528" s="337"/>
      <c r="AP528" s="337"/>
      <c r="AQ528" s="20" t="s">
        <v>96</v>
      </c>
      <c r="AR528" s="343"/>
      <c r="AS528" s="343"/>
      <c r="AT528" s="325"/>
      <c r="AU528" s="325"/>
      <c r="AV528" s="325"/>
      <c r="AW528" s="325"/>
      <c r="AX528" s="325"/>
      <c r="AY528" s="325"/>
      <c r="AZ528" s="20" t="s">
        <v>97</v>
      </c>
      <c r="BA528" s="325"/>
      <c r="BB528" s="325"/>
      <c r="BC528" s="325"/>
      <c r="BD528" s="325"/>
      <c r="BE528" s="325"/>
      <c r="BF528" s="20" t="s">
        <v>98</v>
      </c>
      <c r="BG528" s="325"/>
      <c r="BH528" s="325"/>
      <c r="BI528" s="20" t="s">
        <v>99</v>
      </c>
      <c r="BJ528" s="338" t="str">
        <f>Translations!$B$376</f>
        <v>RFA-määrittämistaso</v>
      </c>
      <c r="BK528" s="338" t="str">
        <f>Translations!$B$377</f>
        <v>RFA</v>
      </c>
      <c r="BL528" s="338" t="str">
        <f>Translations!$B$378</f>
        <v>RFA (SF:n jälkeen)</v>
      </c>
      <c r="BM528" s="338" t="str">
        <f>Translations!$B$379</f>
        <v>RFA-yksikkö</v>
      </c>
      <c r="BN528" s="338" t="str">
        <f>Translations!$B$380</f>
        <v>SF-määrittämistaso</v>
      </c>
      <c r="BO528" s="338" t="str">
        <f>Translations!$B$380</f>
        <v>SF-määrittämistaso</v>
      </c>
      <c r="BP528" s="338" t="str">
        <f>Translations!$B$381</f>
        <v>SF</v>
      </c>
      <c r="BQ528" s="338" t="str">
        <f>Translations!$B$382</f>
        <v>EF-määrittämistaso</v>
      </c>
      <c r="BR528" s="338" t="str">
        <f>Translations!$B$383</f>
        <v>EF</v>
      </c>
      <c r="BS528" s="338" t="str">
        <f>Translations!$B$384</f>
        <v>EF-yksikkö</v>
      </c>
      <c r="BT528" s="338" t="str">
        <f>Translations!$B$385</f>
        <v>UCF-määrittämistaso</v>
      </c>
      <c r="BU528" s="338" t="str">
        <f>Translations!$B$386</f>
        <v>UCF</v>
      </c>
      <c r="BV528" s="338" t="str">
        <f>Translations!$B$387</f>
        <v>UCF-yksikkö</v>
      </c>
      <c r="BW528" s="338" t="str">
        <f>Translations!$B$388</f>
        <v>Bio-määrittämistaso</v>
      </c>
      <c r="BX528" s="338" t="s">
        <v>100</v>
      </c>
      <c r="BY528" s="338" t="str">
        <f>Translations!$B$389</f>
        <v>NonSustBio-määrittämistaso</v>
      </c>
      <c r="BZ528" s="338" t="s">
        <v>101</v>
      </c>
      <c r="CA528" s="338" t="str">
        <f>Translations!$B$390</f>
        <v>CO2 fossil</v>
      </c>
      <c r="CB528" s="338" t="str">
        <f>Translations!$B$391</f>
        <v>CO2 bio</v>
      </c>
      <c r="CC528" s="338" t="str">
        <f>Translations!$B$392</f>
        <v>CO2 non-sust</v>
      </c>
      <c r="CD528" s="338" t="s">
        <v>102</v>
      </c>
      <c r="CE528" s="338" t="s">
        <v>103</v>
      </c>
      <c r="CF528" s="325"/>
      <c r="CG528" s="325"/>
    </row>
    <row r="529" spans="1:85" ht="5.15" customHeight="1" thickBot="1" x14ac:dyDescent="0.3">
      <c r="A529" s="318"/>
      <c r="B529" s="21"/>
      <c r="C529" s="21"/>
      <c r="D529" s="21"/>
      <c r="E529" s="21"/>
      <c r="F529" s="21"/>
      <c r="G529" s="21"/>
      <c r="H529" s="22"/>
      <c r="I529" s="22"/>
      <c r="J529" s="22"/>
      <c r="K529" s="22"/>
      <c r="L529" s="22"/>
      <c r="M529" s="22"/>
      <c r="N529" s="22"/>
      <c r="O529" s="323"/>
      <c r="P529" s="301"/>
      <c r="Q529" s="23"/>
      <c r="R529" s="23"/>
      <c r="S529" s="2"/>
      <c r="T529" s="2"/>
      <c r="U529" s="2"/>
      <c r="V529" s="60"/>
      <c r="W529" s="325"/>
      <c r="X529" s="325"/>
      <c r="Y529" s="23"/>
      <c r="Z529" s="325"/>
      <c r="AA529" s="325"/>
      <c r="AB529" s="325"/>
      <c r="AC529" s="325"/>
      <c r="AD529" s="325"/>
      <c r="AE529" s="325"/>
      <c r="AF529" s="41"/>
      <c r="AG529" s="325"/>
      <c r="AH529" s="325"/>
      <c r="AI529" s="325"/>
      <c r="AJ529" s="342"/>
      <c r="AK529" s="342"/>
      <c r="AL529" s="337"/>
      <c r="AM529" s="337"/>
      <c r="AN529" s="337"/>
      <c r="AO529" s="337"/>
      <c r="AP529" s="337"/>
      <c r="AQ529" s="325"/>
      <c r="AR529" s="325"/>
      <c r="AS529" s="325"/>
      <c r="AT529" s="325"/>
      <c r="AU529" s="325"/>
      <c r="AV529" s="325"/>
      <c r="AW529" s="325"/>
      <c r="AX529" s="325"/>
      <c r="AY529" s="325"/>
      <c r="AZ529" s="325"/>
      <c r="BA529" s="325"/>
      <c r="BB529" s="325"/>
      <c r="BC529" s="325"/>
      <c r="BD529" s="325"/>
      <c r="BE529" s="325"/>
      <c r="BF529" s="325"/>
      <c r="BG529" s="325"/>
      <c r="BH529" s="325"/>
      <c r="BI529" s="325"/>
      <c r="BJ529" s="325"/>
      <c r="BK529" s="325"/>
      <c r="BL529" s="325"/>
      <c r="BM529" s="325"/>
      <c r="BN529" s="325"/>
      <c r="BO529" s="325"/>
      <c r="BP529" s="325"/>
      <c r="BQ529" s="325"/>
      <c r="BR529" s="325"/>
      <c r="BS529" s="325"/>
      <c r="BT529" s="325"/>
      <c r="BU529" s="325"/>
      <c r="BV529" s="325"/>
      <c r="BW529" s="325"/>
      <c r="BX529" s="325"/>
      <c r="BY529" s="325"/>
      <c r="BZ529" s="325"/>
      <c r="CA529" s="325"/>
      <c r="CB529" s="325"/>
      <c r="CC529" s="325"/>
      <c r="CD529" s="325"/>
      <c r="CE529" s="325"/>
      <c r="CF529" s="325"/>
      <c r="CG529" s="325"/>
    </row>
    <row r="530" spans="1:85" ht="12.75" customHeight="1" thickBot="1" x14ac:dyDescent="0.3">
      <c r="A530" s="318"/>
      <c r="B530" s="21"/>
      <c r="C530" s="21"/>
      <c r="D530" s="21"/>
      <c r="E530" s="1140" t="str">
        <f>IF(E527="","",HYPERLINK("#JUMP_E_Top",EUconst_FurtherGuidancePoint1))</f>
        <v/>
      </c>
      <c r="F530" s="1140"/>
      <c r="G530" s="1140"/>
      <c r="H530" s="1140"/>
      <c r="I530" s="1140"/>
      <c r="J530" s="1140"/>
      <c r="K530" s="1140"/>
      <c r="L530" s="1140"/>
      <c r="M530" s="1140"/>
      <c r="N530" s="22"/>
      <c r="O530" s="323"/>
      <c r="P530" s="301"/>
      <c r="Q530" s="335" t="str">
        <f>EUconst_SumNonSustBioCO2</f>
        <v>SUM_bioNonSustCO2</v>
      </c>
      <c r="R530" s="500" t="str">
        <f>IF(E528="","",BG536)</f>
        <v/>
      </c>
      <c r="S530" s="2"/>
      <c r="T530" s="2"/>
      <c r="U530" s="2"/>
      <c r="V530" s="325"/>
      <c r="W530" s="325"/>
      <c r="X530" s="325"/>
      <c r="Y530" s="41"/>
      <c r="Z530" s="325"/>
      <c r="AA530" s="325"/>
      <c r="AB530" s="325"/>
      <c r="AC530" s="325"/>
      <c r="AD530" s="325"/>
      <c r="AE530" s="325"/>
      <c r="AF530" s="41"/>
      <c r="AG530" s="325"/>
      <c r="AH530" s="325"/>
      <c r="AI530" s="325"/>
      <c r="AJ530" s="342"/>
      <c r="AK530" s="342"/>
      <c r="AL530" s="337"/>
      <c r="AM530" s="337"/>
      <c r="AN530" s="337"/>
      <c r="AO530" s="337"/>
      <c r="AP530" s="337"/>
      <c r="AQ530" s="325"/>
      <c r="AR530" s="325"/>
      <c r="AS530" s="325"/>
      <c r="AT530" s="325"/>
      <c r="AU530" s="325"/>
      <c r="AV530" s="325"/>
      <c r="AW530" s="325"/>
      <c r="AX530" s="325"/>
      <c r="AY530" s="325"/>
      <c r="AZ530" s="325"/>
      <c r="BA530" s="325"/>
      <c r="BB530" s="325"/>
      <c r="BC530" s="325"/>
      <c r="BD530" s="325"/>
      <c r="BE530" s="325"/>
      <c r="BF530" s="325"/>
      <c r="BG530" s="325"/>
      <c r="BH530" s="325"/>
      <c r="BI530" s="20" t="s">
        <v>104</v>
      </c>
      <c r="BJ530" s="343"/>
      <c r="BK530" s="483" t="str">
        <f>IF(G544="","",G544)</f>
        <v/>
      </c>
      <c r="BL530" s="483" t="str">
        <f>IF(I544="","",I544)</f>
        <v/>
      </c>
      <c r="BM530" s="483" t="str">
        <f>IF(K544="","",K544)</f>
        <v/>
      </c>
      <c r="BN530" s="325"/>
      <c r="BO530" s="325"/>
      <c r="BP530" s="325"/>
      <c r="BQ530" s="325"/>
      <c r="BR530" s="325"/>
      <c r="BS530" s="325"/>
      <c r="BT530" s="330"/>
      <c r="BU530" s="325"/>
      <c r="BV530" s="325"/>
      <c r="BW530" s="325"/>
      <c r="BX530" s="325"/>
      <c r="BY530" s="325"/>
      <c r="BZ530" s="325"/>
      <c r="CA530" s="325"/>
      <c r="CB530" s="325"/>
      <c r="CC530" s="325"/>
      <c r="CD530" s="325"/>
      <c r="CE530" s="325"/>
      <c r="CF530" s="325"/>
      <c r="CG530" s="325"/>
    </row>
    <row r="531" spans="1:85" ht="5.15" customHeight="1" thickBot="1" x14ac:dyDescent="0.3">
      <c r="A531" s="318"/>
      <c r="B531" s="21"/>
      <c r="C531" s="21"/>
      <c r="D531" s="21"/>
      <c r="E531" s="21"/>
      <c r="F531" s="21"/>
      <c r="G531" s="21"/>
      <c r="H531" s="22"/>
      <c r="I531" s="22"/>
      <c r="J531" s="22"/>
      <c r="K531" s="22"/>
      <c r="L531" s="22"/>
      <c r="M531" s="22"/>
      <c r="N531" s="22"/>
      <c r="O531" s="323"/>
      <c r="P531" s="259"/>
      <c r="Q531" s="2"/>
      <c r="R531" s="259"/>
      <c r="S531" s="2"/>
      <c r="T531" s="2"/>
      <c r="U531" s="2"/>
      <c r="V531" s="325"/>
      <c r="W531" s="325"/>
      <c r="X531" s="325"/>
      <c r="Y531" s="23"/>
      <c r="Z531" s="325"/>
      <c r="AA531" s="325"/>
      <c r="AB531" s="325"/>
      <c r="AC531" s="325"/>
      <c r="AD531" s="325"/>
      <c r="AE531" s="325"/>
      <c r="AF531" s="41"/>
      <c r="AG531" s="325"/>
      <c r="AH531" s="325"/>
      <c r="AI531" s="325"/>
      <c r="AJ531" s="342"/>
      <c r="AK531" s="342"/>
      <c r="AL531" s="337"/>
      <c r="AM531" s="337"/>
      <c r="AN531" s="337"/>
      <c r="AO531" s="337"/>
      <c r="AP531" s="337"/>
      <c r="AQ531" s="325"/>
      <c r="AR531" s="325"/>
      <c r="AS531" s="325"/>
      <c r="AT531" s="325"/>
      <c r="AU531" s="325"/>
      <c r="AV531" s="325"/>
      <c r="AW531" s="325"/>
      <c r="AX531" s="325"/>
      <c r="AY531" s="325"/>
      <c r="AZ531" s="325"/>
      <c r="BA531" s="325"/>
      <c r="BB531" s="325"/>
      <c r="BC531" s="325"/>
      <c r="BD531" s="325"/>
      <c r="BE531" s="325"/>
      <c r="BF531" s="325"/>
      <c r="BG531" s="325"/>
      <c r="BH531" s="325"/>
      <c r="BI531" s="325"/>
      <c r="BJ531" s="325"/>
      <c r="BK531" s="325"/>
      <c r="BL531" s="325"/>
      <c r="BM531" s="325"/>
      <c r="BN531" s="325"/>
      <c r="BO531" s="325"/>
      <c r="BP531" s="325"/>
      <c r="BQ531" s="325"/>
      <c r="BR531" s="325"/>
      <c r="BS531" s="325"/>
      <c r="BT531" s="325"/>
      <c r="BU531" s="325"/>
      <c r="BV531" s="325"/>
      <c r="BW531" s="325"/>
      <c r="BX531" s="325"/>
      <c r="BY531" s="325"/>
      <c r="BZ531" s="325"/>
      <c r="CA531" s="325"/>
      <c r="CB531" s="325"/>
      <c r="CC531" s="325"/>
      <c r="CD531" s="325"/>
      <c r="CE531" s="325"/>
      <c r="CF531" s="325"/>
      <c r="CG531" s="325"/>
    </row>
    <row r="532" spans="1:85" ht="12.75" customHeight="1" thickBot="1" x14ac:dyDescent="0.3">
      <c r="A532" s="318"/>
      <c r="B532" s="21"/>
      <c r="C532" s="21"/>
      <c r="D532" s="21"/>
      <c r="E532" s="21"/>
      <c r="F532" s="347" t="str">
        <f>Translations!$B$127</f>
        <v>Määrittämistaso</v>
      </c>
      <c r="G532" s="1141" t="str">
        <f>Translations!$B$393</f>
        <v>määrittämistason kuvaus</v>
      </c>
      <c r="H532" s="1141"/>
      <c r="I532" s="1142" t="str">
        <f>Translations!$B$394</f>
        <v>Yksikkö</v>
      </c>
      <c r="J532" s="1142"/>
      <c r="K532" s="1142" t="str">
        <f>Translations!$B$395</f>
        <v>Arvo</v>
      </c>
      <c r="L532" s="1142"/>
      <c r="M532" s="327" t="str">
        <f>Translations!$B$396</f>
        <v>virhe</v>
      </c>
      <c r="N532" s="22"/>
      <c r="O532" s="323"/>
      <c r="P532" s="611"/>
      <c r="Q532" s="335" t="str">
        <f>EUconst_SumEnergyIN</f>
        <v>SUM_EnergyIN</v>
      </c>
      <c r="R532" s="501" t="str">
        <f>IF(E528="","",BG537)</f>
        <v/>
      </c>
      <c r="S532" s="325"/>
      <c r="T532" s="325"/>
      <c r="U532" s="325"/>
      <c r="V532" s="336" t="s">
        <v>105</v>
      </c>
      <c r="W532" s="325"/>
      <c r="X532" s="325"/>
      <c r="Y532" s="23" t="s">
        <v>106</v>
      </c>
      <c r="Z532" s="23" t="s">
        <v>107</v>
      </c>
      <c r="AA532" s="325"/>
      <c r="AB532" s="325"/>
      <c r="AC532" s="343" t="s">
        <v>108</v>
      </c>
      <c r="AD532" s="325"/>
      <c r="AE532" s="325"/>
      <c r="AF532" s="325" t="s">
        <v>109</v>
      </c>
      <c r="AG532" s="325" t="s">
        <v>110</v>
      </c>
      <c r="AH532" s="23" t="s">
        <v>111</v>
      </c>
      <c r="AI532" s="342" t="s">
        <v>112</v>
      </c>
      <c r="AJ532" s="342" t="s">
        <v>113</v>
      </c>
      <c r="AK532" s="348" t="s">
        <v>114</v>
      </c>
      <c r="AL532" s="337"/>
      <c r="AM532" s="337"/>
      <c r="AN532" s="337"/>
      <c r="AO532" s="337"/>
      <c r="AP532" s="337"/>
      <c r="AQ532" s="325"/>
      <c r="AR532" s="325" t="s">
        <v>109</v>
      </c>
      <c r="AS532" s="325" t="s">
        <v>110</v>
      </c>
      <c r="AT532" s="349" t="s">
        <v>115</v>
      </c>
      <c r="AU532" s="342" t="s">
        <v>116</v>
      </c>
      <c r="AV532" s="342" t="s">
        <v>117</v>
      </c>
      <c r="AW532" s="348" t="s">
        <v>114</v>
      </c>
      <c r="AX532" s="348" t="s">
        <v>114</v>
      </c>
      <c r="AY532" s="325"/>
      <c r="AZ532" s="325"/>
      <c r="BA532" s="325"/>
      <c r="BB532" s="325" t="s">
        <v>118</v>
      </c>
      <c r="BC532" s="325"/>
      <c r="BD532" s="325"/>
      <c r="BE532" s="325"/>
      <c r="BF532" s="325"/>
      <c r="BG532" s="330" t="str">
        <f>EUconst_Fuel</f>
        <v>Poltto</v>
      </c>
      <c r="BH532" s="325"/>
      <c r="BI532" s="325"/>
      <c r="BJ532" s="325"/>
      <c r="BK532" s="325"/>
      <c r="BL532" s="325"/>
      <c r="BM532" s="325"/>
      <c r="BN532" s="325"/>
      <c r="BO532" s="325"/>
      <c r="BP532" s="325"/>
      <c r="BQ532" s="325"/>
      <c r="BR532" s="325"/>
      <c r="BS532" s="325"/>
      <c r="BT532" s="325"/>
      <c r="BU532" s="325"/>
      <c r="BV532" s="325"/>
      <c r="BW532" s="325"/>
      <c r="BX532" s="325"/>
      <c r="BY532" s="325"/>
      <c r="BZ532" s="325"/>
      <c r="CA532" s="325"/>
      <c r="CB532" s="325"/>
      <c r="CC532" s="325"/>
      <c r="CD532" s="325"/>
      <c r="CE532" s="325"/>
      <c r="CF532" s="325"/>
      <c r="CG532" s="330" t="s">
        <v>94</v>
      </c>
    </row>
    <row r="533" spans="1:85" ht="12.75" customHeight="1" thickBot="1" x14ac:dyDescent="0.3">
      <c r="A533" s="318"/>
      <c r="B533" s="21"/>
      <c r="C533" s="344"/>
      <c r="D533" s="345" t="str">
        <f>Translations!$B$356</f>
        <v>Polttoaineen määrä:</v>
      </c>
      <c r="E533" s="350"/>
      <c r="F533" s="351"/>
      <c r="G533" s="1120" t="str">
        <f>IF(OR(ISBLANK(F533),F533=EUconst_NoTier),"",IF(Z533=0,EUconst_NA,IF(ISERROR(Z533),"",Z533)))</f>
        <v/>
      </c>
      <c r="H533" s="1122"/>
      <c r="I533" s="352" t="str">
        <f>IF(J533&lt;&gt;"","",AI533)</f>
        <v/>
      </c>
      <c r="J533" s="353"/>
      <c r="K533" s="1143"/>
      <c r="L533" s="1144"/>
      <c r="M533" s="486" t="str">
        <f>IF(AND(E528&lt;&gt;"",OR(F533="",COUNT(K533)=0),Y533&lt;&gt;EUconst_NA),EUconst_ERR_Incomplete,"")</f>
        <v/>
      </c>
      <c r="N533" s="22"/>
      <c r="O533" s="323"/>
      <c r="P533" s="612"/>
      <c r="Q533" s="335" t="str">
        <f>EUconst_SumBioEnergyIN</f>
        <v>SUM_BioEnergyIN</v>
      </c>
      <c r="R533" s="501" t="str">
        <f>IF(E528="","",BG538)</f>
        <v/>
      </c>
      <c r="S533" s="325"/>
      <c r="T533" s="355" t="str">
        <f>EUconst_CNTR_ActivityData&amp;E528</f>
        <v>ActivityData_</v>
      </c>
      <c r="U533" s="23"/>
      <c r="V533" s="355" t="str">
        <f>IF(E527="","",INDEX('B_Polttoainevirtojen tiedot'!$I$67:$I$91,MATCH(U526,'B_Polttoainevirtojen tiedot'!$D$67:$D$91,0)))</f>
        <v/>
      </c>
      <c r="W533" s="342" t="s">
        <v>121</v>
      </c>
      <c r="X533" s="23"/>
      <c r="Y533" s="356" t="str">
        <f>IF(E528="","",INDEX(EUwideConstants!$P$153:$P$180,MATCH(T533,EUwideConstants!$S$153:$S$180,0)))</f>
        <v/>
      </c>
      <c r="Z533" s="357" t="str">
        <f>IF(ISBLANK(F533),"",IF(F533=EUconst_NA,"",INDEX(EUwideConstants!$H:$O,MATCH(T533,EUwideConstants!$S:$S,0),MATCH(F533,CNTR_TierList,0))))</f>
        <v/>
      </c>
      <c r="AA533" s="358" t="s">
        <v>111</v>
      </c>
      <c r="AB533" s="342"/>
      <c r="AC533" s="339" t="b">
        <f>E527&lt;&gt;""</f>
        <v>0</v>
      </c>
      <c r="AD533" s="325"/>
      <c r="AE533" s="359" t="str">
        <f>EUconst_CNTR_ActivityData&amp;EUconst_Unit</f>
        <v>ActivityData_Yksikkö</v>
      </c>
      <c r="AF533" s="360" t="str">
        <f>IF(AC533=TRUE, IF(COUNTIF(MSPara_SourceStreamCategory,V533)=0,"",INDEX(MSPara_CalcFactorsMatrix,MATCH(V533,MSPara_SourceStreamCategory,0),MATCH(AE533&amp;"_"&amp;2,MSPara_CalcFactors,0))),"")</f>
        <v/>
      </c>
      <c r="AG533" s="361" t="str">
        <f>IF(AC533=TRUE, IF(COUNTIF(MSPara_SourceStreamCategory,V533)=0,"",INDEX(MSPara_CalcFactorsMatrix,MATCH(V533,MSPara_SourceStreamCategory,0),MATCH(AE533&amp;"_"&amp;1,MSPara_CalcFactors,0))),"")</f>
        <v/>
      </c>
      <c r="AH533" s="339" t="str">
        <f>IF(OR(AF533="",AF533=EUconst_NA),IF(OR(AG533=EUconst_NA,AG533=""),"",AG533),AF533)</f>
        <v/>
      </c>
      <c r="AI533" s="356" t="str">
        <f>IF(AC533=TRUE,IF(AH533="",EUconst_t,AH533),"")</f>
        <v/>
      </c>
      <c r="AJ533" s="362" t="str">
        <f>IF(J533="",AI533,J533)</f>
        <v/>
      </c>
      <c r="AK533" s="363" t="b">
        <f>AND(E527&lt;&gt;"",J533&lt;&gt;"")</f>
        <v>0</v>
      </c>
      <c r="AL533" s="337"/>
      <c r="AM533" s="404" t="s">
        <v>122</v>
      </c>
      <c r="AN533" s="403" t="str">
        <f>AJ533</f>
        <v/>
      </c>
      <c r="AO533" s="337"/>
      <c r="AP533" s="337"/>
      <c r="AQ533" s="355" t="str">
        <f>EUconst_CNTR_ActivityData&amp;EUconst_Value</f>
        <v>ActivityData_Arvo</v>
      </c>
      <c r="AR533" s="343"/>
      <c r="AS533" s="343"/>
      <c r="AT533" s="339" t="b">
        <f>AND(AND(AH533&lt;&gt;"",AJ533&lt;&gt;""),AJ533=AH533)</f>
        <v>0</v>
      </c>
      <c r="AU533" s="325"/>
      <c r="AV533" s="339">
        <f>IF(Y533=EUconst_NA,0,IF(COUNT(K533:K533)=0,0,IF(K533="",#REF!,K533)))</f>
        <v>0</v>
      </c>
      <c r="AW533" s="346" t="b">
        <f>AND(AC533=TRUE,OR(K533&lt;&gt;"",AU533=""))</f>
        <v>0</v>
      </c>
      <c r="AX533" s="346" t="b">
        <f>AND(AC533=TRUE,NOT(AW533))</f>
        <v>0</v>
      </c>
      <c r="AY533" s="325"/>
      <c r="AZ533" s="325" t="s">
        <v>123</v>
      </c>
      <c r="BA533" s="325" t="s">
        <v>124</v>
      </c>
      <c r="BB533" s="346"/>
      <c r="BC533" s="325" t="s">
        <v>125</v>
      </c>
      <c r="BD533" s="325"/>
      <c r="BE533" s="325"/>
      <c r="BF533" s="400" t="str">
        <f>Translations!$B$390</f>
        <v>CO2 fossil</v>
      </c>
      <c r="BG533" s="495" t="str">
        <f>IF(COUNTIF(AO536:AO537,TRUE)=0,"",AV533*IF(AO536,1,AV535*AN537)*AV536*(1-AV537)*AV540)</f>
        <v/>
      </c>
      <c r="BH533" s="325"/>
      <c r="BI533" s="325"/>
      <c r="BJ533" s="325"/>
      <c r="BK533" s="325"/>
      <c r="BL533" s="325"/>
      <c r="BM533" s="325"/>
      <c r="BN533" s="325"/>
      <c r="BO533" s="325"/>
      <c r="BP533" s="325"/>
      <c r="BQ533" s="325"/>
      <c r="BR533" s="325"/>
      <c r="BS533" s="325"/>
      <c r="BT533" s="325"/>
      <c r="BU533" s="325"/>
      <c r="BV533" s="325"/>
      <c r="BW533" s="325"/>
      <c r="BX533" s="325"/>
      <c r="BY533" s="325"/>
      <c r="BZ533" s="325"/>
      <c r="CA533" s="325"/>
      <c r="CB533" s="325"/>
      <c r="CC533" s="325"/>
      <c r="CD533" s="325"/>
      <c r="CE533" s="325"/>
      <c r="CF533" s="325"/>
      <c r="CG533" s="346" t="b">
        <v>0</v>
      </c>
    </row>
    <row r="534" spans="1:85" ht="5.15" customHeight="1" thickBot="1" x14ac:dyDescent="0.3">
      <c r="A534" s="318"/>
      <c r="B534" s="21"/>
      <c r="C534" s="344"/>
      <c r="D534" s="188"/>
      <c r="E534" s="22"/>
      <c r="F534" s="22"/>
      <c r="G534" s="22"/>
      <c r="H534" s="22" t="str">
        <f>Translations!$B$397</f>
        <v xml:space="preserve"> </v>
      </c>
      <c r="I534" s="364"/>
      <c r="J534" s="364"/>
      <c r="K534" s="22"/>
      <c r="L534" s="22"/>
      <c r="M534" s="487"/>
      <c r="N534" s="22"/>
      <c r="O534" s="323"/>
      <c r="P534" s="301"/>
      <c r="Q534" s="23"/>
      <c r="R534" s="23"/>
      <c r="S534" s="325"/>
      <c r="T534" s="277"/>
      <c r="U534" s="23"/>
      <c r="V534" s="325"/>
      <c r="W534" s="325"/>
      <c r="X534" s="23"/>
      <c r="Y534" s="330"/>
      <c r="Z534" s="325"/>
      <c r="AA534" s="325"/>
      <c r="AB534" s="325"/>
      <c r="AC534" s="325"/>
      <c r="AD534" s="325"/>
      <c r="AE534" s="325"/>
      <c r="AF534" s="325"/>
      <c r="AG534" s="325"/>
      <c r="AH534" s="325"/>
      <c r="AI534" s="325"/>
      <c r="AJ534" s="325"/>
      <c r="AK534" s="325"/>
      <c r="AL534" s="337"/>
      <c r="AM534" s="337"/>
      <c r="AN534" s="337"/>
      <c r="AO534" s="337"/>
      <c r="AP534" s="337"/>
      <c r="AQ534" s="325"/>
      <c r="AR534" s="325"/>
      <c r="AS534" s="325"/>
      <c r="AT534" s="325"/>
      <c r="AU534" s="325"/>
      <c r="AV534" s="325"/>
      <c r="AW534" s="325"/>
      <c r="AX534" s="325"/>
      <c r="AY534" s="325"/>
      <c r="AZ534" s="325"/>
      <c r="BA534" s="325"/>
      <c r="BB534" s="325"/>
      <c r="BC534" s="325"/>
      <c r="BD534" s="325"/>
      <c r="BE534" s="325"/>
      <c r="BF534" s="325"/>
      <c r="BG534" s="496"/>
      <c r="BH534" s="325"/>
      <c r="BI534" s="325"/>
      <c r="BJ534" s="325"/>
      <c r="BK534" s="325"/>
      <c r="BL534" s="325"/>
      <c r="BM534" s="325"/>
      <c r="BN534" s="325"/>
      <c r="BO534" s="325"/>
      <c r="BP534" s="325"/>
      <c r="BQ534" s="325"/>
      <c r="BR534" s="325"/>
      <c r="BS534" s="325"/>
      <c r="BT534" s="325"/>
      <c r="BU534" s="325"/>
      <c r="BV534" s="325"/>
      <c r="BW534" s="325"/>
      <c r="BX534" s="325"/>
      <c r="BY534" s="325"/>
      <c r="BZ534" s="325"/>
      <c r="CA534" s="325"/>
      <c r="CB534" s="325"/>
      <c r="CC534" s="325"/>
      <c r="CD534" s="325"/>
      <c r="CE534" s="325"/>
      <c r="CF534" s="325"/>
      <c r="CG534" s="330"/>
    </row>
    <row r="535" spans="1:85" ht="12.75" customHeight="1" thickBot="1" x14ac:dyDescent="0.3">
      <c r="A535" s="318"/>
      <c r="B535" s="21"/>
      <c r="C535" s="344"/>
      <c r="D535" s="345" t="str">
        <f>Translations!$B$360</f>
        <v>Yksikön muuntokerroin:</v>
      </c>
      <c r="E535" s="350"/>
      <c r="F535" s="443"/>
      <c r="G535" s="1120" t="str">
        <f>IF(OR(ISBLANK(F535),F535=EUconst_NoTier),"",IF(Z535=0,EUconst_NotApplicable,IF(ISERROR(Z535),"",Z535)))</f>
        <v/>
      </c>
      <c r="H535" s="1122"/>
      <c r="I535" s="444" t="str">
        <f>IF(J535&lt;&gt;"","",AI535)</f>
        <v/>
      </c>
      <c r="J535" s="445"/>
      <c r="K535" s="632" t="str">
        <f>IF(L535="",AU535,"")</f>
        <v/>
      </c>
      <c r="L535" s="633"/>
      <c r="M535" s="486" t="str">
        <f>IF(AND(E528&lt;&gt;"",OR(F535="",COUNT(K535:L535)=0),Y535&lt;&gt;EUconst_NA),EUconst_ERR_Incomplete,IF(COUNTIF(BB535:BD535,TRUE)&gt;0,EUconst_ERR_Inconsistent,""))</f>
        <v/>
      </c>
      <c r="N535" s="752"/>
      <c r="O535" s="323"/>
      <c r="P535" s="301"/>
      <c r="Q535" s="23"/>
      <c r="R535" s="23"/>
      <c r="S535" s="325"/>
      <c r="T535" s="365" t="str">
        <f>EUconst_CNTR_UCF&amp;E528</f>
        <v>UCF_</v>
      </c>
      <c r="U535" s="23"/>
      <c r="V535" s="366" t="str">
        <f>V536</f>
        <v/>
      </c>
      <c r="W535" s="325"/>
      <c r="X535" s="23"/>
      <c r="Y535" s="448" t="str">
        <f>IF(E528="","",IF(OR(F535=EUconst_NA,W535=TRUE),EUconst_NA,INDEX(EUwideConstants!$P$153:$P$180,MATCH(T535,EUwideConstants!$S$153:$S$180,0))))</f>
        <v/>
      </c>
      <c r="Z535" s="471" t="str">
        <f>IF(ISBLANK(F535),"",IF(F535=EUconst_NA,"",INDEX(EUwideConstants!$H:$O,MATCH(T535,EUwideConstants!$S:$S,0),MATCH(F535,CNTR_TierList,0))))</f>
        <v/>
      </c>
      <c r="AA535" s="449" t="str">
        <f>IF(COUNTIF(EUconst_DefaultValues,Z535)&gt;0,MATCH(Z535,EUconst_DefaultValues,0),"")</f>
        <v/>
      </c>
      <c r="AB535" s="325"/>
      <c r="AC535" s="367" t="b">
        <f>AND(AC533,Y535&lt;&gt;EUconst_NA)</f>
        <v>0</v>
      </c>
      <c r="AD535" s="325"/>
      <c r="AE535" s="359" t="str">
        <f>EUconst_CNTR_UCF&amp;EUconst_Unit</f>
        <v>UCF_Yksikkö</v>
      </c>
      <c r="AF535" s="368" t="str">
        <f>IF(AC535=TRUE, IF(COUNTIF(MSPara_SourceStreamCategory,V535)=0,"",INDEX(MSPara_CalcFactorsMatrix,MATCH(V535,MSPara_SourceStreamCategory,0),MATCH(AE535&amp;"_"&amp;2,MSPara_CalcFactors,0))),"")</f>
        <v/>
      </c>
      <c r="AG535" s="372" t="str">
        <f>IF(AC535=TRUE, IF(COUNTIF(MSPara_SourceStreamCategory,V535)=0,"",INDEX(MSPara_CalcFactorsMatrix,MATCH(V535,MSPara_SourceStreamCategory,0),MATCH(AE535&amp;"_"&amp;1,MSPara_CalcFactors,0))),"")</f>
        <v/>
      </c>
      <c r="AH535" s="367" t="str">
        <f>IF(AA535="","",INDEX(AF535:AG535,3-AA535))</f>
        <v/>
      </c>
      <c r="AI535" s="367" t="str">
        <f>IF(AC535=TRUE,IF(OR(AH535="",AH535=EUconst_NA),EUconst_GJ&amp;"/"&amp;AJ533,AH535),"")</f>
        <v/>
      </c>
      <c r="AJ535" s="367" t="str">
        <f>IF(J535="",AI535,J535)</f>
        <v/>
      </c>
      <c r="AK535" s="366" t="b">
        <f>AND(E527&lt;&gt;"",J535&lt;&gt;"")</f>
        <v>0</v>
      </c>
      <c r="AL535" s="337"/>
      <c r="AM535" s="404" t="s">
        <v>127</v>
      </c>
      <c r="AN535" s="403" t="str">
        <f>IF(AJ535="",EUconst_NA,IF(AN533=EUconst_TJ,EUconst_TJ,INDEX(EUwideConstants!$C$124:$G$128,MATCH(AN533,RFAUnits,0),MATCH(AJ535,UCFUnits,0))))</f>
        <v>ei sovellettavissa</v>
      </c>
      <c r="AO535" s="337"/>
      <c r="AP535" s="337"/>
      <c r="AQ535" s="454" t="str">
        <f>EUconst_CNTR_UCF&amp;EUconst_Value</f>
        <v>UCF_Arvo</v>
      </c>
      <c r="AR535" s="475" t="str">
        <f>IF(AC535=TRUE,IF(COUNTIF(MSPara_SourceStreamCategory,V535)=0,"",INDEX(MSPara_CalcFactorsMatrix,MATCH(V535,MSPara_SourceStreamCategory,0),MATCH(AQ535&amp;"_"&amp;2,MSPara_CalcFactors,0))),"")</f>
        <v/>
      </c>
      <c r="AS535" s="371" t="str">
        <f>IF(AC535=TRUE,IF(COUNTIF(MSPara_SourceStreamCategory,V535)=0,"",INDEX(MSPara_CalcFactorsMatrix,MATCH(V535,MSPara_SourceStreamCategory,0),MATCH(AQ535&amp;"_"&amp;1,MSPara_CalcFactors,0))),"")</f>
        <v/>
      </c>
      <c r="AT535" s="369" t="b">
        <f>AND(AND(AH535&lt;&gt;"",AJ535&lt;&gt;""),AJ535=AH535)</f>
        <v>0</v>
      </c>
      <c r="AU535" s="381" t="str">
        <f>IF(AND(AA535&lt;&gt;"",AT535=TRUE),IF(OR(INDEX(AR535:AS535,3-AA535)=EUconst_NA,INDEX(AR535:AS535,3-AA535)=0),"",INDEX(AR535:AS535,3-AA535)),"")</f>
        <v/>
      </c>
      <c r="AV535" s="367">
        <f>IF(AC535=TRUE,IF(COUNT(K535:L535)=0,0,IF(L535="",K535,L535)),0)</f>
        <v>0</v>
      </c>
      <c r="AW535" s="366" t="b">
        <f>AND(AC535=TRUE,OR(AND(F535&lt;&gt;"",NOT(ISNUMBER(AA535))),L535&lt;&gt;"",F535="",AU535=""))</f>
        <v>0</v>
      </c>
      <c r="AX535" s="370" t="b">
        <f>AND(AC535=TRUE,NOT(AW535))</f>
        <v>0</v>
      </c>
      <c r="AY535" s="325"/>
      <c r="AZ535" s="373" t="b">
        <f>AND(ISNUMBER(AA535),AU535="")</f>
        <v>0</v>
      </c>
      <c r="BA535" s="399" t="b">
        <f>AND(ISNUMBER(AA535),AU535&lt;&gt;AV535)</f>
        <v>0</v>
      </c>
      <c r="BB535" s="366" t="b">
        <f>AND(E528&lt;&gt;"",F535&lt;&gt;EUconst_NA,AN535=EUconst_NA)</f>
        <v>0</v>
      </c>
      <c r="BC535" s="366" t="b">
        <f>AND(L535&lt;&gt;"",Y535=EUconst_NA)</f>
        <v>0</v>
      </c>
      <c r="BD535" s="325"/>
      <c r="BE535" s="325"/>
      <c r="BF535" s="373" t="s">
        <v>128</v>
      </c>
      <c r="BG535" s="497" t="str">
        <f>IF(COUNTIF(AO536:AO537,TRUE)=0,"",AV533*IF(AO536,1,AV535*AN537)*AV536*AV537*AV540)</f>
        <v/>
      </c>
      <c r="BH535" s="325"/>
      <c r="BI535" s="325"/>
      <c r="BJ535" s="325"/>
      <c r="BK535" s="325"/>
      <c r="BL535" s="325"/>
      <c r="BM535" s="325"/>
      <c r="BN535" s="325"/>
      <c r="BO535" s="325"/>
      <c r="BP535" s="325"/>
      <c r="BQ535" s="325"/>
      <c r="BR535" s="325"/>
      <c r="BS535" s="325"/>
      <c r="BT535" s="325"/>
      <c r="BU535" s="325"/>
      <c r="BV535" s="325"/>
      <c r="BW535" s="325"/>
      <c r="BX535" s="325"/>
      <c r="BY535" s="325"/>
      <c r="BZ535" s="325"/>
      <c r="CA535" s="325"/>
      <c r="CB535" s="325"/>
      <c r="CC535" s="325"/>
      <c r="CD535" s="325"/>
      <c r="CE535" s="325"/>
      <c r="CF535" s="325"/>
      <c r="CG535" s="375" t="b">
        <f>OR(CG533,Y535=EUconst_NA)</f>
        <v>0</v>
      </c>
    </row>
    <row r="536" spans="1:85" ht="12.75" customHeight="1" thickBot="1" x14ac:dyDescent="0.3">
      <c r="A536" s="318"/>
      <c r="B536" s="21"/>
      <c r="C536" s="344"/>
      <c r="D536" s="345" t="str">
        <f>Translations!$B$358</f>
        <v>Päästökerroin (alustava):</v>
      </c>
      <c r="E536" s="350"/>
      <c r="F536" s="624"/>
      <c r="G536" s="1120" t="str">
        <f>IF(OR(ISBLANK(F536),F536=EUconst_NoTier),"",IF(Z536=0,EUconst_NotApplicable,IF(ISERROR(Z536),"",Z536)))</f>
        <v/>
      </c>
      <c r="H536" s="1121"/>
      <c r="I536" s="625" t="str">
        <f>IF(J536&lt;&gt;"","",AI536)</f>
        <v/>
      </c>
      <c r="J536" s="631"/>
      <c r="K536" s="634" t="str">
        <f>IF(L536="",AU536,"")</f>
        <v/>
      </c>
      <c r="L536" s="754"/>
      <c r="M536" s="486" t="str">
        <f>IF(AND(E528&lt;&gt;"",OR(F536="",COUNT(K536:L536)=0),Y536&lt;&gt;EUconst_NA),EUconst_ERR_Incomplete,IF(COUNTIF(BB536:BD536,TRUE)&gt;0,EUconst_ERR_Inconsistent,""))</f>
        <v/>
      </c>
      <c r="N536" s="753"/>
      <c r="O536" s="323"/>
      <c r="P536" s="301"/>
      <c r="Q536" s="23"/>
      <c r="R536" s="23"/>
      <c r="S536" s="325"/>
      <c r="T536" s="374" t="str">
        <f>EUconst_CNTR_EF&amp;E528</f>
        <v>EF_</v>
      </c>
      <c r="U536" s="23"/>
      <c r="V536" s="375" t="str">
        <f>V533</f>
        <v/>
      </c>
      <c r="W536" s="325"/>
      <c r="X536" s="23"/>
      <c r="Y536" s="450" t="str">
        <f>IF(E528="","",IF(OR(F536=EUconst_NA,W536=TRUE),EUconst_NA,INDEX(EUwideConstants!$P$153:$P$180,MATCH(T536,EUwideConstants!$S$153:$S$180,0))))</f>
        <v/>
      </c>
      <c r="Z536" s="472" t="str">
        <f>IF(ISBLANK(F536),"",IF(F536=EUconst_NA,"",INDEX(EUwideConstants!$H:$O,MATCH(T536,EUwideConstants!$S:$S,0),MATCH(F536,CNTR_TierList,0))))</f>
        <v/>
      </c>
      <c r="AA536" s="451" t="str">
        <f>IF(COUNTIF(EUconst_DefaultValues,Z536)&gt;0,MATCH(Z536,EUconst_DefaultValues,0),"")</f>
        <v/>
      </c>
      <c r="AB536" s="325"/>
      <c r="AC536" s="376" t="b">
        <f>AND(AC533,Y536&lt;&gt;EUconst_NA)</f>
        <v>0</v>
      </c>
      <c r="AD536" s="325"/>
      <c r="AE536" s="377" t="str">
        <f>EUconst_CNTR_EF&amp;EUconst_Unit</f>
        <v>EF_Yksikkö</v>
      </c>
      <c r="AF536" s="378" t="str">
        <f>IF(AC536=TRUE, IF(COUNTIF(MSPara_SourceStreamCategory,V536)=0,"",INDEX(MSPara_CalcFactorsMatrix,MATCH(V536,MSPara_SourceStreamCategory,0),MATCH(AE536&amp;"_"&amp;2,MSPara_CalcFactors,0))),"")</f>
        <v/>
      </c>
      <c r="AG536" s="464" t="str">
        <f>IF(AC536=TRUE, IF(COUNTIF(MSPara_SourceStreamCategory,V536)=0,"",INDEX(MSPara_CalcFactorsMatrix,MATCH(V536,MSPara_SourceStreamCategory,0),MATCH(AE536&amp;"_"&amp;1,MSPara_CalcFactors,0))),"")</f>
        <v/>
      </c>
      <c r="AH536" s="376" t="str">
        <f>IF(AA536="","",INDEX(AF536:AG536,3-AA536))</f>
        <v/>
      </c>
      <c r="AI536" s="376" t="str">
        <f>IF(AC536=TRUE,IF(OR(AH536="",AH536=EUconst_NA),EUconst_tCO2&amp;"/"&amp;IF(AN535=EUconst_NA,AN533,IF(AN535=EUconst_GJ,EUconst_TJ,AN535)),AH536),"")</f>
        <v/>
      </c>
      <c r="AJ536" s="376" t="str">
        <f>IF(J536="",AI536,J536)</f>
        <v/>
      </c>
      <c r="AK536" s="375" t="b">
        <f>AND(E528&lt;&gt;"",J536&lt;&gt;"")</f>
        <v>0</v>
      </c>
      <c r="AL536" s="337"/>
      <c r="AM536" s="404" t="s">
        <v>130</v>
      </c>
      <c r="AN536" s="403" t="str">
        <f>IF(COUNTIF(RFAUnits,AN533)=0,EUconst_NA,INDEX(EUwideConstants!$C$139:$H$143,MATCH(AJ536,EFUnits,0),MATCH(AN533,EUwideConstants!$C$138:$H$138,0)))</f>
        <v>ei sovellettavissa</v>
      </c>
      <c r="AO536" s="403" t="b">
        <f>AN536&lt;&gt;EUconst_NA</f>
        <v>0</v>
      </c>
      <c r="AP536" s="337"/>
      <c r="AQ536" s="455" t="str">
        <f>EUconst_CNTR_EF&amp;EUconst_Value</f>
        <v>EF_Arvo</v>
      </c>
      <c r="AR536" s="476" t="str">
        <f>IF(AC536=TRUE,IF(COUNTIF(MSPara_SourceStreamCategory,V536)=0,"",INDEX(MSPara_CalcFactorsMatrix,MATCH(V536,MSPara_SourceStreamCategory,0),MATCH(AQ536&amp;"_"&amp;2,MSPara_CalcFactors,0))),"")</f>
        <v/>
      </c>
      <c r="AS536" s="383" t="str">
        <f>IF(AC536=TRUE,IF(COUNTIF(MSPara_SourceStreamCategory,V536)=0,"",INDEX(MSPara_CalcFactorsMatrix,MATCH(V536,MSPara_SourceStreamCategory,0),MATCH(AQ536&amp;"_"&amp;1,MSPara_CalcFactors,0))),"")</f>
        <v/>
      </c>
      <c r="AT536" s="456" t="b">
        <f>AND(AND(AH536&lt;&gt;"",AJ536&lt;&gt;""),AJ536=AH536)</f>
        <v>0</v>
      </c>
      <c r="AU536" s="334" t="str">
        <f>IF(AND(AA536&lt;&gt;"",AT536=TRUE),IF(OR(INDEX(AR536:AS536,3-AA536)=EUconst_NA,INDEX(AR536:AS536,3-AA536)=0),"",INDEX(AR536:AS536,3-AA536)),"")</f>
        <v/>
      </c>
      <c r="AV536" s="376">
        <f>IF(AC536=TRUE,IF(COUNT(K536:L536)=0,0,IF(L536="",K536,L536)),0)</f>
        <v>0</v>
      </c>
      <c r="AW536" s="375" t="b">
        <f>AND(AC536=TRUE,OR(AND(F536&lt;&gt;"",NOT(ISNUMBER(AA536))),L536&lt;&gt;"",F536="",AU536=""))</f>
        <v>0</v>
      </c>
      <c r="AX536" s="457" t="b">
        <f>AND(AC536=TRUE,NOT(AW536))</f>
        <v>0</v>
      </c>
      <c r="AY536" s="325"/>
      <c r="AZ536" s="379" t="b">
        <f>AND(ISNUMBER(AA536),AU536="")</f>
        <v>0</v>
      </c>
      <c r="BA536" s="380" t="b">
        <f>AND(ISNUMBER(AA536),AU536&lt;&gt;AV536)</f>
        <v>0</v>
      </c>
      <c r="BB536" s="382" t="b">
        <f>AND(E528&lt;&gt;"",COUNTIF(AO536:AO537,TRUE)=0)</f>
        <v>0</v>
      </c>
      <c r="BC536" s="375" t="b">
        <f>AND(L536&lt;&gt;"",Y536=EUconst_NA)</f>
        <v>0</v>
      </c>
      <c r="BD536" s="325"/>
      <c r="BE536" s="325"/>
      <c r="BF536" s="379" t="s">
        <v>131</v>
      </c>
      <c r="BG536" s="498" t="str">
        <f>IF(COUNTIF(AO536:AO537,TRUE)=0,"",AV533*IF(AO536,1,AV535*AN537)*AV536*AV538*AV540)</f>
        <v/>
      </c>
      <c r="BH536" s="325"/>
      <c r="BI536" s="325"/>
      <c r="BJ536" s="325"/>
      <c r="BK536" s="325"/>
      <c r="BL536" s="325"/>
      <c r="BM536" s="325"/>
      <c r="BN536" s="325"/>
      <c r="BO536" s="325"/>
      <c r="BP536" s="325"/>
      <c r="BQ536" s="325"/>
      <c r="BR536" s="325"/>
      <c r="BS536" s="325"/>
      <c r="BT536" s="325"/>
      <c r="BU536" s="325"/>
      <c r="BV536" s="325"/>
      <c r="BW536" s="325"/>
      <c r="BX536" s="325"/>
      <c r="BY536" s="325"/>
      <c r="BZ536" s="325"/>
      <c r="CA536" s="325"/>
      <c r="CB536" s="325"/>
      <c r="CC536" s="325"/>
      <c r="CD536" s="325"/>
      <c r="CE536" s="325"/>
      <c r="CF536" s="325"/>
      <c r="CG536" s="366" t="b">
        <f>OR(CG533,Y536=EUconst_NA)</f>
        <v>0</v>
      </c>
    </row>
    <row r="537" spans="1:85" ht="12.75" customHeight="1" x14ac:dyDescent="0.25">
      <c r="A537" s="318"/>
      <c r="B537" s="21"/>
      <c r="C537" s="344"/>
      <c r="D537" s="345" t="str">
        <f>Translations!$B$362</f>
        <v>Biomassaosuus:</v>
      </c>
      <c r="E537" s="350"/>
      <c r="F537" s="624"/>
      <c r="G537" s="1120" t="str">
        <f>IF(OR(ISBLANK(F537),F537=EUconst_NoTier),"",IF(Z537=0,EUconst_NotApplicable,IF(ISERROR(Z537),"",Z537)))</f>
        <v/>
      </c>
      <c r="H537" s="1122"/>
      <c r="I537" s="626" t="str">
        <f>IF(OR(AC537=FALSE,Y537=EUconst_NA),"","-")</f>
        <v/>
      </c>
      <c r="J537" s="446"/>
      <c r="K537" s="635" t="str">
        <f>IF(L537="",AU537,"")</f>
        <v/>
      </c>
      <c r="L537" s="627"/>
      <c r="M537" s="486" t="str">
        <f>IF(AND(E528&lt;&gt;"",OR(F537="",COUNT(K537:L537)=0),Y537&lt;&gt;EUconst_NA),EUconst_ERR_Incomplete,IF(COUNTIF(BB537:BD537,TRUE)&gt;0,EUconst_ERR_Inconsistent,""))</f>
        <v/>
      </c>
      <c r="O537" s="323"/>
      <c r="P537" s="612"/>
      <c r="Q537" s="354"/>
      <c r="R537" s="354"/>
      <c r="S537" s="325"/>
      <c r="T537" s="374" t="str">
        <f>EUconst_CNTR_BiomassContent&amp;E528</f>
        <v>BioC_</v>
      </c>
      <c r="U537" s="23"/>
      <c r="V537" s="375" t="str">
        <f>V535</f>
        <v/>
      </c>
      <c r="W537" s="366" t="e">
        <f>IF(COUNTIF(MSPara_SourceStreamCategory,V537)=0,"",INDEX(MSPara_IsFossil,MATCH(V537,MSPara_SourceStreamCategory,0)))</f>
        <v>#N/A</v>
      </c>
      <c r="X537" s="23"/>
      <c r="Y537" s="450" t="str">
        <f>IF(E528="","",IF(OR(F537=EUconst_NA,W537=TRUE),EUconst_NA,INDEX(EUwideConstants!$P$153:$P$180,MATCH(T537,EUwideConstants!$S$153:$S$180,0))))</f>
        <v/>
      </c>
      <c r="Z537" s="472" t="str">
        <f>IF(ISBLANK(F537),"",IF(F537=EUconst_NA,"",INDEX(EUwideConstants!$H:$O,MATCH(T537,EUwideConstants!$S:$S,0),MATCH(F537,CNTR_TierList,0))))</f>
        <v/>
      </c>
      <c r="AA537" s="681" t="str">
        <f>IF(F537=1,1,"")</f>
        <v/>
      </c>
      <c r="AB537" s="325"/>
      <c r="AC537" s="376" t="b">
        <f>AND(AC533,Y537&lt;&gt;EUconst_NA)</f>
        <v>0</v>
      </c>
      <c r="AD537" s="325"/>
      <c r="AE537" s="462"/>
      <c r="AF537" s="460"/>
      <c r="AG537" s="465"/>
      <c r="AH537" s="467"/>
      <c r="AI537" s="467"/>
      <c r="AJ537" s="467"/>
      <c r="AK537" s="469"/>
      <c r="AL537" s="337"/>
      <c r="AM537" s="404" t="s">
        <v>132</v>
      </c>
      <c r="AN537" s="403" t="str">
        <f>IF(AN535=EUconst_NA,EUconst_NA,INDEX(EUwideConstants!$C$139:$H$143,MATCH(AJ536,EFUnits,0),MATCH(AN535,EUwideConstants!$C$138:$H$138,0)))</f>
        <v>ei sovellettavissa</v>
      </c>
      <c r="AO537" s="403" t="b">
        <f>AN537&lt;&gt;EUconst_NA</f>
        <v>0</v>
      </c>
      <c r="AP537" s="337"/>
      <c r="AQ537" s="455" t="str">
        <f>EUconst_CNTR_BiomassContent&amp;EUconst_Value</f>
        <v>BioC_Arvo</v>
      </c>
      <c r="AR537" s="462"/>
      <c r="AS537" s="383" t="str">
        <f>IF(AC537=TRUE,IF(COUNTIF(MSPara_SourceStreamCategory,V537)=0,"",INDEX(MSPara_CalcFactorsMatrix,MATCH(V537,MSPara_SourceStreamCategory,0),MATCH(AQ537&amp;"_"&amp;2,MSPara_CalcFactors,0))),"")</f>
        <v/>
      </c>
      <c r="AT537" s="458"/>
      <c r="AU537" s="334" t="str">
        <f>IF(OR(AA537="",AS537=EUconst_NA),"",AS537)</f>
        <v/>
      </c>
      <c r="AV537" s="376">
        <f>IF(AC537=TRUE,IF(COUNT(K537:L537)=0,0,IF(L537="",K537,L537)),0)</f>
        <v>0</v>
      </c>
      <c r="AW537" s="375" t="b">
        <f>AND(AC537=TRUE,OR(AND(F537&lt;&gt;"",NOT(ISNUMBER(AA537))),L537&lt;&gt;"",F537="",AU537=""))</f>
        <v>0</v>
      </c>
      <c r="AX537" s="457" t="b">
        <f>AND(AC537=TRUE,NOT(AW537))</f>
        <v>0</v>
      </c>
      <c r="AY537" s="325"/>
      <c r="AZ537" s="379" t="b">
        <f>AND(ISNUMBER(AA537),AU537="")</f>
        <v>0</v>
      </c>
      <c r="BA537" s="380" t="b">
        <f>AND(ISNUMBER(AA537),AU537&lt;&gt;AV537)</f>
        <v>0</v>
      </c>
      <c r="BB537" s="325"/>
      <c r="BC537" s="375" t="b">
        <f>AND(L537&lt;&gt;"",Y537=EUconst_NA)</f>
        <v>0</v>
      </c>
      <c r="BD537" s="366" t="b">
        <f>OR(AV537&gt;100%,(AV537+AV538)&gt;100%)</f>
        <v>0</v>
      </c>
      <c r="BE537" s="325"/>
      <c r="BF537" s="379" t="s">
        <v>133</v>
      </c>
      <c r="BG537" s="498" t="str">
        <f>IF(AN533=EUconst_TJ,AV533*(1-AV537),IF(AN535=EUconst_GJ,AV533*AV535/1000*(1-AV537),""))</f>
        <v/>
      </c>
      <c r="BH537" s="325"/>
      <c r="BI537" s="325"/>
      <c r="BJ537" s="325"/>
      <c r="BK537" s="325"/>
      <c r="BL537" s="325"/>
      <c r="BM537" s="325"/>
      <c r="BN537" s="325"/>
      <c r="BO537" s="325"/>
      <c r="BP537" s="325"/>
      <c r="BQ537" s="325"/>
      <c r="BR537" s="325"/>
      <c r="BS537" s="325"/>
      <c r="BT537" s="325"/>
      <c r="BU537" s="325"/>
      <c r="BV537" s="325"/>
      <c r="BW537" s="325"/>
      <c r="BX537" s="325"/>
      <c r="BY537" s="325"/>
      <c r="BZ537" s="325"/>
      <c r="CA537" s="325"/>
      <c r="CB537" s="325"/>
      <c r="CC537" s="325"/>
      <c r="CD537" s="325"/>
      <c r="CE537" s="325"/>
      <c r="CF537" s="325"/>
      <c r="CG537" s="375" t="b">
        <f>OR(CG533,Y537=EUconst_NA)</f>
        <v>0</v>
      </c>
    </row>
    <row r="538" spans="1:85" ht="12.75" customHeight="1" thickBot="1" x14ac:dyDescent="0.3">
      <c r="A538" s="318"/>
      <c r="B538" s="21"/>
      <c r="C538" s="344"/>
      <c r="D538" s="345" t="str">
        <f>Translations!$B$368</f>
        <v>Ei kestävä biomassaosuus:</v>
      </c>
      <c r="E538" s="350"/>
      <c r="F538" s="628"/>
      <c r="G538" s="1120" t="str">
        <f>IF(OR(ISBLANK(F538),F538=EUconst_NoTier),"",IF(Z538=0,EUconst_NotApplicable,IF(ISERROR(Z538),"",Z538)))</f>
        <v/>
      </c>
      <c r="H538" s="1122"/>
      <c r="I538" s="629" t="str">
        <f>IF(OR(AC538=FALSE,Y538=EUconst_NA),"","-")</f>
        <v/>
      </c>
      <c r="J538" s="447"/>
      <c r="K538" s="636" t="str">
        <f>IF(L538="",AU538,"")</f>
        <v/>
      </c>
      <c r="L538" s="630"/>
      <c r="M538" s="486" t="str">
        <f>IF(AND(E528&lt;&gt;"",OR(F538="",COUNT(K538:L538)=0),Y538&lt;&gt;EUconst_NA),EUconst_ERR_Incomplete,IF(COUNTIF(BB538:BD538,TRUE)&gt;0,EUconst_ERR_Inconsistent,""))</f>
        <v/>
      </c>
      <c r="N538" s="22"/>
      <c r="O538" s="323"/>
      <c r="P538" s="612"/>
      <c r="Q538" s="354"/>
      <c r="R538" s="354"/>
      <c r="S538" s="325"/>
      <c r="T538" s="384" t="str">
        <f>EUconst_CNTR_BiomassContent&amp;E528</f>
        <v>BioC_</v>
      </c>
      <c r="U538" s="23"/>
      <c r="V538" s="382" t="str">
        <f>V537</f>
        <v/>
      </c>
      <c r="W538" s="382" t="e">
        <f>IF(COUNTIF(MSPara_SourceStreamCategory,V538)=0,"",INDEX(MSPara_IsFossil,MATCH(V538,MSPara_SourceStreamCategory,0)))</f>
        <v>#N/A</v>
      </c>
      <c r="X538" s="23"/>
      <c r="Y538" s="452" t="str">
        <f>IF(E528="","",IF(OR(F538=EUconst_NA,W538=TRUE),EUconst_NA,INDEX(EUwideConstants!$P$153:$P$180,MATCH(T538,EUwideConstants!$S$153:$S$180,0))))</f>
        <v/>
      </c>
      <c r="Z538" s="473" t="str">
        <f>IF(ISBLANK(F538),"",IF(F538=EUconst_NA,"",INDEX(EUwideConstants!$H:$O,MATCH(T538,EUwideConstants!$S:$S,0),MATCH(F538,CNTR_TierList,0))))</f>
        <v/>
      </c>
      <c r="AA538" s="682" t="str">
        <f>IF(F538=1,1,"")</f>
        <v/>
      </c>
      <c r="AB538" s="325"/>
      <c r="AC538" s="453" t="b">
        <f>AND(AC533,Y538&lt;&gt;EUconst_NA)</f>
        <v>0</v>
      </c>
      <c r="AD538" s="325"/>
      <c r="AE538" s="463"/>
      <c r="AF538" s="461"/>
      <c r="AG538" s="466"/>
      <c r="AH538" s="468"/>
      <c r="AI538" s="468"/>
      <c r="AJ538" s="468"/>
      <c r="AK538" s="470"/>
      <c r="AL538" s="337"/>
      <c r="AM538" s="337"/>
      <c r="AN538" s="337"/>
      <c r="AO538" s="337"/>
      <c r="AP538" s="337"/>
      <c r="AQ538" s="474" t="str">
        <f>EUconst_CNTR_BiomassContent&amp;EUconst_Value</f>
        <v>BioC_Arvo</v>
      </c>
      <c r="AR538" s="463"/>
      <c r="AS538" s="385" t="str">
        <f>IF(AC538=TRUE,IF(COUNTIF(MSPara_SourceStreamCategory,V538)=0,"",INDEX(MSPara_CalcFactorsMatrix,MATCH(V538,MSPara_SourceStreamCategory,0),MATCH(AQ538&amp;"_"&amp;2,MSPara_CalcFactors,0))),"")</f>
        <v/>
      </c>
      <c r="AT538" s="459"/>
      <c r="AU538" s="477" t="str">
        <f>IF(OR(AA538="",AS538=EUconst_NA),"",AS538)</f>
        <v/>
      </c>
      <c r="AV538" s="453">
        <f>IF(AC538=TRUE,IF(COUNT(K538:L538)=0,0,IF(L538="",K538,L538)),0)</f>
        <v>0</v>
      </c>
      <c r="AW538" s="382" t="b">
        <f>AND(AC538=TRUE,OR(AND(F538&lt;&gt;"",NOT(ISNUMBER(AA538))),L538&lt;&gt;"",F538="",AU538=""))</f>
        <v>0</v>
      </c>
      <c r="AX538" s="478" t="b">
        <f>AND(AC538=TRUE,NOT(AW538))</f>
        <v>0</v>
      </c>
      <c r="AY538" s="325"/>
      <c r="AZ538" s="386" t="b">
        <f>AND(ISNUMBER(AA538),AU538="")</f>
        <v>0</v>
      </c>
      <c r="BA538" s="387" t="b">
        <f>AND(ISNUMBER(AA538),AU538&lt;&gt;AV538)</f>
        <v>0</v>
      </c>
      <c r="BB538" s="325"/>
      <c r="BC538" s="382" t="b">
        <f>AND(L538&lt;&gt;"",Y538=EUconst_NA)</f>
        <v>0</v>
      </c>
      <c r="BD538" s="382" t="b">
        <f>OR(AV537&gt;100%,(AV537+AV538)&gt;100%)</f>
        <v>0</v>
      </c>
      <c r="BE538" s="325"/>
      <c r="BF538" s="386" t="s">
        <v>134</v>
      </c>
      <c r="BG538" s="499" t="str">
        <f>IF(AN533=EUconst_TJ,AV533*AV537,IF(AN535=EUconst_GJ,AV533*AV535/1000*AV537,""))</f>
        <v/>
      </c>
      <c r="BH538" s="325"/>
      <c r="BI538" s="325"/>
      <c r="BJ538" s="325"/>
      <c r="BK538" s="325"/>
      <c r="BL538" s="325"/>
      <c r="BM538" s="325"/>
      <c r="BN538" s="325"/>
      <c r="BO538" s="325"/>
      <c r="BP538" s="325"/>
      <c r="BQ538" s="325"/>
      <c r="BR538" s="325"/>
      <c r="BS538" s="325"/>
      <c r="BT538" s="325"/>
      <c r="BU538" s="325"/>
      <c r="BV538" s="325"/>
      <c r="BW538" s="325"/>
      <c r="BX538" s="325"/>
      <c r="BY538" s="325"/>
      <c r="BZ538" s="325"/>
      <c r="CA538" s="325"/>
      <c r="CB538" s="325"/>
      <c r="CC538" s="325"/>
      <c r="CD538" s="325"/>
      <c r="CE538" s="325"/>
      <c r="CF538" s="325"/>
      <c r="CG538" s="382" t="b">
        <f>OR(CG533,Y538=EUconst_NA)</f>
        <v>0</v>
      </c>
    </row>
    <row r="539" spans="1:85" ht="5.15" customHeight="1" thickBot="1" x14ac:dyDescent="0.3">
      <c r="A539" s="318"/>
      <c r="B539" s="21"/>
      <c r="C539" s="21"/>
      <c r="D539" s="327"/>
      <c r="E539" s="22"/>
      <c r="F539" s="22"/>
      <c r="G539" s="22"/>
      <c r="H539" s="22"/>
      <c r="I539" s="22"/>
      <c r="J539" s="22"/>
      <c r="K539" s="22"/>
      <c r="L539" s="22"/>
      <c r="M539" s="488"/>
      <c r="N539" s="22"/>
      <c r="O539" s="323"/>
      <c r="P539" s="301"/>
      <c r="Q539" s="23"/>
      <c r="R539" s="23"/>
      <c r="S539" s="325"/>
      <c r="T539" s="325"/>
      <c r="U539" s="325"/>
      <c r="V539" s="325"/>
      <c r="W539" s="325"/>
      <c r="X539" s="325"/>
      <c r="Y539" s="325"/>
      <c r="Z539" s="325"/>
      <c r="AA539" s="325"/>
      <c r="AB539" s="325"/>
      <c r="AC539" s="325"/>
      <c r="AD539" s="325"/>
      <c r="AE539" s="325"/>
      <c r="AF539" s="325"/>
      <c r="AG539" s="325"/>
      <c r="AH539" s="325"/>
      <c r="AI539" s="325"/>
      <c r="AJ539" s="325"/>
      <c r="AK539" s="325"/>
      <c r="AL539" s="325"/>
      <c r="AM539" s="325"/>
      <c r="AN539" s="325"/>
      <c r="AO539" s="325"/>
      <c r="AP539" s="325"/>
      <c r="AQ539" s="325"/>
      <c r="AR539" s="325"/>
      <c r="AS539" s="325"/>
      <c r="AT539" s="325"/>
      <c r="AU539" s="325"/>
      <c r="AV539" s="325"/>
      <c r="AW539" s="325"/>
      <c r="AX539" s="325"/>
      <c r="AY539" s="325"/>
      <c r="AZ539" s="325"/>
      <c r="BA539" s="325"/>
      <c r="BB539" s="325"/>
      <c r="BC539" s="325"/>
      <c r="BD539" s="325"/>
      <c r="BE539" s="325"/>
      <c r="BF539" s="325"/>
      <c r="BG539" s="325"/>
      <c r="BH539" s="325"/>
      <c r="BI539" s="325"/>
      <c r="BJ539" s="325"/>
      <c r="BK539" s="325"/>
      <c r="BL539" s="325"/>
      <c r="BM539" s="325"/>
      <c r="BN539" s="325"/>
      <c r="BO539" s="325"/>
      <c r="BP539" s="325"/>
      <c r="BQ539" s="325"/>
      <c r="BR539" s="325"/>
      <c r="BS539" s="325"/>
      <c r="BT539" s="325"/>
      <c r="BU539" s="325"/>
      <c r="BV539" s="325"/>
      <c r="BW539" s="325"/>
      <c r="BX539" s="325"/>
      <c r="BY539" s="325"/>
      <c r="BZ539" s="325"/>
      <c r="CA539" s="325"/>
      <c r="CB539" s="325"/>
      <c r="CC539" s="325"/>
      <c r="CD539" s="325"/>
      <c r="CE539" s="325"/>
      <c r="CF539" s="325"/>
      <c r="CG539" s="325"/>
    </row>
    <row r="540" spans="1:85" ht="12.75" customHeight="1" thickBot="1" x14ac:dyDescent="0.3">
      <c r="A540" s="318"/>
      <c r="B540" s="21"/>
      <c r="C540" s="344"/>
      <c r="D540" s="345" t="str">
        <f>Translations!$B$398</f>
        <v>Soveltamisalakerroin:</v>
      </c>
      <c r="E540" s="479"/>
      <c r="F540" s="803"/>
      <c r="G540" s="1125"/>
      <c r="H540" s="1126"/>
      <c r="I540" s="492" t="s">
        <v>52</v>
      </c>
      <c r="J540" s="480"/>
      <c r="K540" s="481" t="str">
        <f>IF(L540="",AU540,"")</f>
        <v/>
      </c>
      <c r="L540" s="607"/>
      <c r="M540" s="489" t="str">
        <f>IF(AND(E528&lt;&gt;"",OR(F540="",G540="",COUNT(K540:L540)=0)),EUconst_ERR_Incomplete,IF(COUNTIF(BB540:BD540,TRUE)&gt;0,EUconst_ERR_Inconsistent,""))</f>
        <v/>
      </c>
      <c r="N540" s="22"/>
      <c r="O540" s="323"/>
      <c r="P540" s="301"/>
      <c r="Q540" s="23"/>
      <c r="R540" s="325"/>
      <c r="S540" s="10"/>
      <c r="T540" s="48" t="str">
        <f>EUconst_CNTR_ScopeFactor&amp;E528</f>
        <v>ScopeFactor_</v>
      </c>
      <c r="U540" s="248" t="str">
        <f>IF(F540="","",INDEX(ScopeAddress,MATCH(F540,ScopeTiers,0)))</f>
        <v/>
      </c>
      <c r="V540" s="382" t="str">
        <f>V533</f>
        <v/>
      </c>
      <c r="W540" s="325"/>
      <c r="X540" s="325"/>
      <c r="Y540" s="452" t="str">
        <f>IF(E528="","",IF(F540=EUconst_NA,EUconst_NA,INDEX(EUwideConstants!$P$153:$P$180,MATCH(T540,EUwideConstants!$S$153:$S$180,0))))</f>
        <v/>
      </c>
      <c r="Z540" s="473" t="str">
        <f>IF(ISBLANK(F540),"",IF(F540=EUconst_NA,"",INDEX(EUwideConstants!$H:$O,MATCH(T540,EUwideConstants!$S:$S,0),MATCH(F540,CNTR_TierList,0))))</f>
        <v/>
      </c>
      <c r="AA540" s="339" t="str">
        <f>IF(G540=EUwideConstants!$A$88,1,"")</f>
        <v/>
      </c>
      <c r="AB540" s="325"/>
      <c r="AC540" s="376" t="b">
        <f>AND(AC533,Y540&lt;&gt;EUconst_NA)</f>
        <v>0</v>
      </c>
      <c r="AD540" s="325"/>
      <c r="AE540" s="325"/>
      <c r="AF540" s="325"/>
      <c r="AG540" s="330"/>
      <c r="AH540" s="325"/>
      <c r="AI540" s="325"/>
      <c r="AJ540" s="325"/>
      <c r="AK540" s="325"/>
      <c r="AL540" s="325"/>
      <c r="AM540" s="325"/>
      <c r="AN540" s="325"/>
      <c r="AO540" s="325"/>
      <c r="AP540" s="325"/>
      <c r="AQ540" s="325"/>
      <c r="AR540" s="325"/>
      <c r="AS540" s="338">
        <v>1</v>
      </c>
      <c r="AT540" s="325"/>
      <c r="AU540" s="330" t="str">
        <f>IF(G540=EUwideConstants!$A$88,AS540,"")</f>
        <v/>
      </c>
      <c r="AV540" s="376">
        <f>IF(AC540=TRUE,IF(COUNT(K540:L540)=0,0,IF(L540="",K540,L540)),0)</f>
        <v>0</v>
      </c>
      <c r="AW540" s="375" t="b">
        <f>AND(AC540=TRUE,OR(AND(F540&lt;&gt;"",NOT(ISNUMBER(AA540))),L540&lt;&gt;"",F540="",AU540=""))</f>
        <v>0</v>
      </c>
      <c r="AX540" s="457" t="b">
        <f>AND(AC540=TRUE,NOT(AW540))</f>
        <v>0</v>
      </c>
      <c r="AY540" s="325"/>
      <c r="AZ540" s="379" t="b">
        <f>AND(ISNUMBER(AA540),AU540="")</f>
        <v>0</v>
      </c>
      <c r="BA540" s="380" t="b">
        <f>AND(ISNUMBER(AA540),AU540&lt;&gt;AV540)</f>
        <v>0</v>
      </c>
      <c r="BB540" s="325"/>
      <c r="BC540" s="33" t="b">
        <f>AND(F540&lt;&gt;"",OR(COUNTIF(INDEX(ScopeMethods,F540,),G540)=0,AND(AA540&lt;&gt;"",AU540&lt;&gt;AV540)))</f>
        <v>0</v>
      </c>
      <c r="BD540" s="325"/>
      <c r="BE540" s="325"/>
      <c r="BF540" s="325"/>
      <c r="BG540" s="325"/>
      <c r="BH540" s="325"/>
      <c r="BI540" s="325"/>
      <c r="BJ540" s="325"/>
      <c r="BK540" s="325"/>
      <c r="BL540" s="325"/>
      <c r="BM540" s="325"/>
      <c r="BN540" s="325"/>
      <c r="BO540" s="325"/>
      <c r="BP540" s="325"/>
      <c r="BQ540" s="325"/>
      <c r="BR540" s="325"/>
      <c r="BS540" s="325"/>
      <c r="BT540" s="325"/>
      <c r="BU540" s="325"/>
      <c r="BV540" s="325"/>
      <c r="BW540" s="325"/>
      <c r="BX540" s="325"/>
      <c r="BY540" s="325"/>
      <c r="BZ540" s="325"/>
      <c r="CA540" s="325"/>
      <c r="CB540" s="325"/>
      <c r="CC540" s="325"/>
      <c r="CD540" s="325"/>
      <c r="CE540" s="325"/>
      <c r="CF540" s="325"/>
      <c r="CG540" s="325"/>
    </row>
    <row r="541" spans="1:85" ht="12.75" customHeight="1" x14ac:dyDescent="0.25">
      <c r="A541" s="318"/>
      <c r="B541" s="21"/>
      <c r="C541" s="21"/>
      <c r="D541" s="21"/>
      <c r="E541" s="21"/>
      <c r="F541" s="21"/>
      <c r="G541" s="1130" t="str">
        <f>IF(G540="","",INDEX(ScopeMethodsDetails,MATCH(G540,INDEX(ScopeMethodsDetails,,1),0),2))</f>
        <v/>
      </c>
      <c r="H541" s="1131"/>
      <c r="I541" s="1131"/>
      <c r="J541" s="1131"/>
      <c r="K541" s="1131"/>
      <c r="L541" s="1131"/>
      <c r="M541" s="1132"/>
      <c r="N541" s="22"/>
      <c r="O541" s="323"/>
      <c r="P541" s="301"/>
      <c r="Q541" s="23"/>
      <c r="R541" s="23"/>
      <c r="S541" s="325"/>
      <c r="T541" s="325"/>
      <c r="U541" s="325"/>
      <c r="V541" s="325"/>
      <c r="W541" s="325"/>
      <c r="X541" s="325"/>
      <c r="Y541" s="325"/>
      <c r="Z541" s="325"/>
      <c r="AA541" s="325"/>
      <c r="AB541" s="325"/>
      <c r="AC541" s="325"/>
      <c r="AD541" s="325"/>
      <c r="AE541" s="325"/>
      <c r="AF541" s="325"/>
      <c r="AG541" s="325"/>
      <c r="AH541" s="325"/>
      <c r="AI541" s="325"/>
      <c r="AJ541" s="325"/>
      <c r="AK541" s="325"/>
      <c r="AL541" s="325"/>
      <c r="AM541" s="325"/>
      <c r="AN541" s="325"/>
      <c r="AO541" s="325"/>
      <c r="AP541" s="325"/>
      <c r="AQ541" s="325"/>
      <c r="AR541" s="325"/>
      <c r="AS541" s="325"/>
      <c r="AT541" s="325"/>
      <c r="AU541" s="325"/>
      <c r="AV541" s="325"/>
      <c r="AW541" s="325"/>
      <c r="AX541" s="325"/>
      <c r="AY541" s="325"/>
      <c r="AZ541" s="325"/>
      <c r="BA541" s="325"/>
      <c r="BB541" s="325"/>
      <c r="BC541" s="325"/>
      <c r="BD541" s="325"/>
      <c r="BE541" s="325"/>
      <c r="BF541" s="325"/>
      <c r="BG541" s="325"/>
      <c r="BH541" s="325"/>
      <c r="BI541" s="325"/>
      <c r="BJ541" s="325"/>
      <c r="BK541" s="325"/>
      <c r="BL541" s="325"/>
      <c r="BM541" s="325"/>
      <c r="BN541" s="325"/>
      <c r="BO541" s="325"/>
      <c r="BP541" s="325"/>
      <c r="BQ541" s="325"/>
      <c r="BR541" s="325"/>
      <c r="BS541" s="325"/>
      <c r="BT541" s="325"/>
      <c r="BU541" s="325"/>
      <c r="BV541" s="325"/>
      <c r="BW541" s="325"/>
      <c r="BX541" s="325"/>
      <c r="BY541" s="325"/>
      <c r="BZ541" s="325"/>
      <c r="CA541" s="325"/>
      <c r="CB541" s="325"/>
      <c r="CC541" s="325"/>
      <c r="CD541" s="325"/>
      <c r="CE541" s="325"/>
      <c r="CF541" s="325"/>
      <c r="CG541" s="325"/>
    </row>
    <row r="542" spans="1:85" ht="5.15" customHeight="1" x14ac:dyDescent="0.25">
      <c r="A542" s="318"/>
      <c r="C542" s="22"/>
      <c r="D542" s="22"/>
      <c r="E542" s="22"/>
      <c r="F542" s="22"/>
      <c r="G542" s="22"/>
      <c r="H542" s="22"/>
      <c r="I542" s="22"/>
      <c r="J542" s="22"/>
      <c r="K542" s="22"/>
      <c r="L542" s="22"/>
      <c r="O542" s="323"/>
      <c r="P542" s="301"/>
      <c r="Q542" s="23"/>
      <c r="R542" s="23"/>
      <c r="S542" s="325"/>
      <c r="T542" s="325"/>
      <c r="U542" s="325"/>
      <c r="V542" s="325"/>
      <c r="W542" s="325"/>
      <c r="X542" s="325"/>
      <c r="Y542" s="325"/>
      <c r="Z542" s="325"/>
      <c r="AA542" s="325"/>
      <c r="AB542" s="325"/>
      <c r="AC542" s="325"/>
      <c r="AD542" s="325"/>
      <c r="AE542" s="325"/>
      <c r="AF542" s="325"/>
      <c r="AG542" s="325"/>
      <c r="AH542" s="325"/>
      <c r="AI542" s="325"/>
      <c r="AJ542" s="325"/>
      <c r="AK542" s="325"/>
      <c r="AL542" s="325"/>
      <c r="AM542" s="325"/>
      <c r="AN542" s="325"/>
      <c r="AO542" s="325"/>
      <c r="AP542" s="325"/>
      <c r="AQ542" s="325"/>
      <c r="AR542" s="325"/>
      <c r="AS542" s="325"/>
      <c r="AT542" s="325"/>
      <c r="AU542" s="325"/>
      <c r="AV542" s="325"/>
      <c r="AW542" s="325"/>
      <c r="AX542" s="325"/>
      <c r="AY542" s="325"/>
      <c r="AZ542" s="325"/>
      <c r="BA542" s="325"/>
      <c r="BB542" s="325"/>
      <c r="BC542" s="325"/>
      <c r="BD542" s="325"/>
      <c r="BE542" s="325"/>
      <c r="BF542" s="325"/>
      <c r="BG542" s="325"/>
      <c r="BH542" s="325"/>
      <c r="BI542" s="325"/>
      <c r="BJ542" s="325"/>
      <c r="BK542" s="325"/>
      <c r="BL542" s="325"/>
      <c r="BM542" s="325"/>
      <c r="BN542" s="325"/>
      <c r="BO542" s="325"/>
      <c r="BP542" s="325"/>
      <c r="BQ542" s="325"/>
      <c r="BR542" s="325"/>
      <c r="BS542" s="325"/>
      <c r="BT542" s="325"/>
      <c r="BU542" s="325"/>
      <c r="BV542" s="325"/>
      <c r="BW542" s="325"/>
      <c r="BX542" s="325"/>
      <c r="BY542" s="325"/>
      <c r="BZ542" s="325"/>
      <c r="CA542" s="325"/>
      <c r="CB542" s="325"/>
      <c r="CC542" s="325"/>
      <c r="CD542" s="325"/>
      <c r="CE542" s="325"/>
      <c r="CF542" s="325"/>
      <c r="CG542" s="325"/>
    </row>
    <row r="543" spans="1:85" ht="12.75" customHeight="1" x14ac:dyDescent="0.25">
      <c r="A543" s="318"/>
      <c r="C543" s="22"/>
      <c r="D543" s="22"/>
      <c r="E543" s="22"/>
      <c r="F543" s="22"/>
      <c r="G543" s="1133">
        <v>1</v>
      </c>
      <c r="H543" s="1133"/>
      <c r="I543" s="1133">
        <v>2</v>
      </c>
      <c r="J543" s="1133"/>
      <c r="K543" s="1133">
        <v>3</v>
      </c>
      <c r="L543" s="1133"/>
      <c r="O543" s="323"/>
      <c r="P543" s="301"/>
      <c r="Q543" s="23"/>
      <c r="R543" s="23"/>
      <c r="S543" s="325"/>
      <c r="T543" s="325"/>
      <c r="U543" s="325"/>
      <c r="V543" s="325"/>
      <c r="W543" s="325"/>
      <c r="X543" s="325"/>
      <c r="Y543" s="325"/>
      <c r="Z543" s="325"/>
      <c r="AA543" s="325"/>
      <c r="AB543" s="325"/>
      <c r="AC543" s="325"/>
      <c r="AD543" s="325"/>
      <c r="AE543" s="325"/>
      <c r="AF543" s="325"/>
      <c r="AG543" s="325"/>
      <c r="AH543" s="325"/>
      <c r="AI543" s="325"/>
      <c r="AJ543" s="325"/>
      <c r="AK543" s="325"/>
      <c r="AL543" s="325"/>
      <c r="AM543" s="325"/>
      <c r="AN543" s="325"/>
      <c r="AO543" s="325"/>
      <c r="AP543" s="325"/>
      <c r="AQ543" s="325"/>
      <c r="AR543" s="325"/>
      <c r="AS543" s="325"/>
      <c r="AT543" s="325"/>
      <c r="AU543" s="325"/>
      <c r="AV543" s="325"/>
      <c r="AW543" s="325"/>
      <c r="AX543" s="325"/>
      <c r="AY543" s="325"/>
      <c r="AZ543" s="325"/>
      <c r="BA543" s="325"/>
      <c r="BB543" s="325"/>
      <c r="BC543" s="325"/>
      <c r="BD543" s="325"/>
      <c r="BE543" s="325"/>
      <c r="BF543" s="325"/>
      <c r="BG543" s="325"/>
      <c r="BH543" s="325"/>
      <c r="BI543" s="325"/>
      <c r="BJ543" s="325"/>
      <c r="BK543" s="325"/>
      <c r="BL543" s="325"/>
      <c r="BM543" s="325"/>
      <c r="BN543" s="325"/>
      <c r="BO543" s="325"/>
      <c r="BP543" s="325"/>
      <c r="BQ543" s="325"/>
      <c r="BR543" s="325"/>
      <c r="BS543" s="325"/>
      <c r="BT543" s="325"/>
      <c r="BU543" s="325"/>
      <c r="BV543" s="325"/>
      <c r="BW543" s="325"/>
      <c r="BX543" s="325"/>
      <c r="BY543" s="325"/>
      <c r="BZ543" s="325"/>
      <c r="CA543" s="325"/>
      <c r="CB543" s="325"/>
      <c r="CC543" s="325"/>
      <c r="CD543" s="325"/>
      <c r="CE543" s="325"/>
      <c r="CF543" s="325"/>
      <c r="CG543" s="325"/>
    </row>
    <row r="544" spans="1:85" ht="12.75" customHeight="1" x14ac:dyDescent="0.25">
      <c r="A544" s="389"/>
      <c r="B544" s="22"/>
      <c r="C544" s="22"/>
      <c r="D544" s="1134" t="str">
        <f>Translations!$B$372</f>
        <v>CRF-luokka</v>
      </c>
      <c r="E544" s="1134"/>
      <c r="F544" s="1135"/>
      <c r="G544" s="1123"/>
      <c r="H544" s="1124"/>
      <c r="I544" s="1123"/>
      <c r="J544" s="1124"/>
      <c r="K544" s="1123"/>
      <c r="L544" s="1124"/>
      <c r="M544" s="623" t="str">
        <f>IF(AND(E527&lt;&gt;"",COUNTA(G544:L544)=0,AX544=FALSE),EUconst_ERR_Incomplete,"")</f>
        <v/>
      </c>
      <c r="N544" s="22"/>
      <c r="O544" s="323"/>
      <c r="P544" s="301"/>
      <c r="Q544" s="23"/>
      <c r="R544" s="23"/>
      <c r="S544" s="325"/>
      <c r="T544" s="325"/>
      <c r="U544" s="325"/>
      <c r="V544" s="325"/>
      <c r="W544" s="325"/>
      <c r="X544" s="325"/>
      <c r="Y544" s="325"/>
      <c r="Z544" s="325"/>
      <c r="AA544" s="325"/>
      <c r="AB544" s="325"/>
      <c r="AC544" s="325"/>
      <c r="AD544" s="325"/>
      <c r="AE544" s="325"/>
      <c r="AF544" s="325"/>
      <c r="AG544" s="325"/>
      <c r="AH544" s="325"/>
      <c r="AI544" s="325"/>
      <c r="AJ544" s="325"/>
      <c r="AK544" s="325"/>
      <c r="AL544" s="325"/>
      <c r="AM544" s="325"/>
      <c r="AN544" s="325"/>
      <c r="AO544" s="325"/>
      <c r="AP544" s="325"/>
      <c r="AQ544" s="325"/>
      <c r="AR544" s="325"/>
      <c r="AS544" s="325"/>
      <c r="AT544" s="325"/>
      <c r="AU544" s="325"/>
      <c r="AV544" s="325"/>
      <c r="AW544" s="325"/>
      <c r="AX544" s="33" t="b">
        <f>AND(AV540&lt;&gt;"",SUM(AV540=1))</f>
        <v>0</v>
      </c>
      <c r="AY544" s="325"/>
      <c r="AZ544" s="325"/>
      <c r="BA544" s="325"/>
      <c r="BB544" s="325"/>
      <c r="BC544" s="325"/>
      <c r="BD544" s="325"/>
      <c r="BE544" s="325"/>
      <c r="BF544" s="325"/>
      <c r="BG544" s="325"/>
      <c r="BH544" s="325"/>
      <c r="BI544" s="325"/>
      <c r="BJ544" s="325"/>
      <c r="BK544" s="325"/>
      <c r="BL544" s="325"/>
      <c r="BM544" s="325"/>
      <c r="BN544" s="325"/>
      <c r="BO544" s="325"/>
      <c r="BP544" s="325"/>
      <c r="BQ544" s="325"/>
      <c r="BR544" s="325"/>
      <c r="BS544" s="325"/>
      <c r="BT544" s="325"/>
      <c r="BU544" s="325"/>
      <c r="BV544" s="325"/>
      <c r="BW544" s="325"/>
      <c r="BX544" s="325"/>
      <c r="BY544" s="325"/>
      <c r="BZ544" s="325"/>
      <c r="CA544" s="325"/>
      <c r="CB544" s="325"/>
      <c r="CC544" s="325"/>
      <c r="CD544" s="325"/>
      <c r="CE544" s="325"/>
      <c r="CF544" s="325"/>
      <c r="CG544" s="325"/>
    </row>
    <row r="545" spans="1:85" ht="5.15" customHeight="1" x14ac:dyDescent="0.25">
      <c r="A545" s="318"/>
      <c r="B545" s="21"/>
      <c r="C545" s="21"/>
      <c r="D545" s="21"/>
      <c r="E545" s="21"/>
      <c r="F545" s="21"/>
      <c r="G545" s="22"/>
      <c r="H545" s="22"/>
      <c r="I545" s="22"/>
      <c r="J545" s="22"/>
      <c r="K545" s="22"/>
      <c r="L545" s="22"/>
      <c r="M545" s="22"/>
      <c r="N545" s="22"/>
      <c r="O545" s="323"/>
      <c r="P545" s="301"/>
      <c r="Q545" s="23"/>
      <c r="R545" s="23"/>
      <c r="S545" s="325"/>
      <c r="T545" s="325"/>
      <c r="U545" s="325"/>
      <c r="V545" s="325"/>
      <c r="W545" s="325"/>
      <c r="X545" s="325"/>
      <c r="Y545" s="325"/>
      <c r="Z545" s="325"/>
      <c r="AA545" s="325"/>
      <c r="AB545" s="325"/>
      <c r="AC545" s="325"/>
      <c r="AD545" s="325"/>
      <c r="AE545" s="325"/>
      <c r="AF545" s="325"/>
      <c r="AG545" s="325"/>
      <c r="AH545" s="325"/>
      <c r="AI545" s="325"/>
      <c r="AJ545" s="325"/>
      <c r="AK545" s="325"/>
      <c r="AL545" s="325"/>
      <c r="AM545" s="325"/>
      <c r="AN545" s="325"/>
      <c r="AO545" s="325"/>
      <c r="AP545" s="325"/>
      <c r="AQ545" s="325"/>
      <c r="AR545" s="325"/>
      <c r="AS545" s="325"/>
      <c r="AT545" s="325"/>
      <c r="AU545" s="325"/>
      <c r="AV545" s="325"/>
      <c r="AW545" s="325"/>
      <c r="AX545" s="325"/>
      <c r="AY545" s="325"/>
      <c r="AZ545" s="325"/>
      <c r="BA545" s="325"/>
      <c r="BB545" s="325"/>
      <c r="BC545" s="325"/>
      <c r="BD545" s="325"/>
      <c r="BE545" s="325"/>
      <c r="BF545" s="325"/>
      <c r="BG545" s="325"/>
      <c r="BH545" s="325"/>
      <c r="BI545" s="325"/>
      <c r="BJ545" s="325"/>
      <c r="BK545" s="325"/>
      <c r="BL545" s="325"/>
      <c r="BM545" s="325"/>
      <c r="BN545" s="325"/>
      <c r="BO545" s="325"/>
      <c r="BP545" s="325"/>
      <c r="BQ545" s="325"/>
      <c r="BR545" s="325"/>
      <c r="BS545" s="325"/>
      <c r="BT545" s="325"/>
      <c r="BU545" s="325"/>
      <c r="BV545" s="325"/>
      <c r="BW545" s="325"/>
      <c r="BX545" s="325"/>
      <c r="BY545" s="325"/>
      <c r="BZ545" s="325"/>
      <c r="CA545" s="325"/>
      <c r="CB545" s="325"/>
      <c r="CC545" s="325"/>
      <c r="CD545" s="325"/>
      <c r="CE545" s="325"/>
      <c r="CF545" s="325"/>
      <c r="CG545" s="325"/>
    </row>
    <row r="546" spans="1:85" ht="6.65" customHeight="1" x14ac:dyDescent="0.25">
      <c r="A546" s="318"/>
      <c r="B546" s="21"/>
      <c r="C546" s="21"/>
      <c r="D546" s="1145"/>
      <c r="E546" s="1145"/>
      <c r="F546" s="1145"/>
      <c r="G546" s="806"/>
      <c r="H546" s="807"/>
      <c r="I546" s="806"/>
      <c r="J546" s="236"/>
      <c r="K546" s="236"/>
      <c r="L546" s="236"/>
      <c r="M546" s="807"/>
      <c r="N546" s="808"/>
      <c r="O546" s="323"/>
      <c r="P546" s="301"/>
      <c r="Q546" s="23"/>
      <c r="R546" s="23"/>
      <c r="S546" s="388"/>
      <c r="T546" s="325"/>
      <c r="U546" s="325"/>
      <c r="V546" s="325"/>
      <c r="W546" s="325"/>
      <c r="X546" s="325"/>
      <c r="Y546" s="325"/>
      <c r="Z546" s="325"/>
      <c r="AA546" s="325"/>
      <c r="AB546" s="325"/>
      <c r="AC546" s="325"/>
      <c r="AD546" s="325"/>
      <c r="AE546" s="325"/>
      <c r="AF546" s="325"/>
      <c r="AG546" s="325"/>
      <c r="AH546" s="325"/>
      <c r="AI546" s="325"/>
      <c r="AJ546" s="325"/>
      <c r="AK546" s="325"/>
      <c r="AL546" s="325"/>
      <c r="AM546" s="325"/>
      <c r="AN546" s="325"/>
      <c r="AO546" s="325"/>
      <c r="AP546" s="325"/>
      <c r="AQ546" s="325"/>
      <c r="AR546" s="325"/>
      <c r="AS546" s="325"/>
      <c r="AT546" s="325"/>
      <c r="AU546" s="325"/>
      <c r="AV546" s="325"/>
      <c r="AW546" s="325"/>
      <c r="AX546" s="325"/>
      <c r="AY546" s="325"/>
      <c r="AZ546" s="325"/>
      <c r="BA546" s="325"/>
      <c r="BB546" s="325"/>
      <c r="BC546" s="325"/>
      <c r="BD546" s="325"/>
      <c r="BE546" s="325"/>
      <c r="BF546" s="325"/>
      <c r="BG546" s="325"/>
      <c r="BH546" s="325"/>
      <c r="BI546" s="325"/>
      <c r="BJ546" s="325"/>
      <c r="BK546" s="325"/>
      <c r="BL546" s="325"/>
      <c r="BM546" s="325"/>
      <c r="BN546" s="325"/>
      <c r="BO546" s="325"/>
      <c r="BP546" s="325"/>
      <c r="BQ546" s="325"/>
      <c r="BR546" s="325"/>
      <c r="BS546" s="325"/>
      <c r="BT546" s="325"/>
      <c r="BU546" s="325"/>
      <c r="BV546" s="325"/>
      <c r="BW546" s="325"/>
      <c r="BX546" s="325"/>
      <c r="BY546" s="325"/>
      <c r="BZ546" s="325"/>
      <c r="CA546" s="325"/>
      <c r="CB546" s="325"/>
      <c r="CC546" s="325"/>
      <c r="CD546" s="325"/>
      <c r="CE546" s="325"/>
      <c r="CF546" s="325"/>
      <c r="CG546" s="33" t="b">
        <f>CG533</f>
        <v>0</v>
      </c>
    </row>
    <row r="547" spans="1:85" ht="5.15" customHeight="1" x14ac:dyDescent="0.25">
      <c r="A547" s="389"/>
      <c r="B547" s="22"/>
      <c r="C547" s="22"/>
      <c r="D547" s="22"/>
      <c r="E547" s="1116" t="str">
        <f>Translations!$B$304</f>
        <v xml:space="preserve">Lisätiedot: 
tapa, jolla biomassan kestävyys on osoitettu; 
muut polttoainevirtaa koskevat lisätiedot. </v>
      </c>
      <c r="F547" s="1116"/>
      <c r="G547" s="22"/>
      <c r="H547" s="22"/>
      <c r="I547" s="22"/>
      <c r="J547" s="22"/>
      <c r="K547" s="22"/>
      <c r="L547" s="22"/>
      <c r="M547" s="22"/>
      <c r="N547" s="22"/>
      <c r="O547" s="323"/>
      <c r="P547" s="301"/>
      <c r="Q547" s="23"/>
      <c r="R547" s="23"/>
      <c r="S547" s="325"/>
      <c r="T547" s="325"/>
      <c r="U547" s="325"/>
      <c r="V547" s="325"/>
      <c r="W547" s="325"/>
      <c r="X547" s="325"/>
      <c r="Y547" s="325"/>
      <c r="Z547" s="325"/>
      <c r="AA547" s="325"/>
      <c r="AB547" s="325"/>
      <c r="AC547" s="325"/>
      <c r="AD547" s="325"/>
      <c r="AE547" s="325"/>
      <c r="AF547" s="325"/>
      <c r="AG547" s="325"/>
      <c r="AH547" s="325"/>
      <c r="AI547" s="325"/>
      <c r="AJ547" s="325"/>
      <c r="AK547" s="325"/>
      <c r="AL547" s="325"/>
      <c r="AM547" s="325"/>
      <c r="AN547" s="325"/>
      <c r="AO547" s="325"/>
      <c r="AP547" s="325"/>
      <c r="AQ547" s="325"/>
      <c r="AR547" s="325"/>
      <c r="AS547" s="325"/>
      <c r="AT547" s="325"/>
      <c r="AU547" s="325"/>
      <c r="AV547" s="325"/>
      <c r="AW547" s="325"/>
      <c r="AX547" s="325"/>
      <c r="AY547" s="325"/>
      <c r="AZ547" s="325"/>
      <c r="BA547" s="325"/>
      <c r="BB547" s="325"/>
      <c r="BC547" s="325"/>
      <c r="BD547" s="325"/>
      <c r="BE547" s="325"/>
      <c r="BF547" s="325"/>
      <c r="BG547" s="325"/>
      <c r="BH547" s="325"/>
      <c r="BI547" s="325"/>
      <c r="BJ547" s="325"/>
      <c r="BK547" s="325"/>
      <c r="BL547" s="325"/>
      <c r="BM547" s="325"/>
      <c r="BN547" s="325"/>
      <c r="BO547" s="325"/>
      <c r="BP547" s="325"/>
      <c r="BQ547" s="325"/>
      <c r="BR547" s="325"/>
      <c r="BS547" s="325"/>
      <c r="BT547" s="325"/>
      <c r="BU547" s="325"/>
      <c r="BV547" s="325"/>
      <c r="BW547" s="325"/>
      <c r="BX547" s="325"/>
      <c r="BY547" s="325"/>
      <c r="BZ547" s="325"/>
      <c r="CA547" s="325"/>
      <c r="CB547" s="325"/>
      <c r="CC547" s="325"/>
      <c r="CD547" s="325"/>
      <c r="CE547" s="325"/>
      <c r="CF547" s="325"/>
      <c r="CG547" s="325"/>
    </row>
    <row r="548" spans="1:85" ht="36.5" customHeight="1" x14ac:dyDescent="0.25">
      <c r="A548" s="389"/>
      <c r="B548" s="22"/>
      <c r="C548" s="22"/>
      <c r="D548" s="4"/>
      <c r="E548" s="1116"/>
      <c r="F548" s="1116"/>
      <c r="G548" s="1146"/>
      <c r="H548" s="1147"/>
      <c r="I548" s="1147"/>
      <c r="J548" s="1147"/>
      <c r="K548" s="1147"/>
      <c r="L548" s="1147"/>
      <c r="M548" s="1147"/>
      <c r="N548" s="1148"/>
      <c r="O548" s="323"/>
      <c r="P548" s="301"/>
      <c r="Q548" s="23"/>
      <c r="R548" s="23"/>
      <c r="S548" s="325"/>
      <c r="T548" s="325"/>
      <c r="U548" s="325"/>
      <c r="V548" s="325"/>
      <c r="W548" s="325"/>
      <c r="X548" s="325"/>
      <c r="Y548" s="325"/>
      <c r="Z548" s="325"/>
      <c r="AA548" s="325"/>
      <c r="AB548" s="325"/>
      <c r="AC548" s="325"/>
      <c r="AD548" s="325"/>
      <c r="AE548" s="325"/>
      <c r="AF548" s="325"/>
      <c r="AG548" s="325"/>
      <c r="AH548" s="325"/>
      <c r="AI548" s="325"/>
      <c r="AJ548" s="325"/>
      <c r="AK548" s="325"/>
      <c r="AL548" s="325"/>
      <c r="AM548" s="325"/>
      <c r="AN548" s="325"/>
      <c r="AO548" s="325"/>
      <c r="AP548" s="325"/>
      <c r="AQ548" s="325"/>
      <c r="AR548" s="325"/>
      <c r="AS548" s="325"/>
      <c r="AT548" s="325"/>
      <c r="AU548" s="325"/>
      <c r="AV548" s="325"/>
      <c r="AW548" s="325"/>
      <c r="AX548" s="325"/>
      <c r="AY548" s="325"/>
      <c r="AZ548" s="325"/>
      <c r="BA548" s="325"/>
      <c r="BB548" s="325"/>
      <c r="BC548" s="325"/>
      <c r="BD548" s="325"/>
      <c r="BE548" s="325"/>
      <c r="BF548" s="325"/>
      <c r="BG548" s="325"/>
      <c r="BH548" s="325"/>
      <c r="BI548" s="325"/>
      <c r="BJ548" s="325"/>
      <c r="BK548" s="325"/>
      <c r="BL548" s="325"/>
      <c r="BM548" s="325"/>
      <c r="BN548" s="325"/>
      <c r="BO548" s="325"/>
      <c r="BP548" s="325"/>
      <c r="BQ548" s="325"/>
      <c r="BR548" s="325"/>
      <c r="BS548" s="325"/>
      <c r="BT548" s="325"/>
      <c r="BU548" s="325"/>
      <c r="BV548" s="325"/>
      <c r="BW548" s="325"/>
      <c r="BX548" s="325"/>
      <c r="BY548" s="325"/>
      <c r="BZ548" s="325"/>
      <c r="CA548" s="325"/>
      <c r="CB548" s="325"/>
      <c r="CC548" s="325"/>
      <c r="CD548" s="325"/>
      <c r="CE548" s="325"/>
      <c r="CF548" s="325"/>
      <c r="CG548" s="33" t="b">
        <f>CG546</f>
        <v>0</v>
      </c>
    </row>
    <row r="549" spans="1:85" ht="12.75" customHeight="1" thickBot="1" x14ac:dyDescent="0.3">
      <c r="A549" s="318"/>
      <c r="B549" s="22"/>
      <c r="C549" s="319"/>
      <c r="D549" s="320"/>
      <c r="E549" s="321"/>
      <c r="F549" s="319"/>
      <c r="G549" s="322"/>
      <c r="H549" s="322"/>
      <c r="I549" s="322"/>
      <c r="J549" s="322"/>
      <c r="K549" s="322"/>
      <c r="L549" s="322"/>
      <c r="M549" s="322"/>
      <c r="N549" s="322"/>
      <c r="O549" s="323"/>
      <c r="P549" s="301"/>
      <c r="Q549" s="23"/>
      <c r="R549" s="23"/>
      <c r="S549" s="41"/>
      <c r="T549" s="41"/>
      <c r="U549" s="324"/>
      <c r="V549" s="41"/>
      <c r="W549" s="41"/>
      <c r="X549" s="324"/>
      <c r="Y549" s="41"/>
      <c r="Z549" s="41"/>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c r="BD549" s="41"/>
      <c r="BE549" s="41"/>
      <c r="BF549" s="41"/>
      <c r="BG549" s="41"/>
      <c r="BH549" s="41"/>
      <c r="BI549" s="41"/>
      <c r="BJ549" s="41"/>
      <c r="BK549" s="41"/>
      <c r="BL549" s="41"/>
      <c r="BM549" s="325"/>
      <c r="BN549" s="325"/>
      <c r="BO549" s="325"/>
      <c r="BP549" s="325"/>
      <c r="BQ549" s="325"/>
      <c r="BR549" s="325"/>
      <c r="BS549" s="325"/>
      <c r="BT549" s="325"/>
      <c r="BU549" s="41"/>
      <c r="BV549" s="41"/>
      <c r="BW549" s="41"/>
      <c r="BX549" s="41"/>
      <c r="BY549" s="41"/>
      <c r="BZ549" s="41"/>
      <c r="CA549" s="41"/>
      <c r="CB549" s="41"/>
      <c r="CC549" s="41"/>
      <c r="CD549" s="41"/>
      <c r="CE549" s="41"/>
      <c r="CF549" s="41"/>
      <c r="CG549" s="41"/>
    </row>
    <row r="550" spans="1:85" ht="12.75" customHeight="1" thickBot="1" x14ac:dyDescent="0.3">
      <c r="A550" s="326"/>
      <c r="B550" s="22"/>
      <c r="C550" s="22"/>
      <c r="D550" s="327"/>
      <c r="E550" s="328"/>
      <c r="F550" s="22"/>
      <c r="G550" s="1"/>
      <c r="H550" s="1"/>
      <c r="I550" s="1"/>
      <c r="J550" s="1"/>
      <c r="K550" s="22"/>
      <c r="L550" s="1"/>
      <c r="M550" s="1"/>
      <c r="N550" s="1"/>
      <c r="O550" s="323"/>
      <c r="P550" s="301"/>
      <c r="Q550" s="23"/>
      <c r="R550" s="23"/>
      <c r="S550" s="2"/>
      <c r="T550" s="20" t="str">
        <f>IF(ISBLANK(E551),"",MATCH(E551,CNTR_SourceStreamNames,0))</f>
        <v/>
      </c>
      <c r="U550" s="329" t="str">
        <f>IF(ISBLANK(E551),"",INDEX('B_Polttoainevirtojen tiedot'!$D$67:$D$91,MATCH(E551,CNTR_SourceStreamNames,0)))</f>
        <v/>
      </c>
      <c r="V550" s="60"/>
      <c r="W550" s="37"/>
      <c r="X550" s="37"/>
      <c r="Y550" s="37"/>
      <c r="Z550" s="41"/>
      <c r="AA550" s="41"/>
      <c r="AB550" s="41"/>
      <c r="AC550" s="41"/>
      <c r="AD550" s="41"/>
      <c r="AE550" s="41"/>
      <c r="AF550" s="41"/>
      <c r="AG550" s="41"/>
      <c r="AH550" s="41"/>
      <c r="AI550" s="41"/>
      <c r="AJ550" s="41"/>
      <c r="AK550" s="23"/>
      <c r="AL550" s="41"/>
      <c r="AM550" s="41"/>
      <c r="AN550" s="41"/>
      <c r="AO550" s="41"/>
      <c r="AP550" s="41"/>
      <c r="AQ550" s="41"/>
      <c r="AR550" s="41"/>
      <c r="AS550" s="41"/>
      <c r="AT550" s="41"/>
      <c r="AU550" s="41"/>
      <c r="AV550" s="41"/>
      <c r="AW550" s="41"/>
      <c r="AX550" s="41"/>
      <c r="AY550" s="41"/>
      <c r="AZ550" s="41"/>
      <c r="BA550" s="41"/>
      <c r="BB550" s="41"/>
      <c r="BC550" s="41"/>
      <c r="BD550" s="41"/>
      <c r="BE550" s="41"/>
      <c r="BF550" s="41"/>
      <c r="BG550" s="41"/>
      <c r="BH550" s="41"/>
      <c r="BI550" s="41"/>
      <c r="BJ550" s="37"/>
      <c r="BK550" s="37"/>
      <c r="BL550" s="37"/>
      <c r="BM550" s="37"/>
      <c r="BN550" s="37"/>
      <c r="BO550" s="37"/>
      <c r="BP550" s="37"/>
      <c r="BQ550" s="37"/>
      <c r="BR550" s="37"/>
      <c r="BS550" s="37"/>
      <c r="BT550" s="37"/>
      <c r="BU550" s="37"/>
      <c r="BV550" s="37"/>
      <c r="BW550" s="37"/>
      <c r="BX550" s="37"/>
      <c r="BY550" s="37"/>
      <c r="BZ550" s="37"/>
      <c r="CA550" s="37"/>
      <c r="CB550" s="37"/>
      <c r="CC550" s="37"/>
      <c r="CD550" s="37"/>
      <c r="CE550" s="37"/>
      <c r="CF550" s="37"/>
      <c r="CG550" s="330" t="s">
        <v>94</v>
      </c>
    </row>
    <row r="551" spans="1:85" ht="15" customHeight="1" thickBot="1" x14ac:dyDescent="0.3">
      <c r="A551" s="331">
        <f>C551</f>
        <v>22</v>
      </c>
      <c r="B551" s="21"/>
      <c r="C551" s="332">
        <f>C527+1</f>
        <v>22</v>
      </c>
      <c r="D551" s="21"/>
      <c r="E551" s="1117"/>
      <c r="F551" s="1118"/>
      <c r="G551" s="1118"/>
      <c r="H551" s="1118"/>
      <c r="I551" s="1118"/>
      <c r="J551" s="1119"/>
      <c r="K551" s="1138" t="str">
        <f>IF(INDEX('B_Polttoainevirtojen tiedot'!$K$100:$K$124,MATCH(U550,'B_Polttoainevirtojen tiedot'!$D$100:$D$124,0))&gt;0,INDEX('B_Polttoainevirtojen tiedot'!$K$100:$K$124,MATCH(U550,'B_Polttoainevirtojen tiedot'!$D$100:$D$124,0)),"")</f>
        <v/>
      </c>
      <c r="L551" s="1139"/>
      <c r="M551" s="328" t="str">
        <f>Translations!$B$374</f>
        <v>CO2 fossiilinen:</v>
      </c>
      <c r="N551" s="401" t="str">
        <f>IF(E552="","",BG557)</f>
        <v/>
      </c>
      <c r="O551" s="333" t="str">
        <f>EUconst_tCO2</f>
        <v>tCO2</v>
      </c>
      <c r="P551" s="610" t="str">
        <f>IF(AND(E551&lt;&gt;"",COUNTIF(P552:$P$811,"PRINT")=0),"PRINT","")</f>
        <v/>
      </c>
      <c r="Q551" s="335" t="str">
        <f>EUconst_SumCO2</f>
        <v>SUM_CO2</v>
      </c>
      <c r="R551" s="23"/>
      <c r="S551" s="2"/>
      <c r="T551" s="2"/>
      <c r="U551" s="2"/>
      <c r="V551" s="60"/>
      <c r="W551" s="37"/>
      <c r="X551" s="41"/>
      <c r="Y551" s="41"/>
      <c r="Z551" s="41"/>
      <c r="AA551" s="41"/>
      <c r="AB551" s="41"/>
      <c r="AC551" s="41"/>
      <c r="AD551" s="41"/>
      <c r="AE551" s="41"/>
      <c r="AF551" s="41"/>
      <c r="AG551" s="41"/>
      <c r="AH551" s="41"/>
      <c r="AI551" s="337"/>
      <c r="AJ551" s="337"/>
      <c r="AK551" s="337"/>
      <c r="AL551" s="337"/>
      <c r="AM551" s="337"/>
      <c r="AN551" s="337"/>
      <c r="AO551" s="337"/>
      <c r="AP551" s="337"/>
      <c r="AQ551" s="337"/>
      <c r="AR551" s="337"/>
      <c r="AS551" s="337"/>
      <c r="AT551" s="337"/>
      <c r="AU551" s="337"/>
      <c r="AV551" s="337"/>
      <c r="AW551" s="337"/>
      <c r="AX551" s="337"/>
      <c r="AY551" s="337"/>
      <c r="AZ551" s="337"/>
      <c r="BA551" s="337"/>
      <c r="BB551" s="337"/>
      <c r="BC551" s="337"/>
      <c r="BD551" s="337"/>
      <c r="BE551" s="337"/>
      <c r="BF551" s="337"/>
      <c r="BG551" s="337"/>
      <c r="BH551" s="337"/>
      <c r="BI551" s="483" t="str">
        <f>IF(E551="","",E551)</f>
        <v/>
      </c>
      <c r="BJ551" s="338" t="str">
        <f>IF(F557="","",F557)</f>
        <v/>
      </c>
      <c r="BK551" s="485">
        <f>AV557</f>
        <v>0</v>
      </c>
      <c r="BL551" s="485">
        <f>IF(BK551="","",BK551*(1-BP551))</f>
        <v>0</v>
      </c>
      <c r="BM551" s="338" t="str">
        <f>AJ557</f>
        <v/>
      </c>
      <c r="BN551" s="338" t="str">
        <f>IF(F564="","",F564)</f>
        <v/>
      </c>
      <c r="BO551" s="483" t="str">
        <f>IF(G564="","",G564)</f>
        <v/>
      </c>
      <c r="BP551" s="484">
        <f>AV564</f>
        <v>0</v>
      </c>
      <c r="BQ551" s="338" t="str">
        <f>IF(F560="","",F560)</f>
        <v/>
      </c>
      <c r="BR551" s="484">
        <f>AV560</f>
        <v>0</v>
      </c>
      <c r="BS551" s="484" t="str">
        <f>AJ560</f>
        <v/>
      </c>
      <c r="BT551" s="338" t="str">
        <f>IF(F559="","",F559)</f>
        <v/>
      </c>
      <c r="BU551" s="484">
        <f>IF(F559=EUconst_NA,"",AV559)</f>
        <v>0</v>
      </c>
      <c r="BV551" s="484" t="str">
        <f>AJ559</f>
        <v/>
      </c>
      <c r="BW551" s="338" t="str">
        <f>IF(F561="","",F561)</f>
        <v/>
      </c>
      <c r="BX551" s="484">
        <f>AV561</f>
        <v>0</v>
      </c>
      <c r="BY551" s="338" t="str">
        <f>IF(F562="","",F562)</f>
        <v/>
      </c>
      <c r="BZ551" s="484">
        <f>AV562</f>
        <v>0</v>
      </c>
      <c r="CA551" s="485" t="str">
        <f>N551</f>
        <v/>
      </c>
      <c r="CB551" s="485" t="str">
        <f>N552</f>
        <v/>
      </c>
      <c r="CC551" s="485" t="str">
        <f>R554</f>
        <v/>
      </c>
      <c r="CD551" s="485" t="str">
        <f>R556</f>
        <v/>
      </c>
      <c r="CE551" s="485" t="str">
        <f>R557</f>
        <v/>
      </c>
      <c r="CF551" s="37"/>
      <c r="CG551" s="339" t="b">
        <v>0</v>
      </c>
    </row>
    <row r="552" spans="1:85" ht="15" customHeight="1" thickBot="1" x14ac:dyDescent="0.3">
      <c r="A552" s="318"/>
      <c r="B552" s="21"/>
      <c r="C552" s="21"/>
      <c r="D552" s="21"/>
      <c r="E552" s="1127" t="str">
        <f>IF(ISBLANK(E551),"",IF(INDEX('B_Polttoainevirtojen tiedot'!$E$67:$E$91,MATCH(U550,'B_Polttoainevirtojen tiedot'!$D$67:$D$91,0))&gt;0,INDEX('B_Polttoainevirtojen tiedot'!$E$67:$E$91,MATCH(U550,'B_Polttoainevirtojen tiedot'!$D$67:$D$91,0)),""))</f>
        <v/>
      </c>
      <c r="F552" s="1128"/>
      <c r="G552" s="1128"/>
      <c r="H552" s="1128"/>
      <c r="I552" s="1128"/>
      <c r="J552" s="1129"/>
      <c r="K552" s="1138" t="str">
        <f>IF(INDEX('B_Polttoainevirtojen tiedot'!$M$100:$M$124,MATCH(U550,'B_Polttoainevirtojen tiedot'!$D$100:$D$124,0))&gt;0,INDEX('B_Polttoainevirtojen tiedot'!$M$100:$M$124,MATCH(U550,'B_Polttoainevirtojen tiedot'!$D$100:$D$124,0)),"")</f>
        <v/>
      </c>
      <c r="L552" s="1139"/>
      <c r="M552" s="340" t="str">
        <f>Translations!$B$375</f>
        <v>CO2 bio:</v>
      </c>
      <c r="N552" s="482" t="str">
        <f>IF(E552="","",BG559)</f>
        <v/>
      </c>
      <c r="O552" s="341" t="str">
        <f>EUconst_tCO2</f>
        <v>tCO2</v>
      </c>
      <c r="P552" s="301"/>
      <c r="Q552" s="335" t="str">
        <f>EUconst_SumBioCO2</f>
        <v>SUM_bioCO2</v>
      </c>
      <c r="R552" s="23"/>
      <c r="S552" s="2"/>
      <c r="T552" s="2"/>
      <c r="U552" s="2"/>
      <c r="V552" s="60"/>
      <c r="W552" s="37"/>
      <c r="X552" s="41"/>
      <c r="Y552" s="20" t="str">
        <f>Translations!$B$143</f>
        <v>Määrittämistasot</v>
      </c>
      <c r="Z552" s="325"/>
      <c r="AA552" s="325"/>
      <c r="AB552" s="325"/>
      <c r="AC552" s="325"/>
      <c r="AD552" s="325"/>
      <c r="AE552" s="20" t="s">
        <v>95</v>
      </c>
      <c r="AF552" s="41"/>
      <c r="AG552" s="342"/>
      <c r="AH552" s="325"/>
      <c r="AI552" s="325"/>
      <c r="AJ552" s="342"/>
      <c r="AK552" s="342"/>
      <c r="AL552" s="337"/>
      <c r="AM552" s="337"/>
      <c r="AN552" s="337"/>
      <c r="AO552" s="337"/>
      <c r="AP552" s="337"/>
      <c r="AQ552" s="20" t="s">
        <v>96</v>
      </c>
      <c r="AR552" s="343"/>
      <c r="AS552" s="343"/>
      <c r="AT552" s="325"/>
      <c r="AU552" s="325"/>
      <c r="AV552" s="325"/>
      <c r="AW552" s="325"/>
      <c r="AX552" s="325"/>
      <c r="AY552" s="325"/>
      <c r="AZ552" s="20" t="s">
        <v>97</v>
      </c>
      <c r="BA552" s="325"/>
      <c r="BB552" s="325"/>
      <c r="BC552" s="325"/>
      <c r="BD552" s="325"/>
      <c r="BE552" s="325"/>
      <c r="BF552" s="20" t="s">
        <v>98</v>
      </c>
      <c r="BG552" s="325"/>
      <c r="BH552" s="325"/>
      <c r="BI552" s="20" t="s">
        <v>99</v>
      </c>
      <c r="BJ552" s="338" t="str">
        <f>Translations!$B$376</f>
        <v>RFA-määrittämistaso</v>
      </c>
      <c r="BK552" s="338" t="str">
        <f>Translations!$B$377</f>
        <v>RFA</v>
      </c>
      <c r="BL552" s="338" t="str">
        <f>Translations!$B$378</f>
        <v>RFA (SF:n jälkeen)</v>
      </c>
      <c r="BM552" s="338" t="str">
        <f>Translations!$B$379</f>
        <v>RFA-yksikkö</v>
      </c>
      <c r="BN552" s="338" t="str">
        <f>Translations!$B$380</f>
        <v>SF-määrittämistaso</v>
      </c>
      <c r="BO552" s="338" t="str">
        <f>Translations!$B$380</f>
        <v>SF-määrittämistaso</v>
      </c>
      <c r="BP552" s="338" t="str">
        <f>Translations!$B$381</f>
        <v>SF</v>
      </c>
      <c r="BQ552" s="338" t="str">
        <f>Translations!$B$382</f>
        <v>EF-määrittämistaso</v>
      </c>
      <c r="BR552" s="338" t="str">
        <f>Translations!$B$383</f>
        <v>EF</v>
      </c>
      <c r="BS552" s="338" t="str">
        <f>Translations!$B$384</f>
        <v>EF-yksikkö</v>
      </c>
      <c r="BT552" s="338" t="str">
        <f>Translations!$B$385</f>
        <v>UCF-määrittämistaso</v>
      </c>
      <c r="BU552" s="338" t="str">
        <f>Translations!$B$386</f>
        <v>UCF</v>
      </c>
      <c r="BV552" s="338" t="str">
        <f>Translations!$B$387</f>
        <v>UCF-yksikkö</v>
      </c>
      <c r="BW552" s="338" t="str">
        <f>Translations!$B$388</f>
        <v>Bio-määrittämistaso</v>
      </c>
      <c r="BX552" s="338" t="s">
        <v>100</v>
      </c>
      <c r="BY552" s="338" t="str">
        <f>Translations!$B$389</f>
        <v>NonSustBio-määrittämistaso</v>
      </c>
      <c r="BZ552" s="338" t="s">
        <v>101</v>
      </c>
      <c r="CA552" s="338" t="str">
        <f>Translations!$B$390</f>
        <v>CO2 fossil</v>
      </c>
      <c r="CB552" s="338" t="str">
        <f>Translations!$B$391</f>
        <v>CO2 bio</v>
      </c>
      <c r="CC552" s="338" t="str">
        <f>Translations!$B$392</f>
        <v>CO2 non-sust</v>
      </c>
      <c r="CD552" s="338" t="s">
        <v>102</v>
      </c>
      <c r="CE552" s="338" t="s">
        <v>103</v>
      </c>
      <c r="CF552" s="325"/>
      <c r="CG552" s="325"/>
    </row>
    <row r="553" spans="1:85" ht="5.15" customHeight="1" thickBot="1" x14ac:dyDescent="0.3">
      <c r="A553" s="318"/>
      <c r="B553" s="21"/>
      <c r="C553" s="21"/>
      <c r="D553" s="21"/>
      <c r="E553" s="21"/>
      <c r="F553" s="21"/>
      <c r="G553" s="21"/>
      <c r="H553" s="22"/>
      <c r="I553" s="22"/>
      <c r="J553" s="22"/>
      <c r="K553" s="22"/>
      <c r="L553" s="22"/>
      <c r="M553" s="22"/>
      <c r="N553" s="22"/>
      <c r="O553" s="323"/>
      <c r="P553" s="301"/>
      <c r="Q553" s="23"/>
      <c r="R553" s="23"/>
      <c r="S553" s="2"/>
      <c r="T553" s="2"/>
      <c r="U553" s="2"/>
      <c r="V553" s="60"/>
      <c r="W553" s="325"/>
      <c r="X553" s="325"/>
      <c r="Y553" s="23"/>
      <c r="Z553" s="325"/>
      <c r="AA553" s="325"/>
      <c r="AB553" s="325"/>
      <c r="AC553" s="325"/>
      <c r="AD553" s="325"/>
      <c r="AE553" s="325"/>
      <c r="AF553" s="41"/>
      <c r="AG553" s="325"/>
      <c r="AH553" s="325"/>
      <c r="AI553" s="325"/>
      <c r="AJ553" s="342"/>
      <c r="AK553" s="342"/>
      <c r="AL553" s="337"/>
      <c r="AM553" s="337"/>
      <c r="AN553" s="337"/>
      <c r="AO553" s="337"/>
      <c r="AP553" s="337"/>
      <c r="AQ553" s="325"/>
      <c r="AR553" s="325"/>
      <c r="AS553" s="325"/>
      <c r="AT553" s="325"/>
      <c r="AU553" s="325"/>
      <c r="AV553" s="325"/>
      <c r="AW553" s="325"/>
      <c r="AX553" s="325"/>
      <c r="AY553" s="325"/>
      <c r="AZ553" s="325"/>
      <c r="BA553" s="325"/>
      <c r="BB553" s="325"/>
      <c r="BC553" s="325"/>
      <c r="BD553" s="325"/>
      <c r="BE553" s="325"/>
      <c r="BF553" s="325"/>
      <c r="BG553" s="325"/>
      <c r="BH553" s="325"/>
      <c r="BI553" s="325"/>
      <c r="BJ553" s="325"/>
      <c r="BK553" s="325"/>
      <c r="BL553" s="325"/>
      <c r="BM553" s="325"/>
      <c r="BN553" s="325"/>
      <c r="BO553" s="325"/>
      <c r="BP553" s="325"/>
      <c r="BQ553" s="325"/>
      <c r="BR553" s="325"/>
      <c r="BS553" s="325"/>
      <c r="BT553" s="325"/>
      <c r="BU553" s="325"/>
      <c r="BV553" s="325"/>
      <c r="BW553" s="325"/>
      <c r="BX553" s="325"/>
      <c r="BY553" s="325"/>
      <c r="BZ553" s="325"/>
      <c r="CA553" s="325"/>
      <c r="CB553" s="325"/>
      <c r="CC553" s="325"/>
      <c r="CD553" s="325"/>
      <c r="CE553" s="325"/>
      <c r="CF553" s="325"/>
      <c r="CG553" s="325"/>
    </row>
    <row r="554" spans="1:85" ht="12.75" customHeight="1" thickBot="1" x14ac:dyDescent="0.3">
      <c r="A554" s="318"/>
      <c r="B554" s="21"/>
      <c r="C554" s="21"/>
      <c r="D554" s="21"/>
      <c r="E554" s="1140" t="str">
        <f>IF(E551="","",HYPERLINK("#JUMP_E_Top",EUconst_FurtherGuidancePoint1))</f>
        <v/>
      </c>
      <c r="F554" s="1140"/>
      <c r="G554" s="1140"/>
      <c r="H554" s="1140"/>
      <c r="I554" s="1140"/>
      <c r="J554" s="1140"/>
      <c r="K554" s="1140"/>
      <c r="L554" s="1140"/>
      <c r="M554" s="1140"/>
      <c r="N554" s="22"/>
      <c r="O554" s="323"/>
      <c r="P554" s="301"/>
      <c r="Q554" s="335" t="str">
        <f>EUconst_SumNonSustBioCO2</f>
        <v>SUM_bioNonSustCO2</v>
      </c>
      <c r="R554" s="500" t="str">
        <f>IF(E552="","",BG560)</f>
        <v/>
      </c>
      <c r="S554" s="2"/>
      <c r="T554" s="2"/>
      <c r="U554" s="2"/>
      <c r="V554" s="325"/>
      <c r="W554" s="325"/>
      <c r="X554" s="325"/>
      <c r="Y554" s="41"/>
      <c r="Z554" s="325"/>
      <c r="AA554" s="325"/>
      <c r="AB554" s="325"/>
      <c r="AC554" s="325"/>
      <c r="AD554" s="325"/>
      <c r="AE554" s="325"/>
      <c r="AF554" s="41"/>
      <c r="AG554" s="325"/>
      <c r="AH554" s="325"/>
      <c r="AI554" s="325"/>
      <c r="AJ554" s="342"/>
      <c r="AK554" s="342"/>
      <c r="AL554" s="337"/>
      <c r="AM554" s="337"/>
      <c r="AN554" s="337"/>
      <c r="AO554" s="337"/>
      <c r="AP554" s="337"/>
      <c r="AQ554" s="325"/>
      <c r="AR554" s="325"/>
      <c r="AS554" s="325"/>
      <c r="AT554" s="325"/>
      <c r="AU554" s="325"/>
      <c r="AV554" s="325"/>
      <c r="AW554" s="325"/>
      <c r="AX554" s="325"/>
      <c r="AY554" s="325"/>
      <c r="AZ554" s="325"/>
      <c r="BA554" s="325"/>
      <c r="BB554" s="325"/>
      <c r="BC554" s="325"/>
      <c r="BD554" s="325"/>
      <c r="BE554" s="325"/>
      <c r="BF554" s="325"/>
      <c r="BG554" s="325"/>
      <c r="BH554" s="325"/>
      <c r="BI554" s="20" t="s">
        <v>104</v>
      </c>
      <c r="BJ554" s="343"/>
      <c r="BK554" s="483" t="str">
        <f>IF(G568="","",G568)</f>
        <v/>
      </c>
      <c r="BL554" s="483" t="str">
        <f>IF(I568="","",I568)</f>
        <v/>
      </c>
      <c r="BM554" s="483" t="str">
        <f>IF(K568="","",K568)</f>
        <v/>
      </c>
      <c r="BN554" s="325"/>
      <c r="BO554" s="325"/>
      <c r="BP554" s="325"/>
      <c r="BQ554" s="325"/>
      <c r="BR554" s="325"/>
      <c r="BS554" s="325"/>
      <c r="BT554" s="330"/>
      <c r="BU554" s="325"/>
      <c r="BV554" s="325"/>
      <c r="BW554" s="325"/>
      <c r="BX554" s="325"/>
      <c r="BY554" s="325"/>
      <c r="BZ554" s="325"/>
      <c r="CA554" s="325"/>
      <c r="CB554" s="325"/>
      <c r="CC554" s="325"/>
      <c r="CD554" s="325"/>
      <c r="CE554" s="325"/>
      <c r="CF554" s="325"/>
      <c r="CG554" s="325"/>
    </row>
    <row r="555" spans="1:85" ht="5.15" customHeight="1" thickBot="1" x14ac:dyDescent="0.3">
      <c r="A555" s="318"/>
      <c r="B555" s="21"/>
      <c r="C555" s="21"/>
      <c r="D555" s="21"/>
      <c r="E555" s="21"/>
      <c r="F555" s="21"/>
      <c r="G555" s="21"/>
      <c r="H555" s="22"/>
      <c r="I555" s="22"/>
      <c r="J555" s="22"/>
      <c r="K555" s="22"/>
      <c r="L555" s="22"/>
      <c r="M555" s="22"/>
      <c r="N555" s="22"/>
      <c r="O555" s="323"/>
      <c r="P555" s="259"/>
      <c r="Q555" s="2"/>
      <c r="R555" s="259"/>
      <c r="S555" s="2"/>
      <c r="T555" s="2"/>
      <c r="U555" s="2"/>
      <c r="V555" s="325"/>
      <c r="W555" s="325"/>
      <c r="X555" s="325"/>
      <c r="Y555" s="23"/>
      <c r="Z555" s="325"/>
      <c r="AA555" s="325"/>
      <c r="AB555" s="325"/>
      <c r="AC555" s="325"/>
      <c r="AD555" s="325"/>
      <c r="AE555" s="325"/>
      <c r="AF555" s="41"/>
      <c r="AG555" s="325"/>
      <c r="AH555" s="325"/>
      <c r="AI555" s="325"/>
      <c r="AJ555" s="342"/>
      <c r="AK555" s="342"/>
      <c r="AL555" s="337"/>
      <c r="AM555" s="337"/>
      <c r="AN555" s="337"/>
      <c r="AO555" s="337"/>
      <c r="AP555" s="337"/>
      <c r="AQ555" s="325"/>
      <c r="AR555" s="325"/>
      <c r="AS555" s="325"/>
      <c r="AT555" s="325"/>
      <c r="AU555" s="325"/>
      <c r="AV555" s="325"/>
      <c r="AW555" s="325"/>
      <c r="AX555" s="325"/>
      <c r="AY555" s="325"/>
      <c r="AZ555" s="325"/>
      <c r="BA555" s="325"/>
      <c r="BB555" s="325"/>
      <c r="BC555" s="325"/>
      <c r="BD555" s="325"/>
      <c r="BE555" s="325"/>
      <c r="BF555" s="325"/>
      <c r="BG555" s="325"/>
      <c r="BH555" s="325"/>
      <c r="BI555" s="325"/>
      <c r="BJ555" s="325"/>
      <c r="BK555" s="325"/>
      <c r="BL555" s="325"/>
      <c r="BM555" s="325"/>
      <c r="BN555" s="325"/>
      <c r="BO555" s="325"/>
      <c r="BP555" s="325"/>
      <c r="BQ555" s="325"/>
      <c r="BR555" s="325"/>
      <c r="BS555" s="325"/>
      <c r="BT555" s="325"/>
      <c r="BU555" s="325"/>
      <c r="BV555" s="325"/>
      <c r="BW555" s="325"/>
      <c r="BX555" s="325"/>
      <c r="BY555" s="325"/>
      <c r="BZ555" s="325"/>
      <c r="CA555" s="325"/>
      <c r="CB555" s="325"/>
      <c r="CC555" s="325"/>
      <c r="CD555" s="325"/>
      <c r="CE555" s="325"/>
      <c r="CF555" s="325"/>
      <c r="CG555" s="325"/>
    </row>
    <row r="556" spans="1:85" ht="12.75" customHeight="1" thickBot="1" x14ac:dyDescent="0.3">
      <c r="A556" s="318"/>
      <c r="B556" s="21"/>
      <c r="C556" s="21"/>
      <c r="D556" s="21"/>
      <c r="E556" s="21"/>
      <c r="F556" s="347" t="str">
        <f>Translations!$B$127</f>
        <v>Määrittämistaso</v>
      </c>
      <c r="G556" s="1141" t="str">
        <f>Translations!$B$393</f>
        <v>määrittämistason kuvaus</v>
      </c>
      <c r="H556" s="1141"/>
      <c r="I556" s="1142" t="str">
        <f>Translations!$B$394</f>
        <v>Yksikkö</v>
      </c>
      <c r="J556" s="1142"/>
      <c r="K556" s="1142" t="str">
        <f>Translations!$B$395</f>
        <v>Arvo</v>
      </c>
      <c r="L556" s="1142"/>
      <c r="M556" s="327" t="str">
        <f>Translations!$B$396</f>
        <v>virhe</v>
      </c>
      <c r="N556" s="22"/>
      <c r="O556" s="323"/>
      <c r="P556" s="611"/>
      <c r="Q556" s="335" t="str">
        <f>EUconst_SumEnergyIN</f>
        <v>SUM_EnergyIN</v>
      </c>
      <c r="R556" s="501" t="str">
        <f>IF(E552="","",BG561)</f>
        <v/>
      </c>
      <c r="S556" s="325"/>
      <c r="T556" s="325"/>
      <c r="U556" s="325"/>
      <c r="V556" s="336" t="s">
        <v>105</v>
      </c>
      <c r="W556" s="325"/>
      <c r="X556" s="325"/>
      <c r="Y556" s="23" t="s">
        <v>106</v>
      </c>
      <c r="Z556" s="23" t="s">
        <v>107</v>
      </c>
      <c r="AA556" s="325"/>
      <c r="AB556" s="325"/>
      <c r="AC556" s="343" t="s">
        <v>108</v>
      </c>
      <c r="AD556" s="325"/>
      <c r="AE556" s="325"/>
      <c r="AF556" s="325" t="s">
        <v>109</v>
      </c>
      <c r="AG556" s="325" t="s">
        <v>110</v>
      </c>
      <c r="AH556" s="23" t="s">
        <v>111</v>
      </c>
      <c r="AI556" s="342" t="s">
        <v>112</v>
      </c>
      <c r="AJ556" s="342" t="s">
        <v>113</v>
      </c>
      <c r="AK556" s="348" t="s">
        <v>114</v>
      </c>
      <c r="AL556" s="337"/>
      <c r="AM556" s="337"/>
      <c r="AN556" s="337"/>
      <c r="AO556" s="337"/>
      <c r="AP556" s="337"/>
      <c r="AQ556" s="325"/>
      <c r="AR556" s="325" t="s">
        <v>109</v>
      </c>
      <c r="AS556" s="325" t="s">
        <v>110</v>
      </c>
      <c r="AT556" s="349" t="s">
        <v>115</v>
      </c>
      <c r="AU556" s="342" t="s">
        <v>116</v>
      </c>
      <c r="AV556" s="342" t="s">
        <v>117</v>
      </c>
      <c r="AW556" s="348" t="s">
        <v>114</v>
      </c>
      <c r="AX556" s="348" t="s">
        <v>114</v>
      </c>
      <c r="AY556" s="325"/>
      <c r="AZ556" s="325"/>
      <c r="BA556" s="325"/>
      <c r="BB556" s="325" t="s">
        <v>118</v>
      </c>
      <c r="BC556" s="325"/>
      <c r="BD556" s="325"/>
      <c r="BE556" s="325"/>
      <c r="BF556" s="325"/>
      <c r="BG556" s="330" t="str">
        <f>EUconst_Fuel</f>
        <v>Poltto</v>
      </c>
      <c r="BH556" s="325"/>
      <c r="BI556" s="325"/>
      <c r="BJ556" s="325"/>
      <c r="BK556" s="325"/>
      <c r="BL556" s="325"/>
      <c r="BM556" s="325"/>
      <c r="BN556" s="325"/>
      <c r="BO556" s="325"/>
      <c r="BP556" s="325"/>
      <c r="BQ556" s="325"/>
      <c r="BR556" s="325"/>
      <c r="BS556" s="325"/>
      <c r="BT556" s="325"/>
      <c r="BU556" s="325"/>
      <c r="BV556" s="325"/>
      <c r="BW556" s="325"/>
      <c r="BX556" s="325"/>
      <c r="BY556" s="325"/>
      <c r="BZ556" s="325"/>
      <c r="CA556" s="325"/>
      <c r="CB556" s="325"/>
      <c r="CC556" s="325"/>
      <c r="CD556" s="325"/>
      <c r="CE556" s="325"/>
      <c r="CF556" s="325"/>
      <c r="CG556" s="330" t="s">
        <v>94</v>
      </c>
    </row>
    <row r="557" spans="1:85" ht="12.75" customHeight="1" thickBot="1" x14ac:dyDescent="0.3">
      <c r="A557" s="318"/>
      <c r="B557" s="21"/>
      <c r="C557" s="344"/>
      <c r="D557" s="345" t="str">
        <f>Translations!$B$356</f>
        <v>Polttoaineen määrä:</v>
      </c>
      <c r="E557" s="350"/>
      <c r="F557" s="351"/>
      <c r="G557" s="1120" t="str">
        <f>IF(OR(ISBLANK(F557),F557=EUconst_NoTier),"",IF(Z557=0,EUconst_NA,IF(ISERROR(Z557),"",Z557)))</f>
        <v/>
      </c>
      <c r="H557" s="1122"/>
      <c r="I557" s="352" t="str">
        <f>IF(J557&lt;&gt;"","",AI557)</f>
        <v/>
      </c>
      <c r="J557" s="353"/>
      <c r="K557" s="1143"/>
      <c r="L557" s="1144"/>
      <c r="M557" s="486" t="str">
        <f>IF(AND(E552&lt;&gt;"",OR(F557="",COUNT(K557)=0),Y557&lt;&gt;EUconst_NA),EUconst_ERR_Incomplete,"")</f>
        <v/>
      </c>
      <c r="N557" s="22"/>
      <c r="O557" s="323"/>
      <c r="P557" s="612"/>
      <c r="Q557" s="335" t="str">
        <f>EUconst_SumBioEnergyIN</f>
        <v>SUM_BioEnergyIN</v>
      </c>
      <c r="R557" s="501" t="str">
        <f>IF(E552="","",BG562)</f>
        <v/>
      </c>
      <c r="S557" s="325"/>
      <c r="T557" s="355" t="str">
        <f>EUconst_CNTR_ActivityData&amp;E552</f>
        <v>ActivityData_</v>
      </c>
      <c r="U557" s="23"/>
      <c r="V557" s="355" t="str">
        <f>IF(E551="","",INDEX('B_Polttoainevirtojen tiedot'!$I$67:$I$91,MATCH(U550,'B_Polttoainevirtojen tiedot'!$D$67:$D$91,0)))</f>
        <v/>
      </c>
      <c r="W557" s="342" t="s">
        <v>121</v>
      </c>
      <c r="X557" s="23"/>
      <c r="Y557" s="356" t="str">
        <f>IF(E552="","",INDEX(EUwideConstants!$P$153:$P$180,MATCH(T557,EUwideConstants!$S$153:$S$180,0)))</f>
        <v/>
      </c>
      <c r="Z557" s="357" t="str">
        <f>IF(ISBLANK(F557),"",IF(F557=EUconst_NA,"",INDEX(EUwideConstants!$H:$O,MATCH(T557,EUwideConstants!$S:$S,0),MATCH(F557,CNTR_TierList,0))))</f>
        <v/>
      </c>
      <c r="AA557" s="358" t="s">
        <v>111</v>
      </c>
      <c r="AB557" s="342"/>
      <c r="AC557" s="339" t="b">
        <f>E551&lt;&gt;""</f>
        <v>0</v>
      </c>
      <c r="AD557" s="325"/>
      <c r="AE557" s="359" t="str">
        <f>EUconst_CNTR_ActivityData&amp;EUconst_Unit</f>
        <v>ActivityData_Yksikkö</v>
      </c>
      <c r="AF557" s="360" t="str">
        <f>IF(AC557=TRUE, IF(COUNTIF(MSPara_SourceStreamCategory,V557)=0,"",INDEX(MSPara_CalcFactorsMatrix,MATCH(V557,MSPara_SourceStreamCategory,0),MATCH(AE557&amp;"_"&amp;2,MSPara_CalcFactors,0))),"")</f>
        <v/>
      </c>
      <c r="AG557" s="361" t="str">
        <f>IF(AC557=TRUE, IF(COUNTIF(MSPara_SourceStreamCategory,V557)=0,"",INDEX(MSPara_CalcFactorsMatrix,MATCH(V557,MSPara_SourceStreamCategory,0),MATCH(AE557&amp;"_"&amp;1,MSPara_CalcFactors,0))),"")</f>
        <v/>
      </c>
      <c r="AH557" s="339" t="str">
        <f>IF(OR(AF557="",AF557=EUconst_NA),IF(OR(AG557=EUconst_NA,AG557=""),"",AG557),AF557)</f>
        <v/>
      </c>
      <c r="AI557" s="356" t="str">
        <f>IF(AC557=TRUE,IF(AH557="",EUconst_t,AH557),"")</f>
        <v/>
      </c>
      <c r="AJ557" s="362" t="str">
        <f>IF(J557="",AI557,J557)</f>
        <v/>
      </c>
      <c r="AK557" s="363" t="b">
        <f>AND(E551&lt;&gt;"",J557&lt;&gt;"")</f>
        <v>0</v>
      </c>
      <c r="AL557" s="337"/>
      <c r="AM557" s="404" t="s">
        <v>122</v>
      </c>
      <c r="AN557" s="403" t="str">
        <f>AJ557</f>
        <v/>
      </c>
      <c r="AO557" s="337"/>
      <c r="AP557" s="337"/>
      <c r="AQ557" s="355" t="str">
        <f>EUconst_CNTR_ActivityData&amp;EUconst_Value</f>
        <v>ActivityData_Arvo</v>
      </c>
      <c r="AR557" s="343"/>
      <c r="AS557" s="343"/>
      <c r="AT557" s="339" t="b">
        <f>AND(AND(AH557&lt;&gt;"",AJ557&lt;&gt;""),AJ557=AH557)</f>
        <v>0</v>
      </c>
      <c r="AU557" s="325"/>
      <c r="AV557" s="339">
        <f>IF(Y557=EUconst_NA,0,IF(COUNT(K557:K557)=0,0,IF(K557="",#REF!,K557)))</f>
        <v>0</v>
      </c>
      <c r="AW557" s="346" t="b">
        <f>AND(AC557=TRUE,OR(K557&lt;&gt;"",AU557=""))</f>
        <v>0</v>
      </c>
      <c r="AX557" s="346" t="b">
        <f>AND(AC557=TRUE,NOT(AW557))</f>
        <v>0</v>
      </c>
      <c r="AY557" s="325"/>
      <c r="AZ557" s="325" t="s">
        <v>123</v>
      </c>
      <c r="BA557" s="325" t="s">
        <v>124</v>
      </c>
      <c r="BB557" s="346"/>
      <c r="BC557" s="325" t="s">
        <v>125</v>
      </c>
      <c r="BD557" s="325"/>
      <c r="BE557" s="325"/>
      <c r="BF557" s="400" t="str">
        <f>Translations!$B$390</f>
        <v>CO2 fossil</v>
      </c>
      <c r="BG557" s="495" t="str">
        <f>IF(COUNTIF(AO560:AO561,TRUE)=0,"",AV557*IF(AO560,1,AV559*AN561)*AV560*(1-AV561)*AV564)</f>
        <v/>
      </c>
      <c r="BH557" s="325"/>
      <c r="BI557" s="325"/>
      <c r="BJ557" s="325"/>
      <c r="BK557" s="325"/>
      <c r="BL557" s="325"/>
      <c r="BM557" s="325"/>
      <c r="BN557" s="325"/>
      <c r="BO557" s="325"/>
      <c r="BP557" s="325"/>
      <c r="BQ557" s="325"/>
      <c r="BR557" s="325"/>
      <c r="BS557" s="325"/>
      <c r="BT557" s="325"/>
      <c r="BU557" s="325"/>
      <c r="BV557" s="325"/>
      <c r="BW557" s="325"/>
      <c r="BX557" s="325"/>
      <c r="BY557" s="325"/>
      <c r="BZ557" s="325"/>
      <c r="CA557" s="325"/>
      <c r="CB557" s="325"/>
      <c r="CC557" s="325"/>
      <c r="CD557" s="325"/>
      <c r="CE557" s="325"/>
      <c r="CF557" s="325"/>
      <c r="CG557" s="346" t="b">
        <v>0</v>
      </c>
    </row>
    <row r="558" spans="1:85" ht="5.15" customHeight="1" thickBot="1" x14ac:dyDescent="0.3">
      <c r="A558" s="318"/>
      <c r="B558" s="21"/>
      <c r="C558" s="344"/>
      <c r="D558" s="188"/>
      <c r="E558" s="22"/>
      <c r="F558" s="22"/>
      <c r="G558" s="22"/>
      <c r="H558" s="22" t="str">
        <f>Translations!$B$397</f>
        <v xml:space="preserve"> </v>
      </c>
      <c r="I558" s="364"/>
      <c r="J558" s="364"/>
      <c r="K558" s="22"/>
      <c r="L558" s="22"/>
      <c r="M558" s="487"/>
      <c r="N558" s="22"/>
      <c r="O558" s="323"/>
      <c r="P558" s="301"/>
      <c r="Q558" s="23"/>
      <c r="R558" s="23"/>
      <c r="S558" s="325"/>
      <c r="T558" s="277"/>
      <c r="U558" s="23"/>
      <c r="V558" s="325"/>
      <c r="W558" s="325"/>
      <c r="X558" s="23"/>
      <c r="Y558" s="330"/>
      <c r="Z558" s="325"/>
      <c r="AA558" s="325"/>
      <c r="AB558" s="325"/>
      <c r="AC558" s="325"/>
      <c r="AD558" s="325"/>
      <c r="AE558" s="325"/>
      <c r="AF558" s="325"/>
      <c r="AG558" s="325"/>
      <c r="AH558" s="325"/>
      <c r="AI558" s="325"/>
      <c r="AJ558" s="325"/>
      <c r="AK558" s="325"/>
      <c r="AL558" s="337"/>
      <c r="AM558" s="337"/>
      <c r="AN558" s="337"/>
      <c r="AO558" s="337"/>
      <c r="AP558" s="337"/>
      <c r="AQ558" s="325"/>
      <c r="AR558" s="325"/>
      <c r="AS558" s="325"/>
      <c r="AT558" s="325"/>
      <c r="AU558" s="325"/>
      <c r="AV558" s="325"/>
      <c r="AW558" s="325"/>
      <c r="AX558" s="325"/>
      <c r="AY558" s="325"/>
      <c r="AZ558" s="325"/>
      <c r="BA558" s="325"/>
      <c r="BB558" s="325"/>
      <c r="BC558" s="325"/>
      <c r="BD558" s="325"/>
      <c r="BE558" s="325"/>
      <c r="BF558" s="325"/>
      <c r="BG558" s="496"/>
      <c r="BH558" s="325"/>
      <c r="BI558" s="325"/>
      <c r="BJ558" s="325"/>
      <c r="BK558" s="325"/>
      <c r="BL558" s="325"/>
      <c r="BM558" s="325"/>
      <c r="BN558" s="325"/>
      <c r="BO558" s="325"/>
      <c r="BP558" s="325"/>
      <c r="BQ558" s="325"/>
      <c r="BR558" s="325"/>
      <c r="BS558" s="325"/>
      <c r="BT558" s="325"/>
      <c r="BU558" s="325"/>
      <c r="BV558" s="325"/>
      <c r="BW558" s="325"/>
      <c r="BX558" s="325"/>
      <c r="BY558" s="325"/>
      <c r="BZ558" s="325"/>
      <c r="CA558" s="325"/>
      <c r="CB558" s="325"/>
      <c r="CC558" s="325"/>
      <c r="CD558" s="325"/>
      <c r="CE558" s="325"/>
      <c r="CF558" s="325"/>
      <c r="CG558" s="330"/>
    </row>
    <row r="559" spans="1:85" ht="12.75" customHeight="1" thickBot="1" x14ac:dyDescent="0.3">
      <c r="A559" s="318"/>
      <c r="B559" s="21"/>
      <c r="C559" s="344"/>
      <c r="D559" s="345" t="str">
        <f>Translations!$B$360</f>
        <v>Yksikön muuntokerroin:</v>
      </c>
      <c r="E559" s="350"/>
      <c r="F559" s="443"/>
      <c r="G559" s="1120" t="str">
        <f>IF(OR(ISBLANK(F559),F559=EUconst_NoTier),"",IF(Z559=0,EUconst_NotApplicable,IF(ISERROR(Z559),"",Z559)))</f>
        <v/>
      </c>
      <c r="H559" s="1122"/>
      <c r="I559" s="444" t="str">
        <f>IF(J559&lt;&gt;"","",AI559)</f>
        <v/>
      </c>
      <c r="J559" s="445"/>
      <c r="K559" s="632" t="str">
        <f>IF(L559="",AU559,"")</f>
        <v/>
      </c>
      <c r="L559" s="633"/>
      <c r="M559" s="486" t="str">
        <f>IF(AND(E552&lt;&gt;"",OR(F559="",COUNT(K559:L559)=0),Y559&lt;&gt;EUconst_NA),EUconst_ERR_Incomplete,IF(COUNTIF(BB559:BD559,TRUE)&gt;0,EUconst_ERR_Inconsistent,""))</f>
        <v/>
      </c>
      <c r="N559" s="752"/>
      <c r="O559" s="323"/>
      <c r="P559" s="301"/>
      <c r="Q559" s="23"/>
      <c r="R559" s="23"/>
      <c r="S559" s="325"/>
      <c r="T559" s="365" t="str">
        <f>EUconst_CNTR_UCF&amp;E552</f>
        <v>UCF_</v>
      </c>
      <c r="U559" s="23"/>
      <c r="V559" s="366" t="str">
        <f>V560</f>
        <v/>
      </c>
      <c r="W559" s="325"/>
      <c r="X559" s="23"/>
      <c r="Y559" s="448" t="str">
        <f>IF(E552="","",IF(OR(F559=EUconst_NA,W559=TRUE),EUconst_NA,INDEX(EUwideConstants!$P$153:$P$180,MATCH(T559,EUwideConstants!$S$153:$S$180,0))))</f>
        <v/>
      </c>
      <c r="Z559" s="471" t="str">
        <f>IF(ISBLANK(F559),"",IF(F559=EUconst_NA,"",INDEX(EUwideConstants!$H:$O,MATCH(T559,EUwideConstants!$S:$S,0),MATCH(F559,CNTR_TierList,0))))</f>
        <v/>
      </c>
      <c r="AA559" s="449" t="str">
        <f>IF(COUNTIF(EUconst_DefaultValues,Z559)&gt;0,MATCH(Z559,EUconst_DefaultValues,0),"")</f>
        <v/>
      </c>
      <c r="AB559" s="325"/>
      <c r="AC559" s="367" t="b">
        <f>AND(AC557,Y559&lt;&gt;EUconst_NA)</f>
        <v>0</v>
      </c>
      <c r="AD559" s="325"/>
      <c r="AE559" s="359" t="str">
        <f>EUconst_CNTR_UCF&amp;EUconst_Unit</f>
        <v>UCF_Yksikkö</v>
      </c>
      <c r="AF559" s="368" t="str">
        <f>IF(AC559=TRUE, IF(COUNTIF(MSPara_SourceStreamCategory,V559)=0,"",INDEX(MSPara_CalcFactorsMatrix,MATCH(V559,MSPara_SourceStreamCategory,0),MATCH(AE559&amp;"_"&amp;2,MSPara_CalcFactors,0))),"")</f>
        <v/>
      </c>
      <c r="AG559" s="372" t="str">
        <f>IF(AC559=TRUE, IF(COUNTIF(MSPara_SourceStreamCategory,V559)=0,"",INDEX(MSPara_CalcFactorsMatrix,MATCH(V559,MSPara_SourceStreamCategory,0),MATCH(AE559&amp;"_"&amp;1,MSPara_CalcFactors,0))),"")</f>
        <v/>
      </c>
      <c r="AH559" s="367" t="str">
        <f>IF(AA559="","",INDEX(AF559:AG559,3-AA559))</f>
        <v/>
      </c>
      <c r="AI559" s="367" t="str">
        <f>IF(AC559=TRUE,IF(OR(AH559="",AH559=EUconst_NA),EUconst_GJ&amp;"/"&amp;AJ557,AH559),"")</f>
        <v/>
      </c>
      <c r="AJ559" s="367" t="str">
        <f>IF(J559="",AI559,J559)</f>
        <v/>
      </c>
      <c r="AK559" s="366" t="b">
        <f>AND(E551&lt;&gt;"",J559&lt;&gt;"")</f>
        <v>0</v>
      </c>
      <c r="AL559" s="337"/>
      <c r="AM559" s="404" t="s">
        <v>127</v>
      </c>
      <c r="AN559" s="403" t="str">
        <f>IF(AJ559="",EUconst_NA,IF(AN557=EUconst_TJ,EUconst_TJ,INDEX(EUwideConstants!$C$124:$G$128,MATCH(AN557,RFAUnits,0),MATCH(AJ559,UCFUnits,0))))</f>
        <v>ei sovellettavissa</v>
      </c>
      <c r="AO559" s="337"/>
      <c r="AP559" s="337"/>
      <c r="AQ559" s="454" t="str">
        <f>EUconst_CNTR_UCF&amp;EUconst_Value</f>
        <v>UCF_Arvo</v>
      </c>
      <c r="AR559" s="475" t="str">
        <f>IF(AC559=TRUE,IF(COUNTIF(MSPara_SourceStreamCategory,V559)=0,"",INDEX(MSPara_CalcFactorsMatrix,MATCH(V559,MSPara_SourceStreamCategory,0),MATCH(AQ559&amp;"_"&amp;2,MSPara_CalcFactors,0))),"")</f>
        <v/>
      </c>
      <c r="AS559" s="371" t="str">
        <f>IF(AC559=TRUE,IF(COUNTIF(MSPara_SourceStreamCategory,V559)=0,"",INDEX(MSPara_CalcFactorsMatrix,MATCH(V559,MSPara_SourceStreamCategory,0),MATCH(AQ559&amp;"_"&amp;1,MSPara_CalcFactors,0))),"")</f>
        <v/>
      </c>
      <c r="AT559" s="369" t="b">
        <f>AND(AND(AH559&lt;&gt;"",AJ559&lt;&gt;""),AJ559=AH559)</f>
        <v>0</v>
      </c>
      <c r="AU559" s="381" t="str">
        <f>IF(AND(AA559&lt;&gt;"",AT559=TRUE),IF(OR(INDEX(AR559:AS559,3-AA559)=EUconst_NA,INDEX(AR559:AS559,3-AA559)=0),"",INDEX(AR559:AS559,3-AA559)),"")</f>
        <v/>
      </c>
      <c r="AV559" s="367">
        <f>IF(AC559=TRUE,IF(COUNT(K559:L559)=0,0,IF(L559="",K559,L559)),0)</f>
        <v>0</v>
      </c>
      <c r="AW559" s="366" t="b">
        <f>AND(AC559=TRUE,OR(AND(F559&lt;&gt;"",NOT(ISNUMBER(AA559))),L559&lt;&gt;"",F559="",AU559=""))</f>
        <v>0</v>
      </c>
      <c r="AX559" s="370" t="b">
        <f>AND(AC559=TRUE,NOT(AW559))</f>
        <v>0</v>
      </c>
      <c r="AY559" s="325"/>
      <c r="AZ559" s="373" t="b">
        <f>AND(ISNUMBER(AA559),AU559="")</f>
        <v>0</v>
      </c>
      <c r="BA559" s="399" t="b">
        <f>AND(ISNUMBER(AA559),AU559&lt;&gt;AV559)</f>
        <v>0</v>
      </c>
      <c r="BB559" s="366" t="b">
        <f>AND(E552&lt;&gt;"",F559&lt;&gt;EUconst_NA,AN559=EUconst_NA)</f>
        <v>0</v>
      </c>
      <c r="BC559" s="366" t="b">
        <f>AND(L559&lt;&gt;"",Y559=EUconst_NA)</f>
        <v>0</v>
      </c>
      <c r="BD559" s="325"/>
      <c r="BE559" s="325"/>
      <c r="BF559" s="373" t="s">
        <v>128</v>
      </c>
      <c r="BG559" s="497" t="str">
        <f>IF(COUNTIF(AO560:AO561,TRUE)=0,"",AV557*IF(AO560,1,AV559*AN561)*AV560*AV561*AV564)</f>
        <v/>
      </c>
      <c r="BH559" s="325"/>
      <c r="BI559" s="325"/>
      <c r="BJ559" s="325"/>
      <c r="BK559" s="325"/>
      <c r="BL559" s="325"/>
      <c r="BM559" s="325"/>
      <c r="BN559" s="325"/>
      <c r="BO559" s="325"/>
      <c r="BP559" s="325"/>
      <c r="BQ559" s="325"/>
      <c r="BR559" s="325"/>
      <c r="BS559" s="325"/>
      <c r="BT559" s="325"/>
      <c r="BU559" s="325"/>
      <c r="BV559" s="325"/>
      <c r="BW559" s="325"/>
      <c r="BX559" s="325"/>
      <c r="BY559" s="325"/>
      <c r="BZ559" s="325"/>
      <c r="CA559" s="325"/>
      <c r="CB559" s="325"/>
      <c r="CC559" s="325"/>
      <c r="CD559" s="325"/>
      <c r="CE559" s="325"/>
      <c r="CF559" s="325"/>
      <c r="CG559" s="375" t="b">
        <f>OR(CG557,Y559=EUconst_NA)</f>
        <v>0</v>
      </c>
    </row>
    <row r="560" spans="1:85" ht="12.75" customHeight="1" thickBot="1" x14ac:dyDescent="0.3">
      <c r="A560" s="318"/>
      <c r="B560" s="21"/>
      <c r="C560" s="344"/>
      <c r="D560" s="345" t="str">
        <f>Translations!$B$358</f>
        <v>Päästökerroin (alustava):</v>
      </c>
      <c r="E560" s="350"/>
      <c r="F560" s="624"/>
      <c r="G560" s="1120" t="str">
        <f>IF(OR(ISBLANK(F560),F560=EUconst_NoTier),"",IF(Z560=0,EUconst_NotApplicable,IF(ISERROR(Z560),"",Z560)))</f>
        <v/>
      </c>
      <c r="H560" s="1121"/>
      <c r="I560" s="625" t="str">
        <f>IF(J560&lt;&gt;"","",AI560)</f>
        <v/>
      </c>
      <c r="J560" s="631"/>
      <c r="K560" s="634" t="str">
        <f>IF(L560="",AU560,"")</f>
        <v/>
      </c>
      <c r="L560" s="754"/>
      <c r="M560" s="486" t="str">
        <f>IF(AND(E552&lt;&gt;"",OR(F560="",COUNT(K560:L560)=0),Y560&lt;&gt;EUconst_NA),EUconst_ERR_Incomplete,IF(COUNTIF(BB560:BD560,TRUE)&gt;0,EUconst_ERR_Inconsistent,""))</f>
        <v/>
      </c>
      <c r="N560" s="753"/>
      <c r="O560" s="323"/>
      <c r="P560" s="301"/>
      <c r="Q560" s="23"/>
      <c r="R560" s="23"/>
      <c r="S560" s="325"/>
      <c r="T560" s="374" t="str">
        <f>EUconst_CNTR_EF&amp;E552</f>
        <v>EF_</v>
      </c>
      <c r="U560" s="23"/>
      <c r="V560" s="375" t="str">
        <f>V557</f>
        <v/>
      </c>
      <c r="W560" s="325"/>
      <c r="X560" s="23"/>
      <c r="Y560" s="450" t="str">
        <f>IF(E552="","",IF(OR(F560=EUconst_NA,W560=TRUE),EUconst_NA,INDEX(EUwideConstants!$P$153:$P$180,MATCH(T560,EUwideConstants!$S$153:$S$180,0))))</f>
        <v/>
      </c>
      <c r="Z560" s="472" t="str">
        <f>IF(ISBLANK(F560),"",IF(F560=EUconst_NA,"",INDEX(EUwideConstants!$H:$O,MATCH(T560,EUwideConstants!$S:$S,0),MATCH(F560,CNTR_TierList,0))))</f>
        <v/>
      </c>
      <c r="AA560" s="451" t="str">
        <f>IF(COUNTIF(EUconst_DefaultValues,Z560)&gt;0,MATCH(Z560,EUconst_DefaultValues,0),"")</f>
        <v/>
      </c>
      <c r="AB560" s="325"/>
      <c r="AC560" s="376" t="b">
        <f>AND(AC557,Y560&lt;&gt;EUconst_NA)</f>
        <v>0</v>
      </c>
      <c r="AD560" s="325"/>
      <c r="AE560" s="377" t="str">
        <f>EUconst_CNTR_EF&amp;EUconst_Unit</f>
        <v>EF_Yksikkö</v>
      </c>
      <c r="AF560" s="378" t="str">
        <f>IF(AC560=TRUE, IF(COUNTIF(MSPara_SourceStreamCategory,V560)=0,"",INDEX(MSPara_CalcFactorsMatrix,MATCH(V560,MSPara_SourceStreamCategory,0),MATCH(AE560&amp;"_"&amp;2,MSPara_CalcFactors,0))),"")</f>
        <v/>
      </c>
      <c r="AG560" s="464" t="str">
        <f>IF(AC560=TRUE, IF(COUNTIF(MSPara_SourceStreamCategory,V560)=0,"",INDEX(MSPara_CalcFactorsMatrix,MATCH(V560,MSPara_SourceStreamCategory,0),MATCH(AE560&amp;"_"&amp;1,MSPara_CalcFactors,0))),"")</f>
        <v/>
      </c>
      <c r="AH560" s="376" t="str">
        <f>IF(AA560="","",INDEX(AF560:AG560,3-AA560))</f>
        <v/>
      </c>
      <c r="AI560" s="376" t="str">
        <f>IF(AC560=TRUE,IF(OR(AH560="",AH560=EUconst_NA),EUconst_tCO2&amp;"/"&amp;IF(AN559=EUconst_NA,AN557,IF(AN559=EUconst_GJ,EUconst_TJ,AN559)),AH560),"")</f>
        <v/>
      </c>
      <c r="AJ560" s="376" t="str">
        <f>IF(J560="",AI560,J560)</f>
        <v/>
      </c>
      <c r="AK560" s="375" t="b">
        <f>AND(E552&lt;&gt;"",J560&lt;&gt;"")</f>
        <v>0</v>
      </c>
      <c r="AL560" s="337"/>
      <c r="AM560" s="404" t="s">
        <v>130</v>
      </c>
      <c r="AN560" s="403" t="str">
        <f>IF(COUNTIF(RFAUnits,AN557)=0,EUconst_NA,INDEX(EUwideConstants!$C$139:$H$143,MATCH(AJ560,EFUnits,0),MATCH(AN557,EUwideConstants!$C$138:$H$138,0)))</f>
        <v>ei sovellettavissa</v>
      </c>
      <c r="AO560" s="403" t="b">
        <f>AN560&lt;&gt;EUconst_NA</f>
        <v>0</v>
      </c>
      <c r="AP560" s="337"/>
      <c r="AQ560" s="455" t="str">
        <f>EUconst_CNTR_EF&amp;EUconst_Value</f>
        <v>EF_Arvo</v>
      </c>
      <c r="AR560" s="476" t="str">
        <f>IF(AC560=TRUE,IF(COUNTIF(MSPara_SourceStreamCategory,V560)=0,"",INDEX(MSPara_CalcFactorsMatrix,MATCH(V560,MSPara_SourceStreamCategory,0),MATCH(AQ560&amp;"_"&amp;2,MSPara_CalcFactors,0))),"")</f>
        <v/>
      </c>
      <c r="AS560" s="383" t="str">
        <f>IF(AC560=TRUE,IF(COUNTIF(MSPara_SourceStreamCategory,V560)=0,"",INDEX(MSPara_CalcFactorsMatrix,MATCH(V560,MSPara_SourceStreamCategory,0),MATCH(AQ560&amp;"_"&amp;1,MSPara_CalcFactors,0))),"")</f>
        <v/>
      </c>
      <c r="AT560" s="456" t="b">
        <f>AND(AND(AH560&lt;&gt;"",AJ560&lt;&gt;""),AJ560=AH560)</f>
        <v>0</v>
      </c>
      <c r="AU560" s="334" t="str">
        <f>IF(AND(AA560&lt;&gt;"",AT560=TRUE),IF(OR(INDEX(AR560:AS560,3-AA560)=EUconst_NA,INDEX(AR560:AS560,3-AA560)=0),"",INDEX(AR560:AS560,3-AA560)),"")</f>
        <v/>
      </c>
      <c r="AV560" s="376">
        <f>IF(AC560=TRUE,IF(COUNT(K560:L560)=0,0,IF(L560="",K560,L560)),0)</f>
        <v>0</v>
      </c>
      <c r="AW560" s="375" t="b">
        <f>AND(AC560=TRUE,OR(AND(F560&lt;&gt;"",NOT(ISNUMBER(AA560))),L560&lt;&gt;"",F560="",AU560=""))</f>
        <v>0</v>
      </c>
      <c r="AX560" s="457" t="b">
        <f>AND(AC560=TRUE,NOT(AW560))</f>
        <v>0</v>
      </c>
      <c r="AY560" s="325"/>
      <c r="AZ560" s="379" t="b">
        <f>AND(ISNUMBER(AA560),AU560="")</f>
        <v>0</v>
      </c>
      <c r="BA560" s="380" t="b">
        <f>AND(ISNUMBER(AA560),AU560&lt;&gt;AV560)</f>
        <v>0</v>
      </c>
      <c r="BB560" s="382" t="b">
        <f>AND(E552&lt;&gt;"",COUNTIF(AO560:AO561,TRUE)=0)</f>
        <v>0</v>
      </c>
      <c r="BC560" s="375" t="b">
        <f>AND(L560&lt;&gt;"",Y560=EUconst_NA)</f>
        <v>0</v>
      </c>
      <c r="BD560" s="325"/>
      <c r="BE560" s="325"/>
      <c r="BF560" s="379" t="s">
        <v>131</v>
      </c>
      <c r="BG560" s="498" t="str">
        <f>IF(COUNTIF(AO560:AO561,TRUE)=0,"",AV557*IF(AO560,1,AV559*AN561)*AV560*AV562*AV564)</f>
        <v/>
      </c>
      <c r="BH560" s="325"/>
      <c r="BI560" s="325"/>
      <c r="BJ560" s="325"/>
      <c r="BK560" s="325"/>
      <c r="BL560" s="325"/>
      <c r="BM560" s="325"/>
      <c r="BN560" s="325"/>
      <c r="BO560" s="325"/>
      <c r="BP560" s="325"/>
      <c r="BQ560" s="325"/>
      <c r="BR560" s="325"/>
      <c r="BS560" s="325"/>
      <c r="BT560" s="325"/>
      <c r="BU560" s="325"/>
      <c r="BV560" s="325"/>
      <c r="BW560" s="325"/>
      <c r="BX560" s="325"/>
      <c r="BY560" s="325"/>
      <c r="BZ560" s="325"/>
      <c r="CA560" s="325"/>
      <c r="CB560" s="325"/>
      <c r="CC560" s="325"/>
      <c r="CD560" s="325"/>
      <c r="CE560" s="325"/>
      <c r="CF560" s="325"/>
      <c r="CG560" s="366" t="b">
        <f>OR(CG557,Y560=EUconst_NA)</f>
        <v>0</v>
      </c>
    </row>
    <row r="561" spans="1:85" ht="12.75" customHeight="1" x14ac:dyDescent="0.25">
      <c r="A561" s="318"/>
      <c r="B561" s="21"/>
      <c r="C561" s="344"/>
      <c r="D561" s="345" t="str">
        <f>Translations!$B$362</f>
        <v>Biomassaosuus:</v>
      </c>
      <c r="E561" s="350"/>
      <c r="F561" s="624"/>
      <c r="G561" s="1120" t="str">
        <f>IF(OR(ISBLANK(F561),F561=EUconst_NoTier),"",IF(Z561=0,EUconst_NotApplicable,IF(ISERROR(Z561),"",Z561)))</f>
        <v/>
      </c>
      <c r="H561" s="1122"/>
      <c r="I561" s="626" t="str">
        <f>IF(OR(AC561=FALSE,Y561=EUconst_NA),"","-")</f>
        <v/>
      </c>
      <c r="J561" s="446"/>
      <c r="K561" s="635" t="str">
        <f>IF(L561="",AU561,"")</f>
        <v/>
      </c>
      <c r="L561" s="627"/>
      <c r="M561" s="486" t="str">
        <f>IF(AND(E552&lt;&gt;"",OR(F561="",COUNT(K561:L561)=0),Y561&lt;&gt;EUconst_NA),EUconst_ERR_Incomplete,IF(COUNTIF(BB561:BD561,TRUE)&gt;0,EUconst_ERR_Inconsistent,""))</f>
        <v/>
      </c>
      <c r="O561" s="323"/>
      <c r="P561" s="612"/>
      <c r="Q561" s="354"/>
      <c r="R561" s="354"/>
      <c r="S561" s="325"/>
      <c r="T561" s="374" t="str">
        <f>EUconst_CNTR_BiomassContent&amp;E552</f>
        <v>BioC_</v>
      </c>
      <c r="U561" s="23"/>
      <c r="V561" s="375" t="str">
        <f>V559</f>
        <v/>
      </c>
      <c r="W561" s="366" t="e">
        <f>IF(COUNTIF(MSPara_SourceStreamCategory,V561)=0,"",INDEX(MSPara_IsFossil,MATCH(V561,MSPara_SourceStreamCategory,0)))</f>
        <v>#N/A</v>
      </c>
      <c r="X561" s="23"/>
      <c r="Y561" s="450" t="str">
        <f>IF(E552="","",IF(OR(F561=EUconst_NA,W561=TRUE),EUconst_NA,INDEX(EUwideConstants!$P$153:$P$180,MATCH(T561,EUwideConstants!$S$153:$S$180,0))))</f>
        <v/>
      </c>
      <c r="Z561" s="472" t="str">
        <f>IF(ISBLANK(F561),"",IF(F561=EUconst_NA,"",INDEX(EUwideConstants!$H:$O,MATCH(T561,EUwideConstants!$S:$S,0),MATCH(F561,CNTR_TierList,0))))</f>
        <v/>
      </c>
      <c r="AA561" s="681" t="str">
        <f>IF(F561=1,1,"")</f>
        <v/>
      </c>
      <c r="AB561" s="325"/>
      <c r="AC561" s="376" t="b">
        <f>AND(AC557,Y561&lt;&gt;EUconst_NA)</f>
        <v>0</v>
      </c>
      <c r="AD561" s="325"/>
      <c r="AE561" s="462"/>
      <c r="AF561" s="460"/>
      <c r="AG561" s="465"/>
      <c r="AH561" s="467"/>
      <c r="AI561" s="467"/>
      <c r="AJ561" s="467"/>
      <c r="AK561" s="469"/>
      <c r="AL561" s="337"/>
      <c r="AM561" s="404" t="s">
        <v>132</v>
      </c>
      <c r="AN561" s="403" t="str">
        <f>IF(AN559=EUconst_NA,EUconst_NA,INDEX(EUwideConstants!$C$139:$H$143,MATCH(AJ560,EFUnits,0),MATCH(AN559,EUwideConstants!$C$138:$H$138,0)))</f>
        <v>ei sovellettavissa</v>
      </c>
      <c r="AO561" s="403" t="b">
        <f>AN561&lt;&gt;EUconst_NA</f>
        <v>0</v>
      </c>
      <c r="AP561" s="337"/>
      <c r="AQ561" s="455" t="str">
        <f>EUconst_CNTR_BiomassContent&amp;EUconst_Value</f>
        <v>BioC_Arvo</v>
      </c>
      <c r="AR561" s="462"/>
      <c r="AS561" s="383" t="str">
        <f>IF(AC561=TRUE,IF(COUNTIF(MSPara_SourceStreamCategory,V561)=0,"",INDEX(MSPara_CalcFactorsMatrix,MATCH(V561,MSPara_SourceStreamCategory,0),MATCH(AQ561&amp;"_"&amp;2,MSPara_CalcFactors,0))),"")</f>
        <v/>
      </c>
      <c r="AT561" s="458"/>
      <c r="AU561" s="334" t="str">
        <f>IF(OR(AA561="",AS561=EUconst_NA),"",AS561)</f>
        <v/>
      </c>
      <c r="AV561" s="376">
        <f>IF(AC561=TRUE,IF(COUNT(K561:L561)=0,0,IF(L561="",K561,L561)),0)</f>
        <v>0</v>
      </c>
      <c r="AW561" s="375" t="b">
        <f>AND(AC561=TRUE,OR(AND(F561&lt;&gt;"",NOT(ISNUMBER(AA561))),L561&lt;&gt;"",F561="",AU561=""))</f>
        <v>0</v>
      </c>
      <c r="AX561" s="457" t="b">
        <f>AND(AC561=TRUE,NOT(AW561))</f>
        <v>0</v>
      </c>
      <c r="AY561" s="325"/>
      <c r="AZ561" s="379" t="b">
        <f>AND(ISNUMBER(AA561),AU561="")</f>
        <v>0</v>
      </c>
      <c r="BA561" s="380" t="b">
        <f>AND(ISNUMBER(AA561),AU561&lt;&gt;AV561)</f>
        <v>0</v>
      </c>
      <c r="BB561" s="325"/>
      <c r="BC561" s="375" t="b">
        <f>AND(L561&lt;&gt;"",Y561=EUconst_NA)</f>
        <v>0</v>
      </c>
      <c r="BD561" s="366" t="b">
        <f>OR(AV561&gt;100%,(AV561+AV562)&gt;100%)</f>
        <v>0</v>
      </c>
      <c r="BE561" s="325"/>
      <c r="BF561" s="379" t="s">
        <v>133</v>
      </c>
      <c r="BG561" s="498" t="str">
        <f>IF(AN557=EUconst_TJ,AV557*(1-AV561),IF(AN559=EUconst_GJ,AV557*AV559/1000*(1-AV561),""))</f>
        <v/>
      </c>
      <c r="BH561" s="325"/>
      <c r="BI561" s="325"/>
      <c r="BJ561" s="325"/>
      <c r="BK561" s="325"/>
      <c r="BL561" s="325"/>
      <c r="BM561" s="325"/>
      <c r="BN561" s="325"/>
      <c r="BO561" s="325"/>
      <c r="BP561" s="325"/>
      <c r="BQ561" s="325"/>
      <c r="BR561" s="325"/>
      <c r="BS561" s="325"/>
      <c r="BT561" s="325"/>
      <c r="BU561" s="325"/>
      <c r="BV561" s="325"/>
      <c r="BW561" s="325"/>
      <c r="BX561" s="325"/>
      <c r="BY561" s="325"/>
      <c r="BZ561" s="325"/>
      <c r="CA561" s="325"/>
      <c r="CB561" s="325"/>
      <c r="CC561" s="325"/>
      <c r="CD561" s="325"/>
      <c r="CE561" s="325"/>
      <c r="CF561" s="325"/>
      <c r="CG561" s="375" t="b">
        <f>OR(CG557,Y561=EUconst_NA)</f>
        <v>0</v>
      </c>
    </row>
    <row r="562" spans="1:85" ht="12.75" customHeight="1" thickBot="1" x14ac:dyDescent="0.3">
      <c r="A562" s="318"/>
      <c r="B562" s="21"/>
      <c r="C562" s="344"/>
      <c r="D562" s="345" t="str">
        <f>Translations!$B$368</f>
        <v>Ei kestävä biomassaosuus:</v>
      </c>
      <c r="E562" s="350"/>
      <c r="F562" s="628"/>
      <c r="G562" s="1120" t="str">
        <f>IF(OR(ISBLANK(F562),F562=EUconst_NoTier),"",IF(Z562=0,EUconst_NotApplicable,IF(ISERROR(Z562),"",Z562)))</f>
        <v/>
      </c>
      <c r="H562" s="1122"/>
      <c r="I562" s="629" t="str">
        <f>IF(OR(AC562=FALSE,Y562=EUconst_NA),"","-")</f>
        <v/>
      </c>
      <c r="J562" s="447"/>
      <c r="K562" s="636" t="str">
        <f>IF(L562="",AU562,"")</f>
        <v/>
      </c>
      <c r="L562" s="630"/>
      <c r="M562" s="486" t="str">
        <f>IF(AND(E552&lt;&gt;"",OR(F562="",COUNT(K562:L562)=0),Y562&lt;&gt;EUconst_NA),EUconst_ERR_Incomplete,IF(COUNTIF(BB562:BD562,TRUE)&gt;0,EUconst_ERR_Inconsistent,""))</f>
        <v/>
      </c>
      <c r="N562" s="22"/>
      <c r="O562" s="323"/>
      <c r="P562" s="612"/>
      <c r="Q562" s="354"/>
      <c r="R562" s="354"/>
      <c r="S562" s="325"/>
      <c r="T562" s="384" t="str">
        <f>EUconst_CNTR_BiomassContent&amp;E552</f>
        <v>BioC_</v>
      </c>
      <c r="U562" s="23"/>
      <c r="V562" s="382" t="str">
        <f>V561</f>
        <v/>
      </c>
      <c r="W562" s="382" t="e">
        <f>IF(COUNTIF(MSPara_SourceStreamCategory,V562)=0,"",INDEX(MSPara_IsFossil,MATCH(V562,MSPara_SourceStreamCategory,0)))</f>
        <v>#N/A</v>
      </c>
      <c r="X562" s="23"/>
      <c r="Y562" s="452" t="str">
        <f>IF(E552="","",IF(OR(F562=EUconst_NA,W562=TRUE),EUconst_NA,INDEX(EUwideConstants!$P$153:$P$180,MATCH(T562,EUwideConstants!$S$153:$S$180,0))))</f>
        <v/>
      </c>
      <c r="Z562" s="473" t="str">
        <f>IF(ISBLANK(F562),"",IF(F562=EUconst_NA,"",INDEX(EUwideConstants!$H:$O,MATCH(T562,EUwideConstants!$S:$S,0),MATCH(F562,CNTR_TierList,0))))</f>
        <v/>
      </c>
      <c r="AA562" s="682" t="str">
        <f>IF(F562=1,1,"")</f>
        <v/>
      </c>
      <c r="AB562" s="325"/>
      <c r="AC562" s="453" t="b">
        <f>AND(AC557,Y562&lt;&gt;EUconst_NA)</f>
        <v>0</v>
      </c>
      <c r="AD562" s="325"/>
      <c r="AE562" s="463"/>
      <c r="AF562" s="461"/>
      <c r="AG562" s="466"/>
      <c r="AH562" s="468"/>
      <c r="AI562" s="468"/>
      <c r="AJ562" s="468"/>
      <c r="AK562" s="470"/>
      <c r="AL562" s="337"/>
      <c r="AM562" s="337"/>
      <c r="AN562" s="337"/>
      <c r="AO562" s="337"/>
      <c r="AP562" s="337"/>
      <c r="AQ562" s="474" t="str">
        <f>EUconst_CNTR_BiomassContent&amp;EUconst_Value</f>
        <v>BioC_Arvo</v>
      </c>
      <c r="AR562" s="463"/>
      <c r="AS562" s="385" t="str">
        <f>IF(AC562=TRUE,IF(COUNTIF(MSPara_SourceStreamCategory,V562)=0,"",INDEX(MSPara_CalcFactorsMatrix,MATCH(V562,MSPara_SourceStreamCategory,0),MATCH(AQ562&amp;"_"&amp;2,MSPara_CalcFactors,0))),"")</f>
        <v/>
      </c>
      <c r="AT562" s="459"/>
      <c r="AU562" s="477" t="str">
        <f>IF(OR(AA562="",AS562=EUconst_NA),"",AS562)</f>
        <v/>
      </c>
      <c r="AV562" s="453">
        <f>IF(AC562=TRUE,IF(COUNT(K562:L562)=0,0,IF(L562="",K562,L562)),0)</f>
        <v>0</v>
      </c>
      <c r="AW562" s="382" t="b">
        <f>AND(AC562=TRUE,OR(AND(F562&lt;&gt;"",NOT(ISNUMBER(AA562))),L562&lt;&gt;"",F562="",AU562=""))</f>
        <v>0</v>
      </c>
      <c r="AX562" s="478" t="b">
        <f>AND(AC562=TRUE,NOT(AW562))</f>
        <v>0</v>
      </c>
      <c r="AY562" s="325"/>
      <c r="AZ562" s="386" t="b">
        <f>AND(ISNUMBER(AA562),AU562="")</f>
        <v>0</v>
      </c>
      <c r="BA562" s="387" t="b">
        <f>AND(ISNUMBER(AA562),AU562&lt;&gt;AV562)</f>
        <v>0</v>
      </c>
      <c r="BB562" s="325"/>
      <c r="BC562" s="382" t="b">
        <f>AND(L562&lt;&gt;"",Y562=EUconst_NA)</f>
        <v>0</v>
      </c>
      <c r="BD562" s="382" t="b">
        <f>OR(AV561&gt;100%,(AV561+AV562)&gt;100%)</f>
        <v>0</v>
      </c>
      <c r="BE562" s="325"/>
      <c r="BF562" s="386" t="s">
        <v>134</v>
      </c>
      <c r="BG562" s="499" t="str">
        <f>IF(AN557=EUconst_TJ,AV557*AV561,IF(AN559=EUconst_GJ,AV557*AV559/1000*AV561,""))</f>
        <v/>
      </c>
      <c r="BH562" s="325"/>
      <c r="BI562" s="325"/>
      <c r="BJ562" s="325"/>
      <c r="BK562" s="325"/>
      <c r="BL562" s="325"/>
      <c r="BM562" s="325"/>
      <c r="BN562" s="325"/>
      <c r="BO562" s="325"/>
      <c r="BP562" s="325"/>
      <c r="BQ562" s="325"/>
      <c r="BR562" s="325"/>
      <c r="BS562" s="325"/>
      <c r="BT562" s="325"/>
      <c r="BU562" s="325"/>
      <c r="BV562" s="325"/>
      <c r="BW562" s="325"/>
      <c r="BX562" s="325"/>
      <c r="BY562" s="325"/>
      <c r="BZ562" s="325"/>
      <c r="CA562" s="325"/>
      <c r="CB562" s="325"/>
      <c r="CC562" s="325"/>
      <c r="CD562" s="325"/>
      <c r="CE562" s="325"/>
      <c r="CF562" s="325"/>
      <c r="CG562" s="382" t="b">
        <f>OR(CG557,Y562=EUconst_NA)</f>
        <v>0</v>
      </c>
    </row>
    <row r="563" spans="1:85" ht="5.15" customHeight="1" thickBot="1" x14ac:dyDescent="0.3">
      <c r="A563" s="318"/>
      <c r="B563" s="21"/>
      <c r="C563" s="21"/>
      <c r="D563" s="327"/>
      <c r="E563" s="22"/>
      <c r="F563" s="22"/>
      <c r="G563" s="22"/>
      <c r="H563" s="22"/>
      <c r="I563" s="22"/>
      <c r="J563" s="22"/>
      <c r="K563" s="22"/>
      <c r="L563" s="22"/>
      <c r="M563" s="488"/>
      <c r="N563" s="22"/>
      <c r="O563" s="323"/>
      <c r="P563" s="301"/>
      <c r="Q563" s="23"/>
      <c r="R563" s="23"/>
      <c r="S563" s="325"/>
      <c r="T563" s="325"/>
      <c r="U563" s="325"/>
      <c r="V563" s="325"/>
      <c r="W563" s="325"/>
      <c r="X563" s="325"/>
      <c r="Y563" s="325"/>
      <c r="Z563" s="325"/>
      <c r="AA563" s="325"/>
      <c r="AB563" s="325"/>
      <c r="AC563" s="325"/>
      <c r="AD563" s="325"/>
      <c r="AE563" s="325"/>
      <c r="AF563" s="325"/>
      <c r="AG563" s="325"/>
      <c r="AH563" s="325"/>
      <c r="AI563" s="325"/>
      <c r="AJ563" s="325"/>
      <c r="AK563" s="325"/>
      <c r="AL563" s="325"/>
      <c r="AM563" s="325"/>
      <c r="AN563" s="325"/>
      <c r="AO563" s="325"/>
      <c r="AP563" s="325"/>
      <c r="AQ563" s="325"/>
      <c r="AR563" s="325"/>
      <c r="AS563" s="325"/>
      <c r="AT563" s="325"/>
      <c r="AU563" s="325"/>
      <c r="AV563" s="325"/>
      <c r="AW563" s="325"/>
      <c r="AX563" s="325"/>
      <c r="AY563" s="325"/>
      <c r="AZ563" s="325"/>
      <c r="BA563" s="325"/>
      <c r="BB563" s="325"/>
      <c r="BC563" s="325"/>
      <c r="BD563" s="325"/>
      <c r="BE563" s="325"/>
      <c r="BF563" s="325"/>
      <c r="BG563" s="325"/>
      <c r="BH563" s="325"/>
      <c r="BI563" s="325"/>
      <c r="BJ563" s="325"/>
      <c r="BK563" s="325"/>
      <c r="BL563" s="325"/>
      <c r="BM563" s="325"/>
      <c r="BN563" s="325"/>
      <c r="BO563" s="325"/>
      <c r="BP563" s="325"/>
      <c r="BQ563" s="325"/>
      <c r="BR563" s="325"/>
      <c r="BS563" s="325"/>
      <c r="BT563" s="325"/>
      <c r="BU563" s="325"/>
      <c r="BV563" s="325"/>
      <c r="BW563" s="325"/>
      <c r="BX563" s="325"/>
      <c r="BY563" s="325"/>
      <c r="BZ563" s="325"/>
      <c r="CA563" s="325"/>
      <c r="CB563" s="325"/>
      <c r="CC563" s="325"/>
      <c r="CD563" s="325"/>
      <c r="CE563" s="325"/>
      <c r="CF563" s="325"/>
      <c r="CG563" s="325"/>
    </row>
    <row r="564" spans="1:85" ht="12.75" customHeight="1" thickBot="1" x14ac:dyDescent="0.3">
      <c r="A564" s="318"/>
      <c r="B564" s="21"/>
      <c r="C564" s="344"/>
      <c r="D564" s="345" t="str">
        <f>Translations!$B$398</f>
        <v>Soveltamisalakerroin:</v>
      </c>
      <c r="E564" s="479"/>
      <c r="F564" s="803"/>
      <c r="G564" s="1125"/>
      <c r="H564" s="1126"/>
      <c r="I564" s="492" t="s">
        <v>52</v>
      </c>
      <c r="J564" s="480"/>
      <c r="K564" s="481" t="str">
        <f>IF(L564="",AU564,"")</f>
        <v/>
      </c>
      <c r="L564" s="607"/>
      <c r="M564" s="489" t="str">
        <f>IF(AND(E552&lt;&gt;"",OR(F564="",G564="",COUNT(K564:L564)=0)),EUconst_ERR_Incomplete,IF(COUNTIF(BB564:BD564,TRUE)&gt;0,EUconst_ERR_Inconsistent,""))</f>
        <v/>
      </c>
      <c r="N564" s="22"/>
      <c r="O564" s="323"/>
      <c r="P564" s="301"/>
      <c r="Q564" s="23"/>
      <c r="R564" s="325"/>
      <c r="S564" s="10"/>
      <c r="T564" s="48" t="str">
        <f>EUconst_CNTR_ScopeFactor&amp;E552</f>
        <v>ScopeFactor_</v>
      </c>
      <c r="U564" s="248" t="str">
        <f>IF(F564="","",INDEX(ScopeAddress,MATCH(F564,ScopeTiers,0)))</f>
        <v/>
      </c>
      <c r="V564" s="382" t="str">
        <f>V557</f>
        <v/>
      </c>
      <c r="W564" s="325"/>
      <c r="X564" s="325"/>
      <c r="Y564" s="452" t="str">
        <f>IF(E552="","",IF(F564=EUconst_NA,EUconst_NA,INDEX(EUwideConstants!$P$153:$P$180,MATCH(T564,EUwideConstants!$S$153:$S$180,0))))</f>
        <v/>
      </c>
      <c r="Z564" s="473" t="str">
        <f>IF(ISBLANK(F564),"",IF(F564=EUconst_NA,"",INDEX(EUwideConstants!$H:$O,MATCH(T564,EUwideConstants!$S:$S,0),MATCH(F564,CNTR_TierList,0))))</f>
        <v/>
      </c>
      <c r="AA564" s="339" t="str">
        <f>IF(G564=EUwideConstants!$A$88,1,"")</f>
        <v/>
      </c>
      <c r="AB564" s="325"/>
      <c r="AC564" s="376" t="b">
        <f>AND(AC557,Y564&lt;&gt;EUconst_NA)</f>
        <v>0</v>
      </c>
      <c r="AD564" s="325"/>
      <c r="AE564" s="325"/>
      <c r="AF564" s="325"/>
      <c r="AG564" s="330"/>
      <c r="AH564" s="325"/>
      <c r="AI564" s="325"/>
      <c r="AJ564" s="325"/>
      <c r="AK564" s="325"/>
      <c r="AL564" s="325"/>
      <c r="AM564" s="325"/>
      <c r="AN564" s="325"/>
      <c r="AO564" s="325"/>
      <c r="AP564" s="325"/>
      <c r="AQ564" s="325"/>
      <c r="AR564" s="325"/>
      <c r="AS564" s="338">
        <v>1</v>
      </c>
      <c r="AT564" s="325"/>
      <c r="AU564" s="330" t="str">
        <f>IF(G564=EUwideConstants!$A$88,AS564,"")</f>
        <v/>
      </c>
      <c r="AV564" s="376">
        <f>IF(AC564=TRUE,IF(COUNT(K564:L564)=0,0,IF(L564="",K564,L564)),0)</f>
        <v>0</v>
      </c>
      <c r="AW564" s="375" t="b">
        <f>AND(AC564=TRUE,OR(AND(F564&lt;&gt;"",NOT(ISNUMBER(AA564))),L564&lt;&gt;"",F564="",AU564=""))</f>
        <v>0</v>
      </c>
      <c r="AX564" s="457" t="b">
        <f>AND(AC564=TRUE,NOT(AW564))</f>
        <v>0</v>
      </c>
      <c r="AY564" s="325"/>
      <c r="AZ564" s="379" t="b">
        <f>AND(ISNUMBER(AA564),AU564="")</f>
        <v>0</v>
      </c>
      <c r="BA564" s="380" t="b">
        <f>AND(ISNUMBER(AA564),AU564&lt;&gt;AV564)</f>
        <v>0</v>
      </c>
      <c r="BB564" s="325"/>
      <c r="BC564" s="33" t="b">
        <f>AND(F564&lt;&gt;"",OR(COUNTIF(INDEX(ScopeMethods,F564,),G564)=0,AND(AA564&lt;&gt;"",AU564&lt;&gt;AV564)))</f>
        <v>0</v>
      </c>
      <c r="BD564" s="325"/>
      <c r="BE564" s="325"/>
      <c r="BF564" s="325"/>
      <c r="BG564" s="325"/>
      <c r="BH564" s="325"/>
      <c r="BI564" s="325"/>
      <c r="BJ564" s="325"/>
      <c r="BK564" s="325"/>
      <c r="BL564" s="325"/>
      <c r="BM564" s="325"/>
      <c r="BN564" s="325"/>
      <c r="BO564" s="325"/>
      <c r="BP564" s="325"/>
      <c r="BQ564" s="325"/>
      <c r="BR564" s="325"/>
      <c r="BS564" s="325"/>
      <c r="BT564" s="325"/>
      <c r="BU564" s="325"/>
      <c r="BV564" s="325"/>
      <c r="BW564" s="325"/>
      <c r="BX564" s="325"/>
      <c r="BY564" s="325"/>
      <c r="BZ564" s="325"/>
      <c r="CA564" s="325"/>
      <c r="CB564" s="325"/>
      <c r="CC564" s="325"/>
      <c r="CD564" s="325"/>
      <c r="CE564" s="325"/>
      <c r="CF564" s="325"/>
      <c r="CG564" s="325"/>
    </row>
    <row r="565" spans="1:85" ht="12.75" customHeight="1" x14ac:dyDescent="0.25">
      <c r="A565" s="318"/>
      <c r="B565" s="21"/>
      <c r="C565" s="21"/>
      <c r="D565" s="21"/>
      <c r="E565" s="21"/>
      <c r="F565" s="21"/>
      <c r="G565" s="1130" t="str">
        <f>IF(G564="","",INDEX(ScopeMethodsDetails,MATCH(G564,INDEX(ScopeMethodsDetails,,1),0),2))</f>
        <v/>
      </c>
      <c r="H565" s="1131"/>
      <c r="I565" s="1131"/>
      <c r="J565" s="1131"/>
      <c r="K565" s="1131"/>
      <c r="L565" s="1131"/>
      <c r="M565" s="1132"/>
      <c r="N565" s="22"/>
      <c r="O565" s="323"/>
      <c r="P565" s="301"/>
      <c r="Q565" s="23"/>
      <c r="R565" s="23"/>
      <c r="S565" s="325"/>
      <c r="T565" s="325"/>
      <c r="U565" s="325"/>
      <c r="V565" s="325"/>
      <c r="W565" s="325"/>
      <c r="X565" s="325"/>
      <c r="Y565" s="325"/>
      <c r="Z565" s="325"/>
      <c r="AA565" s="325"/>
      <c r="AB565" s="325"/>
      <c r="AC565" s="325"/>
      <c r="AD565" s="325"/>
      <c r="AE565" s="325"/>
      <c r="AF565" s="325"/>
      <c r="AG565" s="325"/>
      <c r="AH565" s="325"/>
      <c r="AI565" s="325"/>
      <c r="AJ565" s="325"/>
      <c r="AK565" s="325"/>
      <c r="AL565" s="325"/>
      <c r="AM565" s="325"/>
      <c r="AN565" s="325"/>
      <c r="AO565" s="325"/>
      <c r="AP565" s="325"/>
      <c r="AQ565" s="325"/>
      <c r="AR565" s="325"/>
      <c r="AS565" s="325"/>
      <c r="AT565" s="325"/>
      <c r="AU565" s="325"/>
      <c r="AV565" s="325"/>
      <c r="AW565" s="325"/>
      <c r="AX565" s="325"/>
      <c r="AY565" s="325"/>
      <c r="AZ565" s="325"/>
      <c r="BA565" s="325"/>
      <c r="BB565" s="325"/>
      <c r="BC565" s="325"/>
      <c r="BD565" s="325"/>
      <c r="BE565" s="325"/>
      <c r="BF565" s="325"/>
      <c r="BG565" s="325"/>
      <c r="BH565" s="325"/>
      <c r="BI565" s="325"/>
      <c r="BJ565" s="325"/>
      <c r="BK565" s="325"/>
      <c r="BL565" s="325"/>
      <c r="BM565" s="325"/>
      <c r="BN565" s="325"/>
      <c r="BO565" s="325"/>
      <c r="BP565" s="325"/>
      <c r="BQ565" s="325"/>
      <c r="BR565" s="325"/>
      <c r="BS565" s="325"/>
      <c r="BT565" s="325"/>
      <c r="BU565" s="325"/>
      <c r="BV565" s="325"/>
      <c r="BW565" s="325"/>
      <c r="BX565" s="325"/>
      <c r="BY565" s="325"/>
      <c r="BZ565" s="325"/>
      <c r="CA565" s="325"/>
      <c r="CB565" s="325"/>
      <c r="CC565" s="325"/>
      <c r="CD565" s="325"/>
      <c r="CE565" s="325"/>
      <c r="CF565" s="325"/>
      <c r="CG565" s="325"/>
    </row>
    <row r="566" spans="1:85" ht="5.15" customHeight="1" x14ac:dyDescent="0.25">
      <c r="A566" s="318"/>
      <c r="C566" s="22"/>
      <c r="D566" s="22"/>
      <c r="E566" s="22"/>
      <c r="F566" s="22"/>
      <c r="G566" s="22"/>
      <c r="H566" s="22"/>
      <c r="I566" s="22"/>
      <c r="J566" s="22"/>
      <c r="K566" s="22"/>
      <c r="L566" s="22"/>
      <c r="O566" s="323"/>
      <c r="P566" s="301"/>
      <c r="Q566" s="23"/>
      <c r="R566" s="23"/>
      <c r="S566" s="325"/>
      <c r="T566" s="325"/>
      <c r="U566" s="325"/>
      <c r="V566" s="325"/>
      <c r="W566" s="325"/>
      <c r="X566" s="325"/>
      <c r="Y566" s="325"/>
      <c r="Z566" s="325"/>
      <c r="AA566" s="325"/>
      <c r="AB566" s="325"/>
      <c r="AC566" s="325"/>
      <c r="AD566" s="325"/>
      <c r="AE566" s="325"/>
      <c r="AF566" s="325"/>
      <c r="AG566" s="325"/>
      <c r="AH566" s="325"/>
      <c r="AI566" s="325"/>
      <c r="AJ566" s="325"/>
      <c r="AK566" s="325"/>
      <c r="AL566" s="325"/>
      <c r="AM566" s="325"/>
      <c r="AN566" s="325"/>
      <c r="AO566" s="325"/>
      <c r="AP566" s="325"/>
      <c r="AQ566" s="325"/>
      <c r="AR566" s="325"/>
      <c r="AS566" s="325"/>
      <c r="AT566" s="325"/>
      <c r="AU566" s="325"/>
      <c r="AV566" s="325"/>
      <c r="AW566" s="325"/>
      <c r="AX566" s="325"/>
      <c r="AY566" s="325"/>
      <c r="AZ566" s="325"/>
      <c r="BA566" s="325"/>
      <c r="BB566" s="325"/>
      <c r="BC566" s="325"/>
      <c r="BD566" s="325"/>
      <c r="BE566" s="325"/>
      <c r="BF566" s="325"/>
      <c r="BG566" s="325"/>
      <c r="BH566" s="325"/>
      <c r="BI566" s="325"/>
      <c r="BJ566" s="325"/>
      <c r="BK566" s="325"/>
      <c r="BL566" s="325"/>
      <c r="BM566" s="325"/>
      <c r="BN566" s="325"/>
      <c r="BO566" s="325"/>
      <c r="BP566" s="325"/>
      <c r="BQ566" s="325"/>
      <c r="BR566" s="325"/>
      <c r="BS566" s="325"/>
      <c r="BT566" s="325"/>
      <c r="BU566" s="325"/>
      <c r="BV566" s="325"/>
      <c r="BW566" s="325"/>
      <c r="BX566" s="325"/>
      <c r="BY566" s="325"/>
      <c r="BZ566" s="325"/>
      <c r="CA566" s="325"/>
      <c r="CB566" s="325"/>
      <c r="CC566" s="325"/>
      <c r="CD566" s="325"/>
      <c r="CE566" s="325"/>
      <c r="CF566" s="325"/>
      <c r="CG566" s="325"/>
    </row>
    <row r="567" spans="1:85" ht="12.75" customHeight="1" x14ac:dyDescent="0.25">
      <c r="A567" s="318"/>
      <c r="C567" s="22"/>
      <c r="D567" s="22"/>
      <c r="E567" s="22"/>
      <c r="F567" s="22"/>
      <c r="G567" s="1133">
        <v>1</v>
      </c>
      <c r="H567" s="1133"/>
      <c r="I567" s="1133">
        <v>2</v>
      </c>
      <c r="J567" s="1133"/>
      <c r="K567" s="1133">
        <v>3</v>
      </c>
      <c r="L567" s="1133"/>
      <c r="O567" s="323"/>
      <c r="P567" s="301"/>
      <c r="Q567" s="23"/>
      <c r="R567" s="23"/>
      <c r="S567" s="325"/>
      <c r="T567" s="325"/>
      <c r="U567" s="325"/>
      <c r="V567" s="325"/>
      <c r="W567" s="325"/>
      <c r="X567" s="325"/>
      <c r="Y567" s="325"/>
      <c r="Z567" s="325"/>
      <c r="AA567" s="325"/>
      <c r="AB567" s="325"/>
      <c r="AC567" s="325"/>
      <c r="AD567" s="325"/>
      <c r="AE567" s="325"/>
      <c r="AF567" s="325"/>
      <c r="AG567" s="325"/>
      <c r="AH567" s="325"/>
      <c r="AI567" s="325"/>
      <c r="AJ567" s="325"/>
      <c r="AK567" s="325"/>
      <c r="AL567" s="325"/>
      <c r="AM567" s="325"/>
      <c r="AN567" s="325"/>
      <c r="AO567" s="325"/>
      <c r="AP567" s="325"/>
      <c r="AQ567" s="325"/>
      <c r="AR567" s="325"/>
      <c r="AS567" s="325"/>
      <c r="AT567" s="325"/>
      <c r="AU567" s="325"/>
      <c r="AV567" s="325"/>
      <c r="AW567" s="325"/>
      <c r="AX567" s="325"/>
      <c r="AY567" s="325"/>
      <c r="AZ567" s="325"/>
      <c r="BA567" s="325"/>
      <c r="BB567" s="325"/>
      <c r="BC567" s="325"/>
      <c r="BD567" s="325"/>
      <c r="BE567" s="325"/>
      <c r="BF567" s="325"/>
      <c r="BG567" s="325"/>
      <c r="BH567" s="325"/>
      <c r="BI567" s="325"/>
      <c r="BJ567" s="325"/>
      <c r="BK567" s="325"/>
      <c r="BL567" s="325"/>
      <c r="BM567" s="325"/>
      <c r="BN567" s="325"/>
      <c r="BO567" s="325"/>
      <c r="BP567" s="325"/>
      <c r="BQ567" s="325"/>
      <c r="BR567" s="325"/>
      <c r="BS567" s="325"/>
      <c r="BT567" s="325"/>
      <c r="BU567" s="325"/>
      <c r="BV567" s="325"/>
      <c r="BW567" s="325"/>
      <c r="BX567" s="325"/>
      <c r="BY567" s="325"/>
      <c r="BZ567" s="325"/>
      <c r="CA567" s="325"/>
      <c r="CB567" s="325"/>
      <c r="CC567" s="325"/>
      <c r="CD567" s="325"/>
      <c r="CE567" s="325"/>
      <c r="CF567" s="325"/>
      <c r="CG567" s="325"/>
    </row>
    <row r="568" spans="1:85" ht="12.75" customHeight="1" x14ac:dyDescent="0.25">
      <c r="A568" s="389"/>
      <c r="B568" s="22"/>
      <c r="C568" s="22"/>
      <c r="D568" s="1134" t="str">
        <f>Translations!$B$372</f>
        <v>CRF-luokka</v>
      </c>
      <c r="E568" s="1134"/>
      <c r="F568" s="1135"/>
      <c r="G568" s="1123"/>
      <c r="H568" s="1124"/>
      <c r="I568" s="1123"/>
      <c r="J568" s="1124"/>
      <c r="K568" s="1123"/>
      <c r="L568" s="1124"/>
      <c r="M568" s="623" t="str">
        <f>IF(AND(E551&lt;&gt;"",COUNTA(G568:L568)=0,AX568=FALSE),EUconst_ERR_Incomplete,"")</f>
        <v/>
      </c>
      <c r="N568" s="22"/>
      <c r="O568" s="323"/>
      <c r="P568" s="301"/>
      <c r="Q568" s="23"/>
      <c r="R568" s="23"/>
      <c r="S568" s="325"/>
      <c r="T568" s="325"/>
      <c r="U568" s="325"/>
      <c r="V568" s="325"/>
      <c r="W568" s="325"/>
      <c r="X568" s="325"/>
      <c r="Y568" s="325"/>
      <c r="Z568" s="325"/>
      <c r="AA568" s="325"/>
      <c r="AB568" s="325"/>
      <c r="AC568" s="325"/>
      <c r="AD568" s="325"/>
      <c r="AE568" s="325"/>
      <c r="AF568" s="325"/>
      <c r="AG568" s="325"/>
      <c r="AH568" s="325"/>
      <c r="AI568" s="325"/>
      <c r="AJ568" s="325"/>
      <c r="AK568" s="325"/>
      <c r="AL568" s="325"/>
      <c r="AM568" s="325"/>
      <c r="AN568" s="325"/>
      <c r="AO568" s="325"/>
      <c r="AP568" s="325"/>
      <c r="AQ568" s="325"/>
      <c r="AR568" s="325"/>
      <c r="AS568" s="325"/>
      <c r="AT568" s="325"/>
      <c r="AU568" s="325"/>
      <c r="AV568" s="325"/>
      <c r="AW568" s="325"/>
      <c r="AX568" s="33" t="b">
        <f>AND(AV564&lt;&gt;"",SUM(AV564=1))</f>
        <v>0</v>
      </c>
      <c r="AY568" s="325"/>
      <c r="AZ568" s="325"/>
      <c r="BA568" s="325"/>
      <c r="BB568" s="325"/>
      <c r="BC568" s="325"/>
      <c r="BD568" s="325"/>
      <c r="BE568" s="325"/>
      <c r="BF568" s="325"/>
      <c r="BG568" s="325"/>
      <c r="BH568" s="325"/>
      <c r="BI568" s="325"/>
      <c r="BJ568" s="325"/>
      <c r="BK568" s="325"/>
      <c r="BL568" s="325"/>
      <c r="BM568" s="325"/>
      <c r="BN568" s="325"/>
      <c r="BO568" s="325"/>
      <c r="BP568" s="325"/>
      <c r="BQ568" s="325"/>
      <c r="BR568" s="325"/>
      <c r="BS568" s="325"/>
      <c r="BT568" s="325"/>
      <c r="BU568" s="325"/>
      <c r="BV568" s="325"/>
      <c r="BW568" s="325"/>
      <c r="BX568" s="325"/>
      <c r="BY568" s="325"/>
      <c r="BZ568" s="325"/>
      <c r="CA568" s="325"/>
      <c r="CB568" s="325"/>
      <c r="CC568" s="325"/>
      <c r="CD568" s="325"/>
      <c r="CE568" s="325"/>
      <c r="CF568" s="325"/>
      <c r="CG568" s="325"/>
    </row>
    <row r="569" spans="1:85" ht="5.15" customHeight="1" x14ac:dyDescent="0.25">
      <c r="A569" s="318"/>
      <c r="B569" s="21"/>
      <c r="C569" s="21"/>
      <c r="D569" s="21"/>
      <c r="E569" s="21"/>
      <c r="F569" s="21"/>
      <c r="G569" s="22"/>
      <c r="H569" s="22"/>
      <c r="I569" s="22"/>
      <c r="J569" s="22"/>
      <c r="K569" s="22"/>
      <c r="L569" s="22"/>
      <c r="M569" s="22"/>
      <c r="N569" s="22"/>
      <c r="O569" s="323"/>
      <c r="P569" s="301"/>
      <c r="Q569" s="23"/>
      <c r="R569" s="23"/>
      <c r="S569" s="325"/>
      <c r="T569" s="325"/>
      <c r="U569" s="325"/>
      <c r="V569" s="325"/>
      <c r="W569" s="325"/>
      <c r="X569" s="325"/>
      <c r="Y569" s="325"/>
      <c r="Z569" s="325"/>
      <c r="AA569" s="325"/>
      <c r="AB569" s="325"/>
      <c r="AC569" s="325"/>
      <c r="AD569" s="325"/>
      <c r="AE569" s="325"/>
      <c r="AF569" s="325"/>
      <c r="AG569" s="325"/>
      <c r="AH569" s="325"/>
      <c r="AI569" s="325"/>
      <c r="AJ569" s="325"/>
      <c r="AK569" s="325"/>
      <c r="AL569" s="325"/>
      <c r="AM569" s="325"/>
      <c r="AN569" s="325"/>
      <c r="AO569" s="325"/>
      <c r="AP569" s="325"/>
      <c r="AQ569" s="325"/>
      <c r="AR569" s="325"/>
      <c r="AS569" s="325"/>
      <c r="AT569" s="325"/>
      <c r="AU569" s="325"/>
      <c r="AV569" s="325"/>
      <c r="AW569" s="325"/>
      <c r="AX569" s="325"/>
      <c r="AY569" s="325"/>
      <c r="AZ569" s="325"/>
      <c r="BA569" s="325"/>
      <c r="BB569" s="325"/>
      <c r="BC569" s="325"/>
      <c r="BD569" s="325"/>
      <c r="BE569" s="325"/>
      <c r="BF569" s="325"/>
      <c r="BG569" s="325"/>
      <c r="BH569" s="325"/>
      <c r="BI569" s="325"/>
      <c r="BJ569" s="325"/>
      <c r="BK569" s="325"/>
      <c r="BL569" s="325"/>
      <c r="BM569" s="325"/>
      <c r="BN569" s="325"/>
      <c r="BO569" s="325"/>
      <c r="BP569" s="325"/>
      <c r="BQ569" s="325"/>
      <c r="BR569" s="325"/>
      <c r="BS569" s="325"/>
      <c r="BT569" s="325"/>
      <c r="BU569" s="325"/>
      <c r="BV569" s="325"/>
      <c r="BW569" s="325"/>
      <c r="BX569" s="325"/>
      <c r="BY569" s="325"/>
      <c r="BZ569" s="325"/>
      <c r="CA569" s="325"/>
      <c r="CB569" s="325"/>
      <c r="CC569" s="325"/>
      <c r="CD569" s="325"/>
      <c r="CE569" s="325"/>
      <c r="CF569" s="325"/>
      <c r="CG569" s="325"/>
    </row>
    <row r="570" spans="1:85" ht="5.5" customHeight="1" x14ac:dyDescent="0.25">
      <c r="A570" s="318"/>
      <c r="B570" s="21"/>
      <c r="C570" s="21"/>
      <c r="D570" s="1145"/>
      <c r="E570" s="1145"/>
      <c r="F570" s="1145"/>
      <c r="G570" s="806"/>
      <c r="H570" s="807"/>
      <c r="I570" s="806"/>
      <c r="J570" s="236"/>
      <c r="K570" s="236"/>
      <c r="L570" s="236"/>
      <c r="M570" s="807"/>
      <c r="N570" s="808"/>
      <c r="O570" s="323"/>
      <c r="P570" s="301"/>
      <c r="Q570" s="23"/>
      <c r="R570" s="23"/>
      <c r="S570" s="388"/>
      <c r="T570" s="325"/>
      <c r="U570" s="325"/>
      <c r="V570" s="325"/>
      <c r="W570" s="325"/>
      <c r="X570" s="325"/>
      <c r="Y570" s="325"/>
      <c r="Z570" s="325"/>
      <c r="AA570" s="325"/>
      <c r="AB570" s="325"/>
      <c r="AC570" s="325"/>
      <c r="AD570" s="325"/>
      <c r="AE570" s="325"/>
      <c r="AF570" s="325"/>
      <c r="AG570" s="325"/>
      <c r="AH570" s="325"/>
      <c r="AI570" s="325"/>
      <c r="AJ570" s="325"/>
      <c r="AK570" s="325"/>
      <c r="AL570" s="325"/>
      <c r="AM570" s="325"/>
      <c r="AN570" s="325"/>
      <c r="AO570" s="325"/>
      <c r="AP570" s="325"/>
      <c r="AQ570" s="325"/>
      <c r="AR570" s="325"/>
      <c r="AS570" s="325"/>
      <c r="AT570" s="325"/>
      <c r="AU570" s="325"/>
      <c r="AV570" s="325"/>
      <c r="AW570" s="325"/>
      <c r="AX570" s="325"/>
      <c r="AY570" s="325"/>
      <c r="AZ570" s="325"/>
      <c r="BA570" s="325"/>
      <c r="BB570" s="325"/>
      <c r="BC570" s="325"/>
      <c r="BD570" s="325"/>
      <c r="BE570" s="325"/>
      <c r="BF570" s="325"/>
      <c r="BG570" s="325"/>
      <c r="BH570" s="325"/>
      <c r="BI570" s="325"/>
      <c r="BJ570" s="325"/>
      <c r="BK570" s="325"/>
      <c r="BL570" s="325"/>
      <c r="BM570" s="325"/>
      <c r="BN570" s="325"/>
      <c r="BO570" s="325"/>
      <c r="BP570" s="325"/>
      <c r="BQ570" s="325"/>
      <c r="BR570" s="325"/>
      <c r="BS570" s="325"/>
      <c r="BT570" s="325"/>
      <c r="BU570" s="325"/>
      <c r="BV570" s="325"/>
      <c r="BW570" s="325"/>
      <c r="BX570" s="325"/>
      <c r="BY570" s="325"/>
      <c r="BZ570" s="325"/>
      <c r="CA570" s="325"/>
      <c r="CB570" s="325"/>
      <c r="CC570" s="325"/>
      <c r="CD570" s="325"/>
      <c r="CE570" s="325"/>
      <c r="CF570" s="325"/>
      <c r="CG570" s="33" t="b">
        <f>CG557</f>
        <v>0</v>
      </c>
    </row>
    <row r="571" spans="1:85" ht="5.15" customHeight="1" x14ac:dyDescent="0.25">
      <c r="A571" s="389"/>
      <c r="B571" s="22"/>
      <c r="C571" s="22"/>
      <c r="D571" s="22"/>
      <c r="E571" s="1116" t="str">
        <f>Translations!$B$304</f>
        <v xml:space="preserve">Lisätiedot: 
tapa, jolla biomassan kestävyys on osoitettu; 
muut polttoainevirtaa koskevat lisätiedot. </v>
      </c>
      <c r="F571" s="1116"/>
      <c r="G571" s="22"/>
      <c r="H571" s="22"/>
      <c r="I571" s="22"/>
      <c r="J571" s="22"/>
      <c r="K571" s="22"/>
      <c r="L571" s="22"/>
      <c r="M571" s="22"/>
      <c r="N571" s="22"/>
      <c r="O571" s="323"/>
      <c r="P571" s="301"/>
      <c r="Q571" s="23"/>
      <c r="R571" s="23"/>
      <c r="S571" s="325"/>
      <c r="T571" s="325"/>
      <c r="U571" s="325"/>
      <c r="V571" s="325"/>
      <c r="W571" s="325"/>
      <c r="X571" s="325"/>
      <c r="Y571" s="325"/>
      <c r="Z571" s="325"/>
      <c r="AA571" s="325"/>
      <c r="AB571" s="325"/>
      <c r="AC571" s="325"/>
      <c r="AD571" s="325"/>
      <c r="AE571" s="325"/>
      <c r="AF571" s="325"/>
      <c r="AG571" s="325"/>
      <c r="AH571" s="325"/>
      <c r="AI571" s="325"/>
      <c r="AJ571" s="325"/>
      <c r="AK571" s="325"/>
      <c r="AL571" s="325"/>
      <c r="AM571" s="325"/>
      <c r="AN571" s="325"/>
      <c r="AO571" s="325"/>
      <c r="AP571" s="325"/>
      <c r="AQ571" s="325"/>
      <c r="AR571" s="325"/>
      <c r="AS571" s="325"/>
      <c r="AT571" s="325"/>
      <c r="AU571" s="325"/>
      <c r="AV571" s="325"/>
      <c r="AW571" s="325"/>
      <c r="AX571" s="325"/>
      <c r="AY571" s="325"/>
      <c r="AZ571" s="325"/>
      <c r="BA571" s="325"/>
      <c r="BB571" s="325"/>
      <c r="BC571" s="325"/>
      <c r="BD571" s="325"/>
      <c r="BE571" s="325"/>
      <c r="BF571" s="325"/>
      <c r="BG571" s="325"/>
      <c r="BH571" s="325"/>
      <c r="BI571" s="325"/>
      <c r="BJ571" s="325"/>
      <c r="BK571" s="325"/>
      <c r="BL571" s="325"/>
      <c r="BM571" s="325"/>
      <c r="BN571" s="325"/>
      <c r="BO571" s="325"/>
      <c r="BP571" s="325"/>
      <c r="BQ571" s="325"/>
      <c r="BR571" s="325"/>
      <c r="BS571" s="325"/>
      <c r="BT571" s="325"/>
      <c r="BU571" s="325"/>
      <c r="BV571" s="325"/>
      <c r="BW571" s="325"/>
      <c r="BX571" s="325"/>
      <c r="BY571" s="325"/>
      <c r="BZ571" s="325"/>
      <c r="CA571" s="325"/>
      <c r="CB571" s="325"/>
      <c r="CC571" s="325"/>
      <c r="CD571" s="325"/>
      <c r="CE571" s="325"/>
      <c r="CF571" s="325"/>
      <c r="CG571" s="325"/>
    </row>
    <row r="572" spans="1:85" ht="35.5" customHeight="1" x14ac:dyDescent="0.25">
      <c r="A572" s="389"/>
      <c r="B572" s="22"/>
      <c r="C572" s="22"/>
      <c r="D572" s="4"/>
      <c r="E572" s="1116"/>
      <c r="F572" s="1116"/>
      <c r="G572" s="1146"/>
      <c r="H572" s="1147"/>
      <c r="I572" s="1147"/>
      <c r="J572" s="1147"/>
      <c r="K572" s="1147"/>
      <c r="L572" s="1147"/>
      <c r="M572" s="1147"/>
      <c r="N572" s="1148"/>
      <c r="O572" s="323"/>
      <c r="P572" s="301"/>
      <c r="Q572" s="23"/>
      <c r="R572" s="23"/>
      <c r="S572" s="325"/>
      <c r="T572" s="325"/>
      <c r="U572" s="325"/>
      <c r="V572" s="325"/>
      <c r="W572" s="325"/>
      <c r="X572" s="325"/>
      <c r="Y572" s="325"/>
      <c r="Z572" s="325"/>
      <c r="AA572" s="325"/>
      <c r="AB572" s="325"/>
      <c r="AC572" s="325"/>
      <c r="AD572" s="325"/>
      <c r="AE572" s="325"/>
      <c r="AF572" s="325"/>
      <c r="AG572" s="325"/>
      <c r="AH572" s="325"/>
      <c r="AI572" s="325"/>
      <c r="AJ572" s="325"/>
      <c r="AK572" s="325"/>
      <c r="AL572" s="325"/>
      <c r="AM572" s="325"/>
      <c r="AN572" s="325"/>
      <c r="AO572" s="325"/>
      <c r="AP572" s="325"/>
      <c r="AQ572" s="325"/>
      <c r="AR572" s="325"/>
      <c r="AS572" s="325"/>
      <c r="AT572" s="325"/>
      <c r="AU572" s="325"/>
      <c r="AV572" s="325"/>
      <c r="AW572" s="325"/>
      <c r="AX572" s="325"/>
      <c r="AY572" s="325"/>
      <c r="AZ572" s="325"/>
      <c r="BA572" s="325"/>
      <c r="BB572" s="325"/>
      <c r="BC572" s="325"/>
      <c r="BD572" s="325"/>
      <c r="BE572" s="325"/>
      <c r="BF572" s="325"/>
      <c r="BG572" s="325"/>
      <c r="BH572" s="325"/>
      <c r="BI572" s="325"/>
      <c r="BJ572" s="325"/>
      <c r="BK572" s="325"/>
      <c r="BL572" s="325"/>
      <c r="BM572" s="325"/>
      <c r="BN572" s="325"/>
      <c r="BO572" s="325"/>
      <c r="BP572" s="325"/>
      <c r="BQ572" s="325"/>
      <c r="BR572" s="325"/>
      <c r="BS572" s="325"/>
      <c r="BT572" s="325"/>
      <c r="BU572" s="325"/>
      <c r="BV572" s="325"/>
      <c r="BW572" s="325"/>
      <c r="BX572" s="325"/>
      <c r="BY572" s="325"/>
      <c r="BZ572" s="325"/>
      <c r="CA572" s="325"/>
      <c r="CB572" s="325"/>
      <c r="CC572" s="325"/>
      <c r="CD572" s="325"/>
      <c r="CE572" s="325"/>
      <c r="CF572" s="325"/>
      <c r="CG572" s="33" t="b">
        <f>CG570</f>
        <v>0</v>
      </c>
    </row>
    <row r="573" spans="1:85" ht="12.75" customHeight="1" thickBot="1" x14ac:dyDescent="0.3">
      <c r="A573" s="318"/>
      <c r="B573" s="22"/>
      <c r="C573" s="319"/>
      <c r="D573" s="320"/>
      <c r="E573" s="321"/>
      <c r="F573" s="319"/>
      <c r="G573" s="322"/>
      <c r="H573" s="322"/>
      <c r="I573" s="322"/>
      <c r="J573" s="322"/>
      <c r="K573" s="322"/>
      <c r="L573" s="322"/>
      <c r="M573" s="322"/>
      <c r="N573" s="322"/>
      <c r="O573" s="323"/>
      <c r="P573" s="301"/>
      <c r="Q573" s="23"/>
      <c r="R573" s="23"/>
      <c r="S573" s="41"/>
      <c r="T573" s="41"/>
      <c r="U573" s="324"/>
      <c r="V573" s="41"/>
      <c r="W573" s="41"/>
      <c r="X573" s="324"/>
      <c r="Y573" s="41"/>
      <c r="Z573" s="41"/>
      <c r="AA573" s="41"/>
      <c r="AB573" s="41"/>
      <c r="AC573" s="41"/>
      <c r="AD573" s="41"/>
      <c r="AE573" s="41"/>
      <c r="AF573" s="41"/>
      <c r="AG573" s="41"/>
      <c r="AH573" s="41"/>
      <c r="AI573" s="41"/>
      <c r="AJ573" s="41"/>
      <c r="AK573" s="41"/>
      <c r="AL573" s="41"/>
      <c r="AM573" s="41"/>
      <c r="AN573" s="41"/>
      <c r="AO573" s="41"/>
      <c r="AP573" s="41"/>
      <c r="AQ573" s="41"/>
      <c r="AR573" s="41"/>
      <c r="AS573" s="41"/>
      <c r="AT573" s="41"/>
      <c r="AU573" s="41"/>
      <c r="AV573" s="41"/>
      <c r="AW573" s="41"/>
      <c r="AX573" s="41"/>
      <c r="AY573" s="41"/>
      <c r="AZ573" s="41"/>
      <c r="BA573" s="41"/>
      <c r="BB573" s="41"/>
      <c r="BC573" s="41"/>
      <c r="BD573" s="41"/>
      <c r="BE573" s="41"/>
      <c r="BF573" s="41"/>
      <c r="BG573" s="41"/>
      <c r="BH573" s="41"/>
      <c r="BI573" s="41"/>
      <c r="BJ573" s="41"/>
      <c r="BK573" s="41"/>
      <c r="BL573" s="41"/>
      <c r="BM573" s="325"/>
      <c r="BN573" s="325"/>
      <c r="BO573" s="325"/>
      <c r="BP573" s="325"/>
      <c r="BQ573" s="325"/>
      <c r="BR573" s="325"/>
      <c r="BS573" s="325"/>
      <c r="BT573" s="325"/>
      <c r="BU573" s="41"/>
      <c r="BV573" s="41"/>
      <c r="BW573" s="41"/>
      <c r="BX573" s="41"/>
      <c r="BY573" s="41"/>
      <c r="BZ573" s="41"/>
      <c r="CA573" s="41"/>
      <c r="CB573" s="41"/>
      <c r="CC573" s="41"/>
      <c r="CD573" s="41"/>
      <c r="CE573" s="41"/>
      <c r="CF573" s="41"/>
      <c r="CG573" s="41"/>
    </row>
    <row r="574" spans="1:85" ht="12.75" customHeight="1" thickBot="1" x14ac:dyDescent="0.3">
      <c r="A574" s="326"/>
      <c r="B574" s="22"/>
      <c r="C574" s="22"/>
      <c r="D574" s="327"/>
      <c r="E574" s="328"/>
      <c r="F574" s="22"/>
      <c r="G574" s="1"/>
      <c r="H574" s="1"/>
      <c r="I574" s="1"/>
      <c r="J574" s="1"/>
      <c r="K574" s="22"/>
      <c r="L574" s="1"/>
      <c r="M574" s="1"/>
      <c r="N574" s="1"/>
      <c r="O574" s="323"/>
      <c r="P574" s="301"/>
      <c r="Q574" s="23"/>
      <c r="R574" s="23"/>
      <c r="S574" s="2"/>
      <c r="T574" s="20" t="str">
        <f>IF(ISBLANK(E575),"",MATCH(E575,CNTR_SourceStreamNames,0))</f>
        <v/>
      </c>
      <c r="U574" s="329" t="str">
        <f>IF(ISBLANK(E575),"",INDEX('B_Polttoainevirtojen tiedot'!$D$67:$D$91,MATCH(E575,CNTR_SourceStreamNames,0)))</f>
        <v/>
      </c>
      <c r="V574" s="60"/>
      <c r="W574" s="37"/>
      <c r="X574" s="37"/>
      <c r="Y574" s="37"/>
      <c r="Z574" s="41"/>
      <c r="AA574" s="41"/>
      <c r="AB574" s="41"/>
      <c r="AC574" s="41"/>
      <c r="AD574" s="41"/>
      <c r="AE574" s="41"/>
      <c r="AF574" s="41"/>
      <c r="AG574" s="41"/>
      <c r="AH574" s="41"/>
      <c r="AI574" s="41"/>
      <c r="AJ574" s="41"/>
      <c r="AK574" s="23"/>
      <c r="AL574" s="41"/>
      <c r="AM574" s="41"/>
      <c r="AN574" s="41"/>
      <c r="AO574" s="41"/>
      <c r="AP574" s="41"/>
      <c r="AQ574" s="41"/>
      <c r="AR574" s="41"/>
      <c r="AS574" s="41"/>
      <c r="AT574" s="41"/>
      <c r="AU574" s="41"/>
      <c r="AV574" s="41"/>
      <c r="AW574" s="41"/>
      <c r="AX574" s="41"/>
      <c r="AY574" s="41"/>
      <c r="AZ574" s="41"/>
      <c r="BA574" s="41"/>
      <c r="BB574" s="41"/>
      <c r="BC574" s="41"/>
      <c r="BD574" s="41"/>
      <c r="BE574" s="41"/>
      <c r="BF574" s="41"/>
      <c r="BG574" s="41"/>
      <c r="BH574" s="41"/>
      <c r="BI574" s="41"/>
      <c r="BJ574" s="37"/>
      <c r="BK574" s="37"/>
      <c r="BL574" s="37"/>
      <c r="BM574" s="37"/>
      <c r="BN574" s="37"/>
      <c r="BO574" s="37"/>
      <c r="BP574" s="37"/>
      <c r="BQ574" s="37"/>
      <c r="BR574" s="37"/>
      <c r="BS574" s="37"/>
      <c r="BT574" s="37"/>
      <c r="BU574" s="37"/>
      <c r="BV574" s="37"/>
      <c r="BW574" s="37"/>
      <c r="BX574" s="37"/>
      <c r="BY574" s="37"/>
      <c r="BZ574" s="37"/>
      <c r="CA574" s="37"/>
      <c r="CB574" s="37"/>
      <c r="CC574" s="37"/>
      <c r="CD574" s="37"/>
      <c r="CE574" s="37"/>
      <c r="CF574" s="37"/>
      <c r="CG574" s="330" t="s">
        <v>94</v>
      </c>
    </row>
    <row r="575" spans="1:85" ht="15" customHeight="1" thickBot="1" x14ac:dyDescent="0.3">
      <c r="A575" s="331">
        <f>C575</f>
        <v>23</v>
      </c>
      <c r="B575" s="21"/>
      <c r="C575" s="332">
        <f>C551+1</f>
        <v>23</v>
      </c>
      <c r="D575" s="21"/>
      <c r="E575" s="1117"/>
      <c r="F575" s="1118"/>
      <c r="G575" s="1118"/>
      <c r="H575" s="1118"/>
      <c r="I575" s="1118"/>
      <c r="J575" s="1119"/>
      <c r="K575" s="1138" t="str">
        <f>IF(INDEX('B_Polttoainevirtojen tiedot'!$K$100:$K$124,MATCH(U574,'B_Polttoainevirtojen tiedot'!$D$100:$D$124,0))&gt;0,INDEX('B_Polttoainevirtojen tiedot'!$K$100:$K$124,MATCH(U574,'B_Polttoainevirtojen tiedot'!$D$100:$D$124,0)),"")</f>
        <v/>
      </c>
      <c r="L575" s="1139"/>
      <c r="M575" s="328" t="str">
        <f>Translations!$B$374</f>
        <v>CO2 fossiilinen:</v>
      </c>
      <c r="N575" s="401" t="str">
        <f>IF(E576="","",BG581)</f>
        <v/>
      </c>
      <c r="O575" s="333" t="str">
        <f>EUconst_tCO2</f>
        <v>tCO2</v>
      </c>
      <c r="P575" s="610" t="str">
        <f>IF(AND(E575&lt;&gt;"",COUNTIF(P576:$P$811,"PRINT")=0),"PRINT","")</f>
        <v/>
      </c>
      <c r="Q575" s="335" t="str">
        <f>EUconst_SumCO2</f>
        <v>SUM_CO2</v>
      </c>
      <c r="R575" s="23"/>
      <c r="S575" s="2"/>
      <c r="T575" s="2"/>
      <c r="U575" s="2"/>
      <c r="V575" s="60"/>
      <c r="W575" s="37"/>
      <c r="X575" s="41"/>
      <c r="Y575" s="41"/>
      <c r="Z575" s="41"/>
      <c r="AA575" s="41"/>
      <c r="AB575" s="41"/>
      <c r="AC575" s="41"/>
      <c r="AD575" s="41"/>
      <c r="AE575" s="41"/>
      <c r="AF575" s="41"/>
      <c r="AG575" s="41"/>
      <c r="AH575" s="41"/>
      <c r="AI575" s="337"/>
      <c r="AJ575" s="337"/>
      <c r="AK575" s="337"/>
      <c r="AL575" s="337"/>
      <c r="AM575" s="337"/>
      <c r="AN575" s="337"/>
      <c r="AO575" s="337"/>
      <c r="AP575" s="337"/>
      <c r="AQ575" s="337"/>
      <c r="AR575" s="337"/>
      <c r="AS575" s="337"/>
      <c r="AT575" s="337"/>
      <c r="AU575" s="337"/>
      <c r="AV575" s="337"/>
      <c r="AW575" s="337"/>
      <c r="AX575" s="337"/>
      <c r="AY575" s="337"/>
      <c r="AZ575" s="337"/>
      <c r="BA575" s="337"/>
      <c r="BB575" s="337"/>
      <c r="BC575" s="337"/>
      <c r="BD575" s="337"/>
      <c r="BE575" s="337"/>
      <c r="BF575" s="337"/>
      <c r="BG575" s="337"/>
      <c r="BH575" s="337"/>
      <c r="BI575" s="483" t="str">
        <f>IF(E575="","",E575)</f>
        <v/>
      </c>
      <c r="BJ575" s="338" t="str">
        <f>IF(F581="","",F581)</f>
        <v/>
      </c>
      <c r="BK575" s="485">
        <f>AV581</f>
        <v>0</v>
      </c>
      <c r="BL575" s="485">
        <f>IF(BK575="","",BK575*(1-BP575))</f>
        <v>0</v>
      </c>
      <c r="BM575" s="338" t="str">
        <f>AJ581</f>
        <v/>
      </c>
      <c r="BN575" s="338" t="str">
        <f>IF(F588="","",F588)</f>
        <v/>
      </c>
      <c r="BO575" s="483" t="str">
        <f>IF(G588="","",G588)</f>
        <v/>
      </c>
      <c r="BP575" s="484">
        <f>AV588</f>
        <v>0</v>
      </c>
      <c r="BQ575" s="338" t="str">
        <f>IF(F584="","",F584)</f>
        <v/>
      </c>
      <c r="BR575" s="484">
        <f>AV584</f>
        <v>0</v>
      </c>
      <c r="BS575" s="484" t="str">
        <f>AJ584</f>
        <v/>
      </c>
      <c r="BT575" s="338" t="str">
        <f>IF(F583="","",F583)</f>
        <v/>
      </c>
      <c r="BU575" s="484">
        <f>IF(F583=EUconst_NA,"",AV583)</f>
        <v>0</v>
      </c>
      <c r="BV575" s="484" t="str">
        <f>AJ583</f>
        <v/>
      </c>
      <c r="BW575" s="338" t="str">
        <f>IF(F585="","",F585)</f>
        <v/>
      </c>
      <c r="BX575" s="484">
        <f>AV585</f>
        <v>0</v>
      </c>
      <c r="BY575" s="338" t="str">
        <f>IF(F586="","",F586)</f>
        <v/>
      </c>
      <c r="BZ575" s="484">
        <f>AV586</f>
        <v>0</v>
      </c>
      <c r="CA575" s="485" t="str">
        <f>N575</f>
        <v/>
      </c>
      <c r="CB575" s="485" t="str">
        <f>N576</f>
        <v/>
      </c>
      <c r="CC575" s="485" t="str">
        <f>R578</f>
        <v/>
      </c>
      <c r="CD575" s="485" t="str">
        <f>R580</f>
        <v/>
      </c>
      <c r="CE575" s="485" t="str">
        <f>R581</f>
        <v/>
      </c>
      <c r="CF575" s="37"/>
      <c r="CG575" s="339" t="b">
        <v>0</v>
      </c>
    </row>
    <row r="576" spans="1:85" ht="15" customHeight="1" thickBot="1" x14ac:dyDescent="0.3">
      <c r="A576" s="318"/>
      <c r="B576" s="21"/>
      <c r="C576" s="21"/>
      <c r="D576" s="21"/>
      <c r="E576" s="1127" t="str">
        <f>IF(ISBLANK(E575),"",IF(INDEX('B_Polttoainevirtojen tiedot'!$E$67:$E$91,MATCH(U574,'B_Polttoainevirtojen tiedot'!$D$67:$D$91,0))&gt;0,INDEX('B_Polttoainevirtojen tiedot'!$E$67:$E$91,MATCH(U574,'B_Polttoainevirtojen tiedot'!$D$67:$D$91,0)),""))</f>
        <v/>
      </c>
      <c r="F576" s="1128"/>
      <c r="G576" s="1128"/>
      <c r="H576" s="1128"/>
      <c r="I576" s="1128"/>
      <c r="J576" s="1129"/>
      <c r="K576" s="1138" t="str">
        <f>IF(INDEX('B_Polttoainevirtojen tiedot'!$M$100:$M$124,MATCH(U574,'B_Polttoainevirtojen tiedot'!$D$100:$D$124,0))&gt;0,INDEX('B_Polttoainevirtojen tiedot'!$M$100:$M$124,MATCH(U574,'B_Polttoainevirtojen tiedot'!$D$100:$D$124,0)),"")</f>
        <v/>
      </c>
      <c r="L576" s="1139"/>
      <c r="M576" s="340" t="str">
        <f>Translations!$B$375</f>
        <v>CO2 bio:</v>
      </c>
      <c r="N576" s="482" t="str">
        <f>IF(E576="","",BG583)</f>
        <v/>
      </c>
      <c r="O576" s="341" t="str">
        <f>EUconst_tCO2</f>
        <v>tCO2</v>
      </c>
      <c r="P576" s="301"/>
      <c r="Q576" s="335" t="str">
        <f>EUconst_SumBioCO2</f>
        <v>SUM_bioCO2</v>
      </c>
      <c r="R576" s="23"/>
      <c r="S576" s="2"/>
      <c r="T576" s="2"/>
      <c r="U576" s="2"/>
      <c r="V576" s="60"/>
      <c r="W576" s="37"/>
      <c r="X576" s="41"/>
      <c r="Y576" s="20" t="str">
        <f>Translations!$B$143</f>
        <v>Määrittämistasot</v>
      </c>
      <c r="Z576" s="325"/>
      <c r="AA576" s="325"/>
      <c r="AB576" s="325"/>
      <c r="AC576" s="325"/>
      <c r="AD576" s="325"/>
      <c r="AE576" s="20" t="s">
        <v>95</v>
      </c>
      <c r="AF576" s="41"/>
      <c r="AG576" s="342"/>
      <c r="AH576" s="325"/>
      <c r="AI576" s="325"/>
      <c r="AJ576" s="342"/>
      <c r="AK576" s="342"/>
      <c r="AL576" s="337"/>
      <c r="AM576" s="337"/>
      <c r="AN576" s="337"/>
      <c r="AO576" s="337"/>
      <c r="AP576" s="337"/>
      <c r="AQ576" s="20" t="s">
        <v>96</v>
      </c>
      <c r="AR576" s="343"/>
      <c r="AS576" s="343"/>
      <c r="AT576" s="325"/>
      <c r="AU576" s="325"/>
      <c r="AV576" s="325"/>
      <c r="AW576" s="325"/>
      <c r="AX576" s="325"/>
      <c r="AY576" s="325"/>
      <c r="AZ576" s="20" t="s">
        <v>97</v>
      </c>
      <c r="BA576" s="325"/>
      <c r="BB576" s="325"/>
      <c r="BC576" s="325"/>
      <c r="BD576" s="325"/>
      <c r="BE576" s="325"/>
      <c r="BF576" s="20" t="s">
        <v>98</v>
      </c>
      <c r="BG576" s="325"/>
      <c r="BH576" s="325"/>
      <c r="BI576" s="20" t="s">
        <v>99</v>
      </c>
      <c r="BJ576" s="338" t="str">
        <f>Translations!$B$376</f>
        <v>RFA-määrittämistaso</v>
      </c>
      <c r="BK576" s="338" t="str">
        <f>Translations!$B$377</f>
        <v>RFA</v>
      </c>
      <c r="BL576" s="338" t="str">
        <f>Translations!$B$378</f>
        <v>RFA (SF:n jälkeen)</v>
      </c>
      <c r="BM576" s="338" t="str">
        <f>Translations!$B$379</f>
        <v>RFA-yksikkö</v>
      </c>
      <c r="BN576" s="338" t="str">
        <f>Translations!$B$380</f>
        <v>SF-määrittämistaso</v>
      </c>
      <c r="BO576" s="338" t="str">
        <f>Translations!$B$380</f>
        <v>SF-määrittämistaso</v>
      </c>
      <c r="BP576" s="338" t="str">
        <f>Translations!$B$381</f>
        <v>SF</v>
      </c>
      <c r="BQ576" s="338" t="str">
        <f>Translations!$B$382</f>
        <v>EF-määrittämistaso</v>
      </c>
      <c r="BR576" s="338" t="str">
        <f>Translations!$B$383</f>
        <v>EF</v>
      </c>
      <c r="BS576" s="338" t="str">
        <f>Translations!$B$384</f>
        <v>EF-yksikkö</v>
      </c>
      <c r="BT576" s="338" t="str">
        <f>Translations!$B$385</f>
        <v>UCF-määrittämistaso</v>
      </c>
      <c r="BU576" s="338" t="str">
        <f>Translations!$B$386</f>
        <v>UCF</v>
      </c>
      <c r="BV576" s="338" t="str">
        <f>Translations!$B$387</f>
        <v>UCF-yksikkö</v>
      </c>
      <c r="BW576" s="338" t="str">
        <f>Translations!$B$388</f>
        <v>Bio-määrittämistaso</v>
      </c>
      <c r="BX576" s="338" t="s">
        <v>100</v>
      </c>
      <c r="BY576" s="338" t="str">
        <f>Translations!$B$389</f>
        <v>NonSustBio-määrittämistaso</v>
      </c>
      <c r="BZ576" s="338" t="s">
        <v>101</v>
      </c>
      <c r="CA576" s="338" t="str">
        <f>Translations!$B$390</f>
        <v>CO2 fossil</v>
      </c>
      <c r="CB576" s="338" t="str">
        <f>Translations!$B$391</f>
        <v>CO2 bio</v>
      </c>
      <c r="CC576" s="338" t="str">
        <f>Translations!$B$392</f>
        <v>CO2 non-sust</v>
      </c>
      <c r="CD576" s="338" t="s">
        <v>102</v>
      </c>
      <c r="CE576" s="338" t="s">
        <v>103</v>
      </c>
      <c r="CF576" s="325"/>
      <c r="CG576" s="325"/>
    </row>
    <row r="577" spans="1:85" ht="5.15" customHeight="1" thickBot="1" x14ac:dyDescent="0.3">
      <c r="A577" s="318"/>
      <c r="B577" s="21"/>
      <c r="C577" s="21"/>
      <c r="D577" s="21"/>
      <c r="E577" s="21"/>
      <c r="F577" s="21"/>
      <c r="G577" s="21"/>
      <c r="H577" s="22"/>
      <c r="I577" s="22"/>
      <c r="J577" s="22"/>
      <c r="K577" s="22"/>
      <c r="L577" s="22"/>
      <c r="M577" s="22"/>
      <c r="N577" s="22"/>
      <c r="O577" s="323"/>
      <c r="P577" s="301"/>
      <c r="Q577" s="23"/>
      <c r="R577" s="23"/>
      <c r="S577" s="2"/>
      <c r="T577" s="2"/>
      <c r="U577" s="2"/>
      <c r="V577" s="60"/>
      <c r="W577" s="325"/>
      <c r="X577" s="325"/>
      <c r="Y577" s="23"/>
      <c r="Z577" s="325"/>
      <c r="AA577" s="325"/>
      <c r="AB577" s="325"/>
      <c r="AC577" s="325"/>
      <c r="AD577" s="325"/>
      <c r="AE577" s="325"/>
      <c r="AF577" s="41"/>
      <c r="AG577" s="325"/>
      <c r="AH577" s="325"/>
      <c r="AI577" s="325"/>
      <c r="AJ577" s="342"/>
      <c r="AK577" s="342"/>
      <c r="AL577" s="337"/>
      <c r="AM577" s="337"/>
      <c r="AN577" s="337"/>
      <c r="AO577" s="337"/>
      <c r="AP577" s="337"/>
      <c r="AQ577" s="325"/>
      <c r="AR577" s="325"/>
      <c r="AS577" s="325"/>
      <c r="AT577" s="325"/>
      <c r="AU577" s="325"/>
      <c r="AV577" s="325"/>
      <c r="AW577" s="325"/>
      <c r="AX577" s="325"/>
      <c r="AY577" s="325"/>
      <c r="AZ577" s="325"/>
      <c r="BA577" s="325"/>
      <c r="BB577" s="325"/>
      <c r="BC577" s="325"/>
      <c r="BD577" s="325"/>
      <c r="BE577" s="325"/>
      <c r="BF577" s="325"/>
      <c r="BG577" s="325"/>
      <c r="BH577" s="325"/>
      <c r="BI577" s="325"/>
      <c r="BJ577" s="325"/>
      <c r="BK577" s="325"/>
      <c r="BL577" s="325"/>
      <c r="BM577" s="325"/>
      <c r="BN577" s="325"/>
      <c r="BO577" s="325"/>
      <c r="BP577" s="325"/>
      <c r="BQ577" s="325"/>
      <c r="BR577" s="325"/>
      <c r="BS577" s="325"/>
      <c r="BT577" s="325"/>
      <c r="BU577" s="325"/>
      <c r="BV577" s="325"/>
      <c r="BW577" s="325"/>
      <c r="BX577" s="325"/>
      <c r="BY577" s="325"/>
      <c r="BZ577" s="325"/>
      <c r="CA577" s="325"/>
      <c r="CB577" s="325"/>
      <c r="CC577" s="325"/>
      <c r="CD577" s="325"/>
      <c r="CE577" s="325"/>
      <c r="CF577" s="325"/>
      <c r="CG577" s="325"/>
    </row>
    <row r="578" spans="1:85" ht="12.75" customHeight="1" thickBot="1" x14ac:dyDescent="0.3">
      <c r="A578" s="318"/>
      <c r="B578" s="21"/>
      <c r="C578" s="21"/>
      <c r="D578" s="21"/>
      <c r="E578" s="1140" t="str">
        <f>IF(E575="","",HYPERLINK("#JUMP_E_Top",EUconst_FurtherGuidancePoint1))</f>
        <v/>
      </c>
      <c r="F578" s="1140"/>
      <c r="G578" s="1140"/>
      <c r="H578" s="1140"/>
      <c r="I578" s="1140"/>
      <c r="J578" s="1140"/>
      <c r="K578" s="1140"/>
      <c r="L578" s="1140"/>
      <c r="M578" s="1140"/>
      <c r="N578" s="22"/>
      <c r="O578" s="323"/>
      <c r="P578" s="301"/>
      <c r="Q578" s="335" t="str">
        <f>EUconst_SumNonSustBioCO2</f>
        <v>SUM_bioNonSustCO2</v>
      </c>
      <c r="R578" s="500" t="str">
        <f>IF(E576="","",BG584)</f>
        <v/>
      </c>
      <c r="S578" s="2"/>
      <c r="T578" s="2"/>
      <c r="U578" s="2"/>
      <c r="V578" s="325"/>
      <c r="W578" s="325"/>
      <c r="X578" s="325"/>
      <c r="Y578" s="41"/>
      <c r="Z578" s="325"/>
      <c r="AA578" s="325"/>
      <c r="AB578" s="325"/>
      <c r="AC578" s="325"/>
      <c r="AD578" s="325"/>
      <c r="AE578" s="325"/>
      <c r="AF578" s="41"/>
      <c r="AG578" s="325"/>
      <c r="AH578" s="325"/>
      <c r="AI578" s="325"/>
      <c r="AJ578" s="342"/>
      <c r="AK578" s="342"/>
      <c r="AL578" s="337"/>
      <c r="AM578" s="337"/>
      <c r="AN578" s="337"/>
      <c r="AO578" s="337"/>
      <c r="AP578" s="337"/>
      <c r="AQ578" s="325"/>
      <c r="AR578" s="325"/>
      <c r="AS578" s="325"/>
      <c r="AT578" s="325"/>
      <c r="AU578" s="325"/>
      <c r="AV578" s="325"/>
      <c r="AW578" s="325"/>
      <c r="AX578" s="325"/>
      <c r="AY578" s="325"/>
      <c r="AZ578" s="325"/>
      <c r="BA578" s="325"/>
      <c r="BB578" s="325"/>
      <c r="BC578" s="325"/>
      <c r="BD578" s="325"/>
      <c r="BE578" s="325"/>
      <c r="BF578" s="325"/>
      <c r="BG578" s="325"/>
      <c r="BH578" s="325"/>
      <c r="BI578" s="20" t="s">
        <v>104</v>
      </c>
      <c r="BJ578" s="343"/>
      <c r="BK578" s="483" t="str">
        <f>IF(G592="","",G592)</f>
        <v/>
      </c>
      <c r="BL578" s="483" t="str">
        <f>IF(I592="","",I592)</f>
        <v/>
      </c>
      <c r="BM578" s="483" t="str">
        <f>IF(K592="","",K592)</f>
        <v/>
      </c>
      <c r="BN578" s="325"/>
      <c r="BO578" s="325"/>
      <c r="BP578" s="325"/>
      <c r="BQ578" s="325"/>
      <c r="BR578" s="325"/>
      <c r="BS578" s="325"/>
      <c r="BT578" s="330"/>
      <c r="BU578" s="325"/>
      <c r="BV578" s="325"/>
      <c r="BW578" s="325"/>
      <c r="BX578" s="325"/>
      <c r="BY578" s="325"/>
      <c r="BZ578" s="325"/>
      <c r="CA578" s="325"/>
      <c r="CB578" s="325"/>
      <c r="CC578" s="325"/>
      <c r="CD578" s="325"/>
      <c r="CE578" s="325"/>
      <c r="CF578" s="325"/>
      <c r="CG578" s="325"/>
    </row>
    <row r="579" spans="1:85" ht="5.15" customHeight="1" thickBot="1" x14ac:dyDescent="0.3">
      <c r="A579" s="318"/>
      <c r="B579" s="21"/>
      <c r="C579" s="21"/>
      <c r="D579" s="21"/>
      <c r="E579" s="21"/>
      <c r="F579" s="21"/>
      <c r="G579" s="21"/>
      <c r="H579" s="22"/>
      <c r="I579" s="22"/>
      <c r="J579" s="22"/>
      <c r="K579" s="22"/>
      <c r="L579" s="22"/>
      <c r="M579" s="22"/>
      <c r="N579" s="22"/>
      <c r="O579" s="323"/>
      <c r="P579" s="259"/>
      <c r="Q579" s="2"/>
      <c r="R579" s="259"/>
      <c r="S579" s="2"/>
      <c r="T579" s="2"/>
      <c r="U579" s="2"/>
      <c r="V579" s="325"/>
      <c r="W579" s="325"/>
      <c r="X579" s="325"/>
      <c r="Y579" s="23"/>
      <c r="Z579" s="325"/>
      <c r="AA579" s="325"/>
      <c r="AB579" s="325"/>
      <c r="AC579" s="325"/>
      <c r="AD579" s="325"/>
      <c r="AE579" s="325"/>
      <c r="AF579" s="41"/>
      <c r="AG579" s="325"/>
      <c r="AH579" s="325"/>
      <c r="AI579" s="325"/>
      <c r="AJ579" s="342"/>
      <c r="AK579" s="342"/>
      <c r="AL579" s="337"/>
      <c r="AM579" s="337"/>
      <c r="AN579" s="337"/>
      <c r="AO579" s="337"/>
      <c r="AP579" s="337"/>
      <c r="AQ579" s="325"/>
      <c r="AR579" s="325"/>
      <c r="AS579" s="325"/>
      <c r="AT579" s="325"/>
      <c r="AU579" s="325"/>
      <c r="AV579" s="325"/>
      <c r="AW579" s="325"/>
      <c r="AX579" s="325"/>
      <c r="AY579" s="325"/>
      <c r="AZ579" s="325"/>
      <c r="BA579" s="325"/>
      <c r="BB579" s="325"/>
      <c r="BC579" s="325"/>
      <c r="BD579" s="325"/>
      <c r="BE579" s="325"/>
      <c r="BF579" s="325"/>
      <c r="BG579" s="325"/>
      <c r="BH579" s="325"/>
      <c r="BI579" s="325"/>
      <c r="BJ579" s="325"/>
      <c r="BK579" s="325"/>
      <c r="BL579" s="325"/>
      <c r="BM579" s="325"/>
      <c r="BN579" s="325"/>
      <c r="BO579" s="325"/>
      <c r="BP579" s="325"/>
      <c r="BQ579" s="325"/>
      <c r="BR579" s="325"/>
      <c r="BS579" s="325"/>
      <c r="BT579" s="325"/>
      <c r="BU579" s="325"/>
      <c r="BV579" s="325"/>
      <c r="BW579" s="325"/>
      <c r="BX579" s="325"/>
      <c r="BY579" s="325"/>
      <c r="BZ579" s="325"/>
      <c r="CA579" s="325"/>
      <c r="CB579" s="325"/>
      <c r="CC579" s="325"/>
      <c r="CD579" s="325"/>
      <c r="CE579" s="325"/>
      <c r="CF579" s="325"/>
      <c r="CG579" s="325"/>
    </row>
    <row r="580" spans="1:85" ht="12.75" customHeight="1" thickBot="1" x14ac:dyDescent="0.3">
      <c r="A580" s="318"/>
      <c r="B580" s="21"/>
      <c r="C580" s="21"/>
      <c r="D580" s="21"/>
      <c r="E580" s="21"/>
      <c r="F580" s="347" t="str">
        <f>Translations!$B$127</f>
        <v>Määrittämistaso</v>
      </c>
      <c r="G580" s="1141" t="str">
        <f>Translations!$B$393</f>
        <v>määrittämistason kuvaus</v>
      </c>
      <c r="H580" s="1141"/>
      <c r="I580" s="1142" t="str">
        <f>Translations!$B$394</f>
        <v>Yksikkö</v>
      </c>
      <c r="J580" s="1142"/>
      <c r="K580" s="1142" t="str">
        <f>Translations!$B$395</f>
        <v>Arvo</v>
      </c>
      <c r="L580" s="1142"/>
      <c r="M580" s="327" t="str">
        <f>Translations!$B$396</f>
        <v>virhe</v>
      </c>
      <c r="N580" s="22"/>
      <c r="O580" s="323"/>
      <c r="P580" s="611"/>
      <c r="Q580" s="335" t="str">
        <f>EUconst_SumEnergyIN</f>
        <v>SUM_EnergyIN</v>
      </c>
      <c r="R580" s="501" t="str">
        <f>IF(E576="","",BG585)</f>
        <v/>
      </c>
      <c r="S580" s="325"/>
      <c r="T580" s="325"/>
      <c r="U580" s="325"/>
      <c r="V580" s="336" t="s">
        <v>105</v>
      </c>
      <c r="W580" s="325"/>
      <c r="X580" s="325"/>
      <c r="Y580" s="23" t="s">
        <v>106</v>
      </c>
      <c r="Z580" s="23" t="s">
        <v>107</v>
      </c>
      <c r="AA580" s="325"/>
      <c r="AB580" s="325"/>
      <c r="AC580" s="343" t="s">
        <v>108</v>
      </c>
      <c r="AD580" s="325"/>
      <c r="AE580" s="325"/>
      <c r="AF580" s="325" t="s">
        <v>109</v>
      </c>
      <c r="AG580" s="325" t="s">
        <v>110</v>
      </c>
      <c r="AH580" s="23" t="s">
        <v>111</v>
      </c>
      <c r="AI580" s="342" t="s">
        <v>112</v>
      </c>
      <c r="AJ580" s="342" t="s">
        <v>113</v>
      </c>
      <c r="AK580" s="348" t="s">
        <v>114</v>
      </c>
      <c r="AL580" s="337"/>
      <c r="AM580" s="337"/>
      <c r="AN580" s="337"/>
      <c r="AO580" s="337"/>
      <c r="AP580" s="337"/>
      <c r="AQ580" s="325"/>
      <c r="AR580" s="325" t="s">
        <v>109</v>
      </c>
      <c r="AS580" s="325" t="s">
        <v>110</v>
      </c>
      <c r="AT580" s="349" t="s">
        <v>115</v>
      </c>
      <c r="AU580" s="342" t="s">
        <v>116</v>
      </c>
      <c r="AV580" s="342" t="s">
        <v>117</v>
      </c>
      <c r="AW580" s="348" t="s">
        <v>114</v>
      </c>
      <c r="AX580" s="348" t="s">
        <v>114</v>
      </c>
      <c r="AY580" s="325"/>
      <c r="AZ580" s="325"/>
      <c r="BA580" s="325"/>
      <c r="BB580" s="325" t="s">
        <v>118</v>
      </c>
      <c r="BC580" s="325"/>
      <c r="BD580" s="325"/>
      <c r="BE580" s="325"/>
      <c r="BF580" s="325"/>
      <c r="BG580" s="330" t="str">
        <f>EUconst_Fuel</f>
        <v>Poltto</v>
      </c>
      <c r="BH580" s="325"/>
      <c r="BI580" s="325"/>
      <c r="BJ580" s="325"/>
      <c r="BK580" s="325"/>
      <c r="BL580" s="325"/>
      <c r="BM580" s="325"/>
      <c r="BN580" s="325"/>
      <c r="BO580" s="325"/>
      <c r="BP580" s="325"/>
      <c r="BQ580" s="325"/>
      <c r="BR580" s="325"/>
      <c r="BS580" s="325"/>
      <c r="BT580" s="325"/>
      <c r="BU580" s="325"/>
      <c r="BV580" s="325"/>
      <c r="BW580" s="325"/>
      <c r="BX580" s="325"/>
      <c r="BY580" s="325"/>
      <c r="BZ580" s="325"/>
      <c r="CA580" s="325"/>
      <c r="CB580" s="325"/>
      <c r="CC580" s="325"/>
      <c r="CD580" s="325"/>
      <c r="CE580" s="325"/>
      <c r="CF580" s="325"/>
      <c r="CG580" s="330" t="s">
        <v>94</v>
      </c>
    </row>
    <row r="581" spans="1:85" ht="12.75" customHeight="1" thickBot="1" x14ac:dyDescent="0.3">
      <c r="A581" s="318"/>
      <c r="B581" s="21"/>
      <c r="C581" s="344"/>
      <c r="D581" s="345" t="str">
        <f>Translations!$B$356</f>
        <v>Polttoaineen määrä:</v>
      </c>
      <c r="E581" s="350"/>
      <c r="F581" s="351"/>
      <c r="G581" s="1120" t="str">
        <f>IF(OR(ISBLANK(F581),F581=EUconst_NoTier),"",IF(Z581=0,EUconst_NA,IF(ISERROR(Z581),"",Z581)))</f>
        <v/>
      </c>
      <c r="H581" s="1122"/>
      <c r="I581" s="352" t="str">
        <f>IF(J581&lt;&gt;"","",AI581)</f>
        <v/>
      </c>
      <c r="J581" s="353"/>
      <c r="K581" s="1143"/>
      <c r="L581" s="1144"/>
      <c r="M581" s="486" t="str">
        <f>IF(AND(E576&lt;&gt;"",OR(F581="",COUNT(K581)=0),Y581&lt;&gt;EUconst_NA),EUconst_ERR_Incomplete,"")</f>
        <v/>
      </c>
      <c r="N581" s="22"/>
      <c r="O581" s="323"/>
      <c r="P581" s="612"/>
      <c r="Q581" s="335" t="str">
        <f>EUconst_SumBioEnergyIN</f>
        <v>SUM_BioEnergyIN</v>
      </c>
      <c r="R581" s="501" t="str">
        <f>IF(E576="","",BG586)</f>
        <v/>
      </c>
      <c r="S581" s="325"/>
      <c r="T581" s="355" t="str">
        <f>EUconst_CNTR_ActivityData&amp;E576</f>
        <v>ActivityData_</v>
      </c>
      <c r="U581" s="23"/>
      <c r="V581" s="355" t="str">
        <f>IF(E575="","",INDEX('B_Polttoainevirtojen tiedot'!$I$67:$I$91,MATCH(U574,'B_Polttoainevirtojen tiedot'!$D$67:$D$91,0)))</f>
        <v/>
      </c>
      <c r="W581" s="342" t="s">
        <v>121</v>
      </c>
      <c r="X581" s="23"/>
      <c r="Y581" s="356" t="str">
        <f>IF(E576="","",INDEX(EUwideConstants!$P$153:$P$180,MATCH(T581,EUwideConstants!$S$153:$S$180,0)))</f>
        <v/>
      </c>
      <c r="Z581" s="357" t="str">
        <f>IF(ISBLANK(F581),"",IF(F581=EUconst_NA,"",INDEX(EUwideConstants!$H:$O,MATCH(T581,EUwideConstants!$S:$S,0),MATCH(F581,CNTR_TierList,0))))</f>
        <v/>
      </c>
      <c r="AA581" s="358" t="s">
        <v>111</v>
      </c>
      <c r="AB581" s="342"/>
      <c r="AC581" s="339" t="b">
        <f>E575&lt;&gt;""</f>
        <v>0</v>
      </c>
      <c r="AD581" s="325"/>
      <c r="AE581" s="359" t="str">
        <f>EUconst_CNTR_ActivityData&amp;EUconst_Unit</f>
        <v>ActivityData_Yksikkö</v>
      </c>
      <c r="AF581" s="360" t="str">
        <f>IF(AC581=TRUE, IF(COUNTIF(MSPara_SourceStreamCategory,V581)=0,"",INDEX(MSPara_CalcFactorsMatrix,MATCH(V581,MSPara_SourceStreamCategory,0),MATCH(AE581&amp;"_"&amp;2,MSPara_CalcFactors,0))),"")</f>
        <v/>
      </c>
      <c r="AG581" s="361" t="str">
        <f>IF(AC581=TRUE, IF(COUNTIF(MSPara_SourceStreamCategory,V581)=0,"",INDEX(MSPara_CalcFactorsMatrix,MATCH(V581,MSPara_SourceStreamCategory,0),MATCH(AE581&amp;"_"&amp;1,MSPara_CalcFactors,0))),"")</f>
        <v/>
      </c>
      <c r="AH581" s="339" t="str">
        <f>IF(OR(AF581="",AF581=EUconst_NA),IF(OR(AG581=EUconst_NA,AG581=""),"",AG581),AF581)</f>
        <v/>
      </c>
      <c r="AI581" s="356" t="str">
        <f>IF(AC581=TRUE,IF(AH581="",EUconst_t,AH581),"")</f>
        <v/>
      </c>
      <c r="AJ581" s="362" t="str">
        <f>IF(J581="",AI581,J581)</f>
        <v/>
      </c>
      <c r="AK581" s="363" t="b">
        <f>AND(E575&lt;&gt;"",J581&lt;&gt;"")</f>
        <v>0</v>
      </c>
      <c r="AL581" s="337"/>
      <c r="AM581" s="404" t="s">
        <v>122</v>
      </c>
      <c r="AN581" s="403" t="str">
        <f>AJ581</f>
        <v/>
      </c>
      <c r="AO581" s="337"/>
      <c r="AP581" s="337"/>
      <c r="AQ581" s="355" t="str">
        <f>EUconst_CNTR_ActivityData&amp;EUconst_Value</f>
        <v>ActivityData_Arvo</v>
      </c>
      <c r="AR581" s="343"/>
      <c r="AS581" s="343"/>
      <c r="AT581" s="339" t="b">
        <f>AND(AND(AH581&lt;&gt;"",AJ581&lt;&gt;""),AJ581=AH581)</f>
        <v>0</v>
      </c>
      <c r="AU581" s="325"/>
      <c r="AV581" s="339">
        <f>IF(Y581=EUconst_NA,0,IF(COUNT(K581:K581)=0,0,IF(K581="",#REF!,K581)))</f>
        <v>0</v>
      </c>
      <c r="AW581" s="346" t="b">
        <f>AND(AC581=TRUE,OR(K581&lt;&gt;"",AU581=""))</f>
        <v>0</v>
      </c>
      <c r="AX581" s="346" t="b">
        <f>AND(AC581=TRUE,NOT(AW581))</f>
        <v>0</v>
      </c>
      <c r="AY581" s="325"/>
      <c r="AZ581" s="325" t="s">
        <v>123</v>
      </c>
      <c r="BA581" s="325" t="s">
        <v>124</v>
      </c>
      <c r="BB581" s="346"/>
      <c r="BC581" s="325" t="s">
        <v>125</v>
      </c>
      <c r="BD581" s="325"/>
      <c r="BE581" s="325"/>
      <c r="BF581" s="400" t="str">
        <f>Translations!$B$390</f>
        <v>CO2 fossil</v>
      </c>
      <c r="BG581" s="495" t="str">
        <f>IF(COUNTIF(AO584:AO585,TRUE)=0,"",AV581*IF(AO584,1,AV583*AN585)*AV584*(1-AV585)*AV588)</f>
        <v/>
      </c>
      <c r="BH581" s="325"/>
      <c r="BI581" s="325"/>
      <c r="BJ581" s="325"/>
      <c r="BK581" s="325"/>
      <c r="BL581" s="325"/>
      <c r="BM581" s="325"/>
      <c r="BN581" s="325"/>
      <c r="BO581" s="325"/>
      <c r="BP581" s="325"/>
      <c r="BQ581" s="325"/>
      <c r="BR581" s="325"/>
      <c r="BS581" s="325"/>
      <c r="BT581" s="325"/>
      <c r="BU581" s="325"/>
      <c r="BV581" s="325"/>
      <c r="BW581" s="325"/>
      <c r="BX581" s="325"/>
      <c r="BY581" s="325"/>
      <c r="BZ581" s="325"/>
      <c r="CA581" s="325"/>
      <c r="CB581" s="325"/>
      <c r="CC581" s="325"/>
      <c r="CD581" s="325"/>
      <c r="CE581" s="325"/>
      <c r="CF581" s="325"/>
      <c r="CG581" s="346" t="b">
        <v>0</v>
      </c>
    </row>
    <row r="582" spans="1:85" ht="5.15" customHeight="1" thickBot="1" x14ac:dyDescent="0.3">
      <c r="A582" s="318"/>
      <c r="B582" s="21"/>
      <c r="C582" s="344"/>
      <c r="D582" s="188"/>
      <c r="E582" s="22"/>
      <c r="F582" s="22"/>
      <c r="G582" s="22"/>
      <c r="H582" s="22" t="str">
        <f>Translations!$B$397</f>
        <v xml:space="preserve"> </v>
      </c>
      <c r="I582" s="364"/>
      <c r="J582" s="364"/>
      <c r="K582" s="22"/>
      <c r="L582" s="22"/>
      <c r="M582" s="487"/>
      <c r="N582" s="22"/>
      <c r="O582" s="323"/>
      <c r="P582" s="301"/>
      <c r="Q582" s="23"/>
      <c r="R582" s="23"/>
      <c r="S582" s="325"/>
      <c r="T582" s="277"/>
      <c r="U582" s="23"/>
      <c r="V582" s="325"/>
      <c r="W582" s="325"/>
      <c r="X582" s="23"/>
      <c r="Y582" s="330"/>
      <c r="Z582" s="325"/>
      <c r="AA582" s="325"/>
      <c r="AB582" s="325"/>
      <c r="AC582" s="325"/>
      <c r="AD582" s="325"/>
      <c r="AE582" s="325"/>
      <c r="AF582" s="325"/>
      <c r="AG582" s="325"/>
      <c r="AH582" s="325"/>
      <c r="AI582" s="325"/>
      <c r="AJ582" s="325"/>
      <c r="AK582" s="325"/>
      <c r="AL582" s="337"/>
      <c r="AM582" s="337"/>
      <c r="AN582" s="337"/>
      <c r="AO582" s="337"/>
      <c r="AP582" s="337"/>
      <c r="AQ582" s="325"/>
      <c r="AR582" s="325"/>
      <c r="AS582" s="325"/>
      <c r="AT582" s="325"/>
      <c r="AU582" s="325"/>
      <c r="AV582" s="325"/>
      <c r="AW582" s="325"/>
      <c r="AX582" s="325"/>
      <c r="AY582" s="325"/>
      <c r="AZ582" s="325"/>
      <c r="BA582" s="325"/>
      <c r="BB582" s="325"/>
      <c r="BC582" s="325"/>
      <c r="BD582" s="325"/>
      <c r="BE582" s="325"/>
      <c r="BF582" s="325"/>
      <c r="BG582" s="496"/>
      <c r="BH582" s="325"/>
      <c r="BI582" s="325"/>
      <c r="BJ582" s="325"/>
      <c r="BK582" s="325"/>
      <c r="BL582" s="325"/>
      <c r="BM582" s="325"/>
      <c r="BN582" s="325"/>
      <c r="BO582" s="325"/>
      <c r="BP582" s="325"/>
      <c r="BQ582" s="325"/>
      <c r="BR582" s="325"/>
      <c r="BS582" s="325"/>
      <c r="BT582" s="325"/>
      <c r="BU582" s="325"/>
      <c r="BV582" s="325"/>
      <c r="BW582" s="325"/>
      <c r="BX582" s="325"/>
      <c r="BY582" s="325"/>
      <c r="BZ582" s="325"/>
      <c r="CA582" s="325"/>
      <c r="CB582" s="325"/>
      <c r="CC582" s="325"/>
      <c r="CD582" s="325"/>
      <c r="CE582" s="325"/>
      <c r="CF582" s="325"/>
      <c r="CG582" s="330"/>
    </row>
    <row r="583" spans="1:85" ht="12.75" customHeight="1" thickBot="1" x14ac:dyDescent="0.3">
      <c r="A583" s="318"/>
      <c r="B583" s="21"/>
      <c r="C583" s="344"/>
      <c r="D583" s="345" t="str">
        <f>Translations!$B$360</f>
        <v>Yksikön muuntokerroin:</v>
      </c>
      <c r="E583" s="350"/>
      <c r="F583" s="443"/>
      <c r="G583" s="1120" t="str">
        <f>IF(OR(ISBLANK(F583),F583=EUconst_NoTier),"",IF(Z583=0,EUconst_NotApplicable,IF(ISERROR(Z583),"",Z583)))</f>
        <v/>
      </c>
      <c r="H583" s="1122"/>
      <c r="I583" s="444" t="str">
        <f>IF(J583&lt;&gt;"","",AI583)</f>
        <v/>
      </c>
      <c r="J583" s="445"/>
      <c r="K583" s="632" t="str">
        <f>IF(L583="",AU583,"")</f>
        <v/>
      </c>
      <c r="L583" s="633"/>
      <c r="M583" s="486" t="str">
        <f>IF(AND(E576&lt;&gt;"",OR(F583="",COUNT(K583:L583)=0),Y583&lt;&gt;EUconst_NA),EUconst_ERR_Incomplete,IF(COUNTIF(BB583:BD583,TRUE)&gt;0,EUconst_ERR_Inconsistent,""))</f>
        <v/>
      </c>
      <c r="N583" s="752"/>
      <c r="O583" s="323"/>
      <c r="P583" s="301"/>
      <c r="Q583" s="23"/>
      <c r="R583" s="23"/>
      <c r="S583" s="325"/>
      <c r="T583" s="365" t="str">
        <f>EUconst_CNTR_UCF&amp;E576</f>
        <v>UCF_</v>
      </c>
      <c r="U583" s="23"/>
      <c r="V583" s="366" t="str">
        <f>V584</f>
        <v/>
      </c>
      <c r="W583" s="325"/>
      <c r="X583" s="23"/>
      <c r="Y583" s="448" t="str">
        <f>IF(E576="","",IF(OR(F583=EUconst_NA,W583=TRUE),EUconst_NA,INDEX(EUwideConstants!$P$153:$P$180,MATCH(T583,EUwideConstants!$S$153:$S$180,0))))</f>
        <v/>
      </c>
      <c r="Z583" s="471" t="str">
        <f>IF(ISBLANK(F583),"",IF(F583=EUconst_NA,"",INDEX(EUwideConstants!$H:$O,MATCH(T583,EUwideConstants!$S:$S,0),MATCH(F583,CNTR_TierList,0))))</f>
        <v/>
      </c>
      <c r="AA583" s="449" t="str">
        <f>IF(COUNTIF(EUconst_DefaultValues,Z583)&gt;0,MATCH(Z583,EUconst_DefaultValues,0),"")</f>
        <v/>
      </c>
      <c r="AB583" s="325"/>
      <c r="AC583" s="367" t="b">
        <f>AND(AC581,Y583&lt;&gt;EUconst_NA)</f>
        <v>0</v>
      </c>
      <c r="AD583" s="325"/>
      <c r="AE583" s="359" t="str">
        <f>EUconst_CNTR_UCF&amp;EUconst_Unit</f>
        <v>UCF_Yksikkö</v>
      </c>
      <c r="AF583" s="368" t="str">
        <f>IF(AC583=TRUE, IF(COUNTIF(MSPara_SourceStreamCategory,V583)=0,"",INDEX(MSPara_CalcFactorsMatrix,MATCH(V583,MSPara_SourceStreamCategory,0),MATCH(AE583&amp;"_"&amp;2,MSPara_CalcFactors,0))),"")</f>
        <v/>
      </c>
      <c r="AG583" s="372" t="str">
        <f>IF(AC583=TRUE, IF(COUNTIF(MSPara_SourceStreamCategory,V583)=0,"",INDEX(MSPara_CalcFactorsMatrix,MATCH(V583,MSPara_SourceStreamCategory,0),MATCH(AE583&amp;"_"&amp;1,MSPara_CalcFactors,0))),"")</f>
        <v/>
      </c>
      <c r="AH583" s="367" t="str">
        <f>IF(AA583="","",INDEX(AF583:AG583,3-AA583))</f>
        <v/>
      </c>
      <c r="AI583" s="367" t="str">
        <f>IF(AC583=TRUE,IF(OR(AH583="",AH583=EUconst_NA),EUconst_GJ&amp;"/"&amp;AJ581,AH583),"")</f>
        <v/>
      </c>
      <c r="AJ583" s="367" t="str">
        <f>IF(J583="",AI583,J583)</f>
        <v/>
      </c>
      <c r="AK583" s="366" t="b">
        <f>AND(E575&lt;&gt;"",J583&lt;&gt;"")</f>
        <v>0</v>
      </c>
      <c r="AL583" s="337"/>
      <c r="AM583" s="404" t="s">
        <v>127</v>
      </c>
      <c r="AN583" s="403" t="str">
        <f>IF(AJ583="",EUconst_NA,IF(AN581=EUconst_TJ,EUconst_TJ,INDEX(EUwideConstants!$C$124:$G$128,MATCH(AN581,RFAUnits,0),MATCH(AJ583,UCFUnits,0))))</f>
        <v>ei sovellettavissa</v>
      </c>
      <c r="AO583" s="337"/>
      <c r="AP583" s="337"/>
      <c r="AQ583" s="454" t="str">
        <f>EUconst_CNTR_UCF&amp;EUconst_Value</f>
        <v>UCF_Arvo</v>
      </c>
      <c r="AR583" s="475" t="str">
        <f>IF(AC583=TRUE,IF(COUNTIF(MSPara_SourceStreamCategory,V583)=0,"",INDEX(MSPara_CalcFactorsMatrix,MATCH(V583,MSPara_SourceStreamCategory,0),MATCH(AQ583&amp;"_"&amp;2,MSPara_CalcFactors,0))),"")</f>
        <v/>
      </c>
      <c r="AS583" s="371" t="str">
        <f>IF(AC583=TRUE,IF(COUNTIF(MSPara_SourceStreamCategory,V583)=0,"",INDEX(MSPara_CalcFactorsMatrix,MATCH(V583,MSPara_SourceStreamCategory,0),MATCH(AQ583&amp;"_"&amp;1,MSPara_CalcFactors,0))),"")</f>
        <v/>
      </c>
      <c r="AT583" s="369" t="b">
        <f>AND(AND(AH583&lt;&gt;"",AJ583&lt;&gt;""),AJ583=AH583)</f>
        <v>0</v>
      </c>
      <c r="AU583" s="381" t="str">
        <f>IF(AND(AA583&lt;&gt;"",AT583=TRUE),IF(OR(INDEX(AR583:AS583,3-AA583)=EUconst_NA,INDEX(AR583:AS583,3-AA583)=0),"",INDEX(AR583:AS583,3-AA583)),"")</f>
        <v/>
      </c>
      <c r="AV583" s="367">
        <f>IF(AC583=TRUE,IF(COUNT(K583:L583)=0,0,IF(L583="",K583,L583)),0)</f>
        <v>0</v>
      </c>
      <c r="AW583" s="366" t="b">
        <f>AND(AC583=TRUE,OR(AND(F583&lt;&gt;"",NOT(ISNUMBER(AA583))),L583&lt;&gt;"",F583="",AU583=""))</f>
        <v>0</v>
      </c>
      <c r="AX583" s="370" t="b">
        <f>AND(AC583=TRUE,NOT(AW583))</f>
        <v>0</v>
      </c>
      <c r="AY583" s="325"/>
      <c r="AZ583" s="373" t="b">
        <f>AND(ISNUMBER(AA583),AU583="")</f>
        <v>0</v>
      </c>
      <c r="BA583" s="399" t="b">
        <f>AND(ISNUMBER(AA583),AU583&lt;&gt;AV583)</f>
        <v>0</v>
      </c>
      <c r="BB583" s="366" t="b">
        <f>AND(E576&lt;&gt;"",F583&lt;&gt;EUconst_NA,AN583=EUconst_NA)</f>
        <v>0</v>
      </c>
      <c r="BC583" s="366" t="b">
        <f>AND(L583&lt;&gt;"",Y583=EUconst_NA)</f>
        <v>0</v>
      </c>
      <c r="BD583" s="325"/>
      <c r="BE583" s="325"/>
      <c r="BF583" s="373" t="s">
        <v>128</v>
      </c>
      <c r="BG583" s="497" t="str">
        <f>IF(COUNTIF(AO584:AO585,TRUE)=0,"",AV581*IF(AO584,1,AV583*AN585)*AV584*AV585*AV588)</f>
        <v/>
      </c>
      <c r="BH583" s="325"/>
      <c r="BI583" s="325"/>
      <c r="BJ583" s="325"/>
      <c r="BK583" s="325"/>
      <c r="BL583" s="325"/>
      <c r="BM583" s="325"/>
      <c r="BN583" s="325"/>
      <c r="BO583" s="325"/>
      <c r="BP583" s="325"/>
      <c r="BQ583" s="325"/>
      <c r="BR583" s="325"/>
      <c r="BS583" s="325"/>
      <c r="BT583" s="325"/>
      <c r="BU583" s="325"/>
      <c r="BV583" s="325"/>
      <c r="BW583" s="325"/>
      <c r="BX583" s="325"/>
      <c r="BY583" s="325"/>
      <c r="BZ583" s="325"/>
      <c r="CA583" s="325"/>
      <c r="CB583" s="325"/>
      <c r="CC583" s="325"/>
      <c r="CD583" s="325"/>
      <c r="CE583" s="325"/>
      <c r="CF583" s="325"/>
      <c r="CG583" s="375" t="b">
        <f>OR(CG581,Y583=EUconst_NA)</f>
        <v>0</v>
      </c>
    </row>
    <row r="584" spans="1:85" ht="12.75" customHeight="1" thickBot="1" x14ac:dyDescent="0.3">
      <c r="A584" s="318"/>
      <c r="B584" s="21"/>
      <c r="C584" s="344"/>
      <c r="D584" s="345" t="str">
        <f>Translations!$B$358</f>
        <v>Päästökerroin (alustava):</v>
      </c>
      <c r="E584" s="350"/>
      <c r="F584" s="624"/>
      <c r="G584" s="1120" t="str">
        <f>IF(OR(ISBLANK(F584),F584=EUconst_NoTier),"",IF(Z584=0,EUconst_NotApplicable,IF(ISERROR(Z584),"",Z584)))</f>
        <v/>
      </c>
      <c r="H584" s="1121"/>
      <c r="I584" s="625" t="str">
        <f>IF(J584&lt;&gt;"","",AI584)</f>
        <v/>
      </c>
      <c r="J584" s="631"/>
      <c r="K584" s="634" t="str">
        <f>IF(L584="",AU584,"")</f>
        <v/>
      </c>
      <c r="L584" s="754"/>
      <c r="M584" s="486" t="str">
        <f>IF(AND(E576&lt;&gt;"",OR(F584="",COUNT(K584:L584)=0),Y584&lt;&gt;EUconst_NA),EUconst_ERR_Incomplete,IF(COUNTIF(BB584:BD584,TRUE)&gt;0,EUconst_ERR_Inconsistent,""))</f>
        <v/>
      </c>
      <c r="N584" s="753"/>
      <c r="O584" s="323"/>
      <c r="P584" s="301"/>
      <c r="Q584" s="23"/>
      <c r="R584" s="23"/>
      <c r="S584" s="325"/>
      <c r="T584" s="374" t="str">
        <f>EUconst_CNTR_EF&amp;E576</f>
        <v>EF_</v>
      </c>
      <c r="U584" s="23"/>
      <c r="V584" s="375" t="str">
        <f>V581</f>
        <v/>
      </c>
      <c r="W584" s="325"/>
      <c r="X584" s="23"/>
      <c r="Y584" s="450" t="str">
        <f>IF(E576="","",IF(OR(F584=EUconst_NA,W584=TRUE),EUconst_NA,INDEX(EUwideConstants!$P$153:$P$180,MATCH(T584,EUwideConstants!$S$153:$S$180,0))))</f>
        <v/>
      </c>
      <c r="Z584" s="472" t="str">
        <f>IF(ISBLANK(F584),"",IF(F584=EUconst_NA,"",INDEX(EUwideConstants!$H:$O,MATCH(T584,EUwideConstants!$S:$S,0),MATCH(F584,CNTR_TierList,0))))</f>
        <v/>
      </c>
      <c r="AA584" s="451" t="str">
        <f>IF(COUNTIF(EUconst_DefaultValues,Z584)&gt;0,MATCH(Z584,EUconst_DefaultValues,0),"")</f>
        <v/>
      </c>
      <c r="AB584" s="325"/>
      <c r="AC584" s="376" t="b">
        <f>AND(AC581,Y584&lt;&gt;EUconst_NA)</f>
        <v>0</v>
      </c>
      <c r="AD584" s="325"/>
      <c r="AE584" s="377" t="str">
        <f>EUconst_CNTR_EF&amp;EUconst_Unit</f>
        <v>EF_Yksikkö</v>
      </c>
      <c r="AF584" s="378" t="str">
        <f>IF(AC584=TRUE, IF(COUNTIF(MSPara_SourceStreamCategory,V584)=0,"",INDEX(MSPara_CalcFactorsMatrix,MATCH(V584,MSPara_SourceStreamCategory,0),MATCH(AE584&amp;"_"&amp;2,MSPara_CalcFactors,0))),"")</f>
        <v/>
      </c>
      <c r="AG584" s="464" t="str">
        <f>IF(AC584=TRUE, IF(COUNTIF(MSPara_SourceStreamCategory,V584)=0,"",INDEX(MSPara_CalcFactorsMatrix,MATCH(V584,MSPara_SourceStreamCategory,0),MATCH(AE584&amp;"_"&amp;1,MSPara_CalcFactors,0))),"")</f>
        <v/>
      </c>
      <c r="AH584" s="376" t="str">
        <f>IF(AA584="","",INDEX(AF584:AG584,3-AA584))</f>
        <v/>
      </c>
      <c r="AI584" s="376" t="str">
        <f>IF(AC584=TRUE,IF(OR(AH584="",AH584=EUconst_NA),EUconst_tCO2&amp;"/"&amp;IF(AN583=EUconst_NA,AN581,IF(AN583=EUconst_GJ,EUconst_TJ,AN583)),AH584),"")</f>
        <v/>
      </c>
      <c r="AJ584" s="376" t="str">
        <f>IF(J584="",AI584,J584)</f>
        <v/>
      </c>
      <c r="AK584" s="375" t="b">
        <f>AND(E576&lt;&gt;"",J584&lt;&gt;"")</f>
        <v>0</v>
      </c>
      <c r="AL584" s="337"/>
      <c r="AM584" s="404" t="s">
        <v>130</v>
      </c>
      <c r="AN584" s="403" t="str">
        <f>IF(COUNTIF(RFAUnits,AN581)=0,EUconst_NA,INDEX(EUwideConstants!$C$139:$H$143,MATCH(AJ584,EFUnits,0),MATCH(AN581,EUwideConstants!$C$138:$H$138,0)))</f>
        <v>ei sovellettavissa</v>
      </c>
      <c r="AO584" s="403" t="b">
        <f>AN584&lt;&gt;EUconst_NA</f>
        <v>0</v>
      </c>
      <c r="AP584" s="337"/>
      <c r="AQ584" s="455" t="str">
        <f>EUconst_CNTR_EF&amp;EUconst_Value</f>
        <v>EF_Arvo</v>
      </c>
      <c r="AR584" s="476" t="str">
        <f>IF(AC584=TRUE,IF(COUNTIF(MSPara_SourceStreamCategory,V584)=0,"",INDEX(MSPara_CalcFactorsMatrix,MATCH(V584,MSPara_SourceStreamCategory,0),MATCH(AQ584&amp;"_"&amp;2,MSPara_CalcFactors,0))),"")</f>
        <v/>
      </c>
      <c r="AS584" s="383" t="str">
        <f>IF(AC584=TRUE,IF(COUNTIF(MSPara_SourceStreamCategory,V584)=0,"",INDEX(MSPara_CalcFactorsMatrix,MATCH(V584,MSPara_SourceStreamCategory,0),MATCH(AQ584&amp;"_"&amp;1,MSPara_CalcFactors,0))),"")</f>
        <v/>
      </c>
      <c r="AT584" s="456" t="b">
        <f>AND(AND(AH584&lt;&gt;"",AJ584&lt;&gt;""),AJ584=AH584)</f>
        <v>0</v>
      </c>
      <c r="AU584" s="334" t="str">
        <f>IF(AND(AA584&lt;&gt;"",AT584=TRUE),IF(OR(INDEX(AR584:AS584,3-AA584)=EUconst_NA,INDEX(AR584:AS584,3-AA584)=0),"",INDEX(AR584:AS584,3-AA584)),"")</f>
        <v/>
      </c>
      <c r="AV584" s="376">
        <f>IF(AC584=TRUE,IF(COUNT(K584:L584)=0,0,IF(L584="",K584,L584)),0)</f>
        <v>0</v>
      </c>
      <c r="AW584" s="375" t="b">
        <f>AND(AC584=TRUE,OR(AND(F584&lt;&gt;"",NOT(ISNUMBER(AA584))),L584&lt;&gt;"",F584="",AU584=""))</f>
        <v>0</v>
      </c>
      <c r="AX584" s="457" t="b">
        <f>AND(AC584=TRUE,NOT(AW584))</f>
        <v>0</v>
      </c>
      <c r="AY584" s="325"/>
      <c r="AZ584" s="379" t="b">
        <f>AND(ISNUMBER(AA584),AU584="")</f>
        <v>0</v>
      </c>
      <c r="BA584" s="380" t="b">
        <f>AND(ISNUMBER(AA584),AU584&lt;&gt;AV584)</f>
        <v>0</v>
      </c>
      <c r="BB584" s="382" t="b">
        <f>AND(E576&lt;&gt;"",COUNTIF(AO584:AO585,TRUE)=0)</f>
        <v>0</v>
      </c>
      <c r="BC584" s="375" t="b">
        <f>AND(L584&lt;&gt;"",Y584=EUconst_NA)</f>
        <v>0</v>
      </c>
      <c r="BD584" s="325"/>
      <c r="BE584" s="325"/>
      <c r="BF584" s="379" t="s">
        <v>131</v>
      </c>
      <c r="BG584" s="498" t="str">
        <f>IF(COUNTIF(AO584:AO585,TRUE)=0,"",AV581*IF(AO584,1,AV583*AN585)*AV584*AV586*AV588)</f>
        <v/>
      </c>
      <c r="BH584" s="325"/>
      <c r="BI584" s="325"/>
      <c r="BJ584" s="325"/>
      <c r="BK584" s="325"/>
      <c r="BL584" s="325"/>
      <c r="BM584" s="325"/>
      <c r="BN584" s="325"/>
      <c r="BO584" s="325"/>
      <c r="BP584" s="325"/>
      <c r="BQ584" s="325"/>
      <c r="BR584" s="325"/>
      <c r="BS584" s="325"/>
      <c r="BT584" s="325"/>
      <c r="BU584" s="325"/>
      <c r="BV584" s="325"/>
      <c r="BW584" s="325"/>
      <c r="BX584" s="325"/>
      <c r="BY584" s="325"/>
      <c r="BZ584" s="325"/>
      <c r="CA584" s="325"/>
      <c r="CB584" s="325"/>
      <c r="CC584" s="325"/>
      <c r="CD584" s="325"/>
      <c r="CE584" s="325"/>
      <c r="CF584" s="325"/>
      <c r="CG584" s="366" t="b">
        <f>OR(CG581,Y584=EUconst_NA)</f>
        <v>0</v>
      </c>
    </row>
    <row r="585" spans="1:85" ht="12.75" customHeight="1" x14ac:dyDescent="0.25">
      <c r="A585" s="318"/>
      <c r="B585" s="21"/>
      <c r="C585" s="344"/>
      <c r="D585" s="345" t="str">
        <f>Translations!$B$362</f>
        <v>Biomassaosuus:</v>
      </c>
      <c r="E585" s="350"/>
      <c r="F585" s="624"/>
      <c r="G585" s="1120" t="str">
        <f>IF(OR(ISBLANK(F585),F585=EUconst_NoTier),"",IF(Z585=0,EUconst_NotApplicable,IF(ISERROR(Z585),"",Z585)))</f>
        <v/>
      </c>
      <c r="H585" s="1122"/>
      <c r="I585" s="626" t="str">
        <f>IF(OR(AC585=FALSE,Y585=EUconst_NA),"","-")</f>
        <v/>
      </c>
      <c r="J585" s="446"/>
      <c r="K585" s="635" t="str">
        <f>IF(L585="",AU585,"")</f>
        <v/>
      </c>
      <c r="L585" s="627"/>
      <c r="M585" s="486" t="str">
        <f>IF(AND(E576&lt;&gt;"",OR(F585="",COUNT(K585:L585)=0),Y585&lt;&gt;EUconst_NA),EUconst_ERR_Incomplete,IF(COUNTIF(BB585:BD585,TRUE)&gt;0,EUconst_ERR_Inconsistent,""))</f>
        <v/>
      </c>
      <c r="O585" s="323"/>
      <c r="P585" s="612"/>
      <c r="Q585" s="354"/>
      <c r="R585" s="354"/>
      <c r="S585" s="325"/>
      <c r="T585" s="374" t="str">
        <f>EUconst_CNTR_BiomassContent&amp;E576</f>
        <v>BioC_</v>
      </c>
      <c r="U585" s="23"/>
      <c r="V585" s="375" t="str">
        <f>V583</f>
        <v/>
      </c>
      <c r="W585" s="366" t="e">
        <f>IF(COUNTIF(MSPara_SourceStreamCategory,V585)=0,"",INDEX(MSPara_IsFossil,MATCH(V585,MSPara_SourceStreamCategory,0)))</f>
        <v>#N/A</v>
      </c>
      <c r="X585" s="23"/>
      <c r="Y585" s="450" t="str">
        <f>IF(E576="","",IF(OR(F585=EUconst_NA,W585=TRUE),EUconst_NA,INDEX(EUwideConstants!$P$153:$P$180,MATCH(T585,EUwideConstants!$S$153:$S$180,0))))</f>
        <v/>
      </c>
      <c r="Z585" s="472" t="str">
        <f>IF(ISBLANK(F585),"",IF(F585=EUconst_NA,"",INDEX(EUwideConstants!$H:$O,MATCH(T585,EUwideConstants!$S:$S,0),MATCH(F585,CNTR_TierList,0))))</f>
        <v/>
      </c>
      <c r="AA585" s="681" t="str">
        <f>IF(F585=1,1,"")</f>
        <v/>
      </c>
      <c r="AB585" s="325"/>
      <c r="AC585" s="376" t="b">
        <f>AND(AC581,Y585&lt;&gt;EUconst_NA)</f>
        <v>0</v>
      </c>
      <c r="AD585" s="325"/>
      <c r="AE585" s="462"/>
      <c r="AF585" s="460"/>
      <c r="AG585" s="465"/>
      <c r="AH585" s="467"/>
      <c r="AI585" s="467"/>
      <c r="AJ585" s="467"/>
      <c r="AK585" s="469"/>
      <c r="AL585" s="337"/>
      <c r="AM585" s="404" t="s">
        <v>132</v>
      </c>
      <c r="AN585" s="403" t="str">
        <f>IF(AN583=EUconst_NA,EUconst_NA,INDEX(EUwideConstants!$C$139:$H$143,MATCH(AJ584,EFUnits,0),MATCH(AN583,EUwideConstants!$C$138:$H$138,0)))</f>
        <v>ei sovellettavissa</v>
      </c>
      <c r="AO585" s="403" t="b">
        <f>AN585&lt;&gt;EUconst_NA</f>
        <v>0</v>
      </c>
      <c r="AP585" s="337"/>
      <c r="AQ585" s="455" t="str">
        <f>EUconst_CNTR_BiomassContent&amp;EUconst_Value</f>
        <v>BioC_Arvo</v>
      </c>
      <c r="AR585" s="462"/>
      <c r="AS585" s="383" t="str">
        <f>IF(AC585=TRUE,IF(COUNTIF(MSPara_SourceStreamCategory,V585)=0,"",INDEX(MSPara_CalcFactorsMatrix,MATCH(V585,MSPara_SourceStreamCategory,0),MATCH(AQ585&amp;"_"&amp;2,MSPara_CalcFactors,0))),"")</f>
        <v/>
      </c>
      <c r="AT585" s="458"/>
      <c r="AU585" s="334" t="str">
        <f>IF(OR(AA585="",AS585=EUconst_NA),"",AS585)</f>
        <v/>
      </c>
      <c r="AV585" s="376">
        <f>IF(AC585=TRUE,IF(COUNT(K585:L585)=0,0,IF(L585="",K585,L585)),0)</f>
        <v>0</v>
      </c>
      <c r="AW585" s="375" t="b">
        <f>AND(AC585=TRUE,OR(AND(F585&lt;&gt;"",NOT(ISNUMBER(AA585))),L585&lt;&gt;"",F585="",AU585=""))</f>
        <v>0</v>
      </c>
      <c r="AX585" s="457" t="b">
        <f>AND(AC585=TRUE,NOT(AW585))</f>
        <v>0</v>
      </c>
      <c r="AY585" s="325"/>
      <c r="AZ585" s="379" t="b">
        <f>AND(ISNUMBER(AA585),AU585="")</f>
        <v>0</v>
      </c>
      <c r="BA585" s="380" t="b">
        <f>AND(ISNUMBER(AA585),AU585&lt;&gt;AV585)</f>
        <v>0</v>
      </c>
      <c r="BB585" s="325"/>
      <c r="BC585" s="375" t="b">
        <f>AND(L585&lt;&gt;"",Y585=EUconst_NA)</f>
        <v>0</v>
      </c>
      <c r="BD585" s="366" t="b">
        <f>OR(AV585&gt;100%,(AV585+AV586)&gt;100%)</f>
        <v>0</v>
      </c>
      <c r="BE585" s="325"/>
      <c r="BF585" s="379" t="s">
        <v>133</v>
      </c>
      <c r="BG585" s="498" t="str">
        <f>IF(AN581=EUconst_TJ,AV581*(1-AV585),IF(AN583=EUconst_GJ,AV581*AV583/1000*(1-AV585),""))</f>
        <v/>
      </c>
      <c r="BH585" s="325"/>
      <c r="BI585" s="325"/>
      <c r="BJ585" s="325"/>
      <c r="BK585" s="325"/>
      <c r="BL585" s="325"/>
      <c r="BM585" s="325"/>
      <c r="BN585" s="325"/>
      <c r="BO585" s="325"/>
      <c r="BP585" s="325"/>
      <c r="BQ585" s="325"/>
      <c r="BR585" s="325"/>
      <c r="BS585" s="325"/>
      <c r="BT585" s="325"/>
      <c r="BU585" s="325"/>
      <c r="BV585" s="325"/>
      <c r="BW585" s="325"/>
      <c r="BX585" s="325"/>
      <c r="BY585" s="325"/>
      <c r="BZ585" s="325"/>
      <c r="CA585" s="325"/>
      <c r="CB585" s="325"/>
      <c r="CC585" s="325"/>
      <c r="CD585" s="325"/>
      <c r="CE585" s="325"/>
      <c r="CF585" s="325"/>
      <c r="CG585" s="375" t="b">
        <f>OR(CG581,Y585=EUconst_NA)</f>
        <v>0</v>
      </c>
    </row>
    <row r="586" spans="1:85" ht="12.75" customHeight="1" thickBot="1" x14ac:dyDescent="0.3">
      <c r="A586" s="318"/>
      <c r="B586" s="21"/>
      <c r="C586" s="344"/>
      <c r="D586" s="345" t="str">
        <f>Translations!$B$368</f>
        <v>Ei kestävä biomassaosuus:</v>
      </c>
      <c r="E586" s="350"/>
      <c r="F586" s="628"/>
      <c r="G586" s="1120" t="str">
        <f>IF(OR(ISBLANK(F586),F586=EUconst_NoTier),"",IF(Z586=0,EUconst_NotApplicable,IF(ISERROR(Z586),"",Z586)))</f>
        <v/>
      </c>
      <c r="H586" s="1122"/>
      <c r="I586" s="629" t="str">
        <f>IF(OR(AC586=FALSE,Y586=EUconst_NA),"","-")</f>
        <v/>
      </c>
      <c r="J586" s="447"/>
      <c r="K586" s="636" t="str">
        <f>IF(L586="",AU586,"")</f>
        <v/>
      </c>
      <c r="L586" s="630"/>
      <c r="M586" s="486" t="str">
        <f>IF(AND(E576&lt;&gt;"",OR(F586="",COUNT(K586:L586)=0),Y586&lt;&gt;EUconst_NA),EUconst_ERR_Incomplete,IF(COUNTIF(BB586:BD586,TRUE)&gt;0,EUconst_ERR_Inconsistent,""))</f>
        <v/>
      </c>
      <c r="N586" s="22"/>
      <c r="O586" s="323"/>
      <c r="P586" s="612"/>
      <c r="Q586" s="354"/>
      <c r="R586" s="354"/>
      <c r="S586" s="325"/>
      <c r="T586" s="384" t="str">
        <f>EUconst_CNTR_BiomassContent&amp;E576</f>
        <v>BioC_</v>
      </c>
      <c r="U586" s="23"/>
      <c r="V586" s="382" t="str">
        <f>V585</f>
        <v/>
      </c>
      <c r="W586" s="382" t="e">
        <f>IF(COUNTIF(MSPara_SourceStreamCategory,V586)=0,"",INDEX(MSPara_IsFossil,MATCH(V586,MSPara_SourceStreamCategory,0)))</f>
        <v>#N/A</v>
      </c>
      <c r="X586" s="23"/>
      <c r="Y586" s="452" t="str">
        <f>IF(E576="","",IF(OR(F586=EUconst_NA,W586=TRUE),EUconst_NA,INDEX(EUwideConstants!$P$153:$P$180,MATCH(T586,EUwideConstants!$S$153:$S$180,0))))</f>
        <v/>
      </c>
      <c r="Z586" s="473" t="str">
        <f>IF(ISBLANK(F586),"",IF(F586=EUconst_NA,"",INDEX(EUwideConstants!$H:$O,MATCH(T586,EUwideConstants!$S:$S,0),MATCH(F586,CNTR_TierList,0))))</f>
        <v/>
      </c>
      <c r="AA586" s="682" t="str">
        <f>IF(F586=1,1,"")</f>
        <v/>
      </c>
      <c r="AB586" s="325"/>
      <c r="AC586" s="453" t="b">
        <f>AND(AC581,Y586&lt;&gt;EUconst_NA)</f>
        <v>0</v>
      </c>
      <c r="AD586" s="325"/>
      <c r="AE586" s="463"/>
      <c r="AF586" s="461"/>
      <c r="AG586" s="466"/>
      <c r="AH586" s="468"/>
      <c r="AI586" s="468"/>
      <c r="AJ586" s="468"/>
      <c r="AK586" s="470"/>
      <c r="AL586" s="337"/>
      <c r="AM586" s="337"/>
      <c r="AN586" s="337"/>
      <c r="AO586" s="337"/>
      <c r="AP586" s="337"/>
      <c r="AQ586" s="474" t="str">
        <f>EUconst_CNTR_BiomassContent&amp;EUconst_Value</f>
        <v>BioC_Arvo</v>
      </c>
      <c r="AR586" s="463"/>
      <c r="AS586" s="385" t="str">
        <f>IF(AC586=TRUE,IF(COUNTIF(MSPara_SourceStreamCategory,V586)=0,"",INDEX(MSPara_CalcFactorsMatrix,MATCH(V586,MSPara_SourceStreamCategory,0),MATCH(AQ586&amp;"_"&amp;2,MSPara_CalcFactors,0))),"")</f>
        <v/>
      </c>
      <c r="AT586" s="459"/>
      <c r="AU586" s="477" t="str">
        <f>IF(OR(AA586="",AS586=EUconst_NA),"",AS586)</f>
        <v/>
      </c>
      <c r="AV586" s="453">
        <f>IF(AC586=TRUE,IF(COUNT(K586:L586)=0,0,IF(L586="",K586,L586)),0)</f>
        <v>0</v>
      </c>
      <c r="AW586" s="382" t="b">
        <f>AND(AC586=TRUE,OR(AND(F586&lt;&gt;"",NOT(ISNUMBER(AA586))),L586&lt;&gt;"",F586="",AU586=""))</f>
        <v>0</v>
      </c>
      <c r="AX586" s="478" t="b">
        <f>AND(AC586=TRUE,NOT(AW586))</f>
        <v>0</v>
      </c>
      <c r="AY586" s="325"/>
      <c r="AZ586" s="386" t="b">
        <f>AND(ISNUMBER(AA586),AU586="")</f>
        <v>0</v>
      </c>
      <c r="BA586" s="387" t="b">
        <f>AND(ISNUMBER(AA586),AU586&lt;&gt;AV586)</f>
        <v>0</v>
      </c>
      <c r="BB586" s="325"/>
      <c r="BC586" s="382" t="b">
        <f>AND(L586&lt;&gt;"",Y586=EUconst_NA)</f>
        <v>0</v>
      </c>
      <c r="BD586" s="382" t="b">
        <f>OR(AV585&gt;100%,(AV585+AV586)&gt;100%)</f>
        <v>0</v>
      </c>
      <c r="BE586" s="325"/>
      <c r="BF586" s="386" t="s">
        <v>134</v>
      </c>
      <c r="BG586" s="499" t="str">
        <f>IF(AN581=EUconst_TJ,AV581*AV585,IF(AN583=EUconst_GJ,AV581*AV583/1000*AV585,""))</f>
        <v/>
      </c>
      <c r="BH586" s="325"/>
      <c r="BI586" s="325"/>
      <c r="BJ586" s="325"/>
      <c r="BK586" s="325"/>
      <c r="BL586" s="325"/>
      <c r="BM586" s="325"/>
      <c r="BN586" s="325"/>
      <c r="BO586" s="325"/>
      <c r="BP586" s="325"/>
      <c r="BQ586" s="325"/>
      <c r="BR586" s="325"/>
      <c r="BS586" s="325"/>
      <c r="BT586" s="325"/>
      <c r="BU586" s="325"/>
      <c r="BV586" s="325"/>
      <c r="BW586" s="325"/>
      <c r="BX586" s="325"/>
      <c r="BY586" s="325"/>
      <c r="BZ586" s="325"/>
      <c r="CA586" s="325"/>
      <c r="CB586" s="325"/>
      <c r="CC586" s="325"/>
      <c r="CD586" s="325"/>
      <c r="CE586" s="325"/>
      <c r="CF586" s="325"/>
      <c r="CG586" s="382" t="b">
        <f>OR(CG581,Y586=EUconst_NA)</f>
        <v>0</v>
      </c>
    </row>
    <row r="587" spans="1:85" ht="5.15" customHeight="1" thickBot="1" x14ac:dyDescent="0.3">
      <c r="A587" s="318"/>
      <c r="B587" s="21"/>
      <c r="C587" s="21"/>
      <c r="D587" s="327"/>
      <c r="E587" s="22"/>
      <c r="F587" s="22"/>
      <c r="G587" s="22"/>
      <c r="H587" s="22"/>
      <c r="I587" s="22"/>
      <c r="J587" s="22"/>
      <c r="K587" s="22"/>
      <c r="L587" s="22"/>
      <c r="M587" s="488"/>
      <c r="N587" s="22"/>
      <c r="O587" s="323"/>
      <c r="P587" s="301"/>
      <c r="Q587" s="23"/>
      <c r="R587" s="23"/>
      <c r="S587" s="325"/>
      <c r="T587" s="325"/>
      <c r="U587" s="325"/>
      <c r="V587" s="325"/>
      <c r="W587" s="325"/>
      <c r="X587" s="325"/>
      <c r="Y587" s="325"/>
      <c r="Z587" s="325"/>
      <c r="AA587" s="325"/>
      <c r="AB587" s="325"/>
      <c r="AC587" s="325"/>
      <c r="AD587" s="325"/>
      <c r="AE587" s="325"/>
      <c r="AF587" s="325"/>
      <c r="AG587" s="325"/>
      <c r="AH587" s="325"/>
      <c r="AI587" s="325"/>
      <c r="AJ587" s="325"/>
      <c r="AK587" s="325"/>
      <c r="AL587" s="325"/>
      <c r="AM587" s="325"/>
      <c r="AN587" s="325"/>
      <c r="AO587" s="325"/>
      <c r="AP587" s="325"/>
      <c r="AQ587" s="325"/>
      <c r="AR587" s="325"/>
      <c r="AS587" s="325"/>
      <c r="AT587" s="325"/>
      <c r="AU587" s="325"/>
      <c r="AV587" s="325"/>
      <c r="AW587" s="325"/>
      <c r="AX587" s="325"/>
      <c r="AY587" s="325"/>
      <c r="AZ587" s="325"/>
      <c r="BA587" s="325"/>
      <c r="BB587" s="325"/>
      <c r="BC587" s="325"/>
      <c r="BD587" s="325"/>
      <c r="BE587" s="325"/>
      <c r="BF587" s="325"/>
      <c r="BG587" s="325"/>
      <c r="BH587" s="325"/>
      <c r="BI587" s="325"/>
      <c r="BJ587" s="325"/>
      <c r="BK587" s="325"/>
      <c r="BL587" s="325"/>
      <c r="BM587" s="325"/>
      <c r="BN587" s="325"/>
      <c r="BO587" s="325"/>
      <c r="BP587" s="325"/>
      <c r="BQ587" s="325"/>
      <c r="BR587" s="325"/>
      <c r="BS587" s="325"/>
      <c r="BT587" s="325"/>
      <c r="BU587" s="325"/>
      <c r="BV587" s="325"/>
      <c r="BW587" s="325"/>
      <c r="BX587" s="325"/>
      <c r="BY587" s="325"/>
      <c r="BZ587" s="325"/>
      <c r="CA587" s="325"/>
      <c r="CB587" s="325"/>
      <c r="CC587" s="325"/>
      <c r="CD587" s="325"/>
      <c r="CE587" s="325"/>
      <c r="CF587" s="325"/>
      <c r="CG587" s="325"/>
    </row>
    <row r="588" spans="1:85" ht="12.75" customHeight="1" thickBot="1" x14ac:dyDescent="0.3">
      <c r="A588" s="318"/>
      <c r="B588" s="21"/>
      <c r="C588" s="344"/>
      <c r="D588" s="345" t="str">
        <f>Translations!$B$398</f>
        <v>Soveltamisalakerroin:</v>
      </c>
      <c r="E588" s="479"/>
      <c r="F588" s="803"/>
      <c r="G588" s="1125"/>
      <c r="H588" s="1126"/>
      <c r="I588" s="492" t="s">
        <v>52</v>
      </c>
      <c r="J588" s="480"/>
      <c r="K588" s="481" t="str">
        <f>IF(L588="",AU588,"")</f>
        <v/>
      </c>
      <c r="L588" s="607"/>
      <c r="M588" s="489" t="str">
        <f>IF(AND(E576&lt;&gt;"",OR(F588="",G588="",COUNT(K588:L588)=0)),EUconst_ERR_Incomplete,IF(COUNTIF(BB588:BD588,TRUE)&gt;0,EUconst_ERR_Inconsistent,""))</f>
        <v/>
      </c>
      <c r="N588" s="22"/>
      <c r="O588" s="323"/>
      <c r="P588" s="301"/>
      <c r="Q588" s="23"/>
      <c r="R588" s="325"/>
      <c r="S588" s="10"/>
      <c r="T588" s="48" t="str">
        <f>EUconst_CNTR_ScopeFactor&amp;E576</f>
        <v>ScopeFactor_</v>
      </c>
      <c r="U588" s="248" t="str">
        <f>IF(F588="","",INDEX(ScopeAddress,MATCH(F588,ScopeTiers,0)))</f>
        <v/>
      </c>
      <c r="V588" s="382" t="str">
        <f>V581</f>
        <v/>
      </c>
      <c r="W588" s="325"/>
      <c r="X588" s="325"/>
      <c r="Y588" s="452" t="str">
        <f>IF(E576="","",IF(F588=EUconst_NA,EUconst_NA,INDEX(EUwideConstants!$P$153:$P$180,MATCH(T588,EUwideConstants!$S$153:$S$180,0))))</f>
        <v/>
      </c>
      <c r="Z588" s="473" t="str">
        <f>IF(ISBLANK(F588),"",IF(F588=EUconst_NA,"",INDEX(EUwideConstants!$H:$O,MATCH(T588,EUwideConstants!$S:$S,0),MATCH(F588,CNTR_TierList,0))))</f>
        <v/>
      </c>
      <c r="AA588" s="339" t="str">
        <f>IF(G588=EUwideConstants!$A$88,1,"")</f>
        <v/>
      </c>
      <c r="AB588" s="325"/>
      <c r="AC588" s="376" t="b">
        <f>AND(AC581,Y588&lt;&gt;EUconst_NA)</f>
        <v>0</v>
      </c>
      <c r="AD588" s="325"/>
      <c r="AE588" s="325"/>
      <c r="AF588" s="325"/>
      <c r="AG588" s="330"/>
      <c r="AH588" s="325"/>
      <c r="AI588" s="325"/>
      <c r="AJ588" s="325"/>
      <c r="AK588" s="325"/>
      <c r="AL588" s="325"/>
      <c r="AM588" s="325"/>
      <c r="AN588" s="325"/>
      <c r="AO588" s="325"/>
      <c r="AP588" s="325"/>
      <c r="AQ588" s="325"/>
      <c r="AR588" s="325"/>
      <c r="AS588" s="338">
        <v>1</v>
      </c>
      <c r="AT588" s="325"/>
      <c r="AU588" s="330" t="str">
        <f>IF(G588=EUwideConstants!$A$88,AS588,"")</f>
        <v/>
      </c>
      <c r="AV588" s="376">
        <f>IF(AC588=TRUE,IF(COUNT(K588:L588)=0,0,IF(L588="",K588,L588)),0)</f>
        <v>0</v>
      </c>
      <c r="AW588" s="375" t="b">
        <f>AND(AC588=TRUE,OR(AND(F588&lt;&gt;"",NOT(ISNUMBER(AA588))),L588&lt;&gt;"",F588="",AU588=""))</f>
        <v>0</v>
      </c>
      <c r="AX588" s="457" t="b">
        <f>AND(AC588=TRUE,NOT(AW588))</f>
        <v>0</v>
      </c>
      <c r="AY588" s="325"/>
      <c r="AZ588" s="379" t="b">
        <f>AND(ISNUMBER(AA588),AU588="")</f>
        <v>0</v>
      </c>
      <c r="BA588" s="380" t="b">
        <f>AND(ISNUMBER(AA588),AU588&lt;&gt;AV588)</f>
        <v>0</v>
      </c>
      <c r="BB588" s="325"/>
      <c r="BC588" s="33" t="b">
        <f>AND(F588&lt;&gt;"",OR(COUNTIF(INDEX(ScopeMethods,F588,),G588)=0,AND(AA588&lt;&gt;"",AU588&lt;&gt;AV588)))</f>
        <v>0</v>
      </c>
      <c r="BD588" s="325"/>
      <c r="BE588" s="325"/>
      <c r="BF588" s="325"/>
      <c r="BG588" s="325"/>
      <c r="BH588" s="325"/>
      <c r="BI588" s="325"/>
      <c r="BJ588" s="325"/>
      <c r="BK588" s="325"/>
      <c r="BL588" s="325"/>
      <c r="BM588" s="325"/>
      <c r="BN588" s="325"/>
      <c r="BO588" s="325"/>
      <c r="BP588" s="325"/>
      <c r="BQ588" s="325"/>
      <c r="BR588" s="325"/>
      <c r="BS588" s="325"/>
      <c r="BT588" s="325"/>
      <c r="BU588" s="325"/>
      <c r="BV588" s="325"/>
      <c r="BW588" s="325"/>
      <c r="BX588" s="325"/>
      <c r="BY588" s="325"/>
      <c r="BZ588" s="325"/>
      <c r="CA588" s="325"/>
      <c r="CB588" s="325"/>
      <c r="CC588" s="325"/>
      <c r="CD588" s="325"/>
      <c r="CE588" s="325"/>
      <c r="CF588" s="325"/>
      <c r="CG588" s="325"/>
    </row>
    <row r="589" spans="1:85" ht="12.75" customHeight="1" x14ac:dyDescent="0.25">
      <c r="A589" s="318"/>
      <c r="B589" s="21"/>
      <c r="C589" s="21"/>
      <c r="D589" s="21"/>
      <c r="E589" s="21"/>
      <c r="F589" s="21"/>
      <c r="G589" s="1130" t="str">
        <f>IF(G588="","",INDEX(ScopeMethodsDetails,MATCH(G588,INDEX(ScopeMethodsDetails,,1),0),2))</f>
        <v/>
      </c>
      <c r="H589" s="1131"/>
      <c r="I589" s="1131"/>
      <c r="J589" s="1131"/>
      <c r="K589" s="1131"/>
      <c r="L589" s="1131"/>
      <c r="M589" s="1132"/>
      <c r="N589" s="22"/>
      <c r="O589" s="323"/>
      <c r="P589" s="301"/>
      <c r="Q589" s="23"/>
      <c r="R589" s="23"/>
      <c r="S589" s="325"/>
      <c r="T589" s="325"/>
      <c r="U589" s="325"/>
      <c r="V589" s="325"/>
      <c r="W589" s="325"/>
      <c r="X589" s="325"/>
      <c r="Y589" s="325"/>
      <c r="Z589" s="325"/>
      <c r="AA589" s="325"/>
      <c r="AB589" s="325"/>
      <c r="AC589" s="325"/>
      <c r="AD589" s="325"/>
      <c r="AE589" s="325"/>
      <c r="AF589" s="325"/>
      <c r="AG589" s="325"/>
      <c r="AH589" s="325"/>
      <c r="AI589" s="325"/>
      <c r="AJ589" s="325"/>
      <c r="AK589" s="325"/>
      <c r="AL589" s="325"/>
      <c r="AM589" s="325"/>
      <c r="AN589" s="325"/>
      <c r="AO589" s="325"/>
      <c r="AP589" s="325"/>
      <c r="AQ589" s="325"/>
      <c r="AR589" s="325"/>
      <c r="AS589" s="325"/>
      <c r="AT589" s="325"/>
      <c r="AU589" s="325"/>
      <c r="AV589" s="325"/>
      <c r="AW589" s="325"/>
      <c r="AX589" s="325"/>
      <c r="AY589" s="325"/>
      <c r="AZ589" s="325"/>
      <c r="BA589" s="325"/>
      <c r="BB589" s="325"/>
      <c r="BC589" s="325"/>
      <c r="BD589" s="325"/>
      <c r="BE589" s="325"/>
      <c r="BF589" s="325"/>
      <c r="BG589" s="325"/>
      <c r="BH589" s="325"/>
      <c r="BI589" s="325"/>
      <c r="BJ589" s="325"/>
      <c r="BK589" s="325"/>
      <c r="BL589" s="325"/>
      <c r="BM589" s="325"/>
      <c r="BN589" s="325"/>
      <c r="BO589" s="325"/>
      <c r="BP589" s="325"/>
      <c r="BQ589" s="325"/>
      <c r="BR589" s="325"/>
      <c r="BS589" s="325"/>
      <c r="BT589" s="325"/>
      <c r="BU589" s="325"/>
      <c r="BV589" s="325"/>
      <c r="BW589" s="325"/>
      <c r="BX589" s="325"/>
      <c r="BY589" s="325"/>
      <c r="BZ589" s="325"/>
      <c r="CA589" s="325"/>
      <c r="CB589" s="325"/>
      <c r="CC589" s="325"/>
      <c r="CD589" s="325"/>
      <c r="CE589" s="325"/>
      <c r="CF589" s="325"/>
      <c r="CG589" s="325"/>
    </row>
    <row r="590" spans="1:85" ht="5.15" customHeight="1" x14ac:dyDescent="0.25">
      <c r="A590" s="318"/>
      <c r="C590" s="22"/>
      <c r="D590" s="22"/>
      <c r="E590" s="22"/>
      <c r="F590" s="22"/>
      <c r="G590" s="22"/>
      <c r="H590" s="22"/>
      <c r="I590" s="22"/>
      <c r="J590" s="22"/>
      <c r="K590" s="22"/>
      <c r="L590" s="22"/>
      <c r="O590" s="323"/>
      <c r="P590" s="301"/>
      <c r="Q590" s="23"/>
      <c r="R590" s="23"/>
      <c r="S590" s="325"/>
      <c r="T590" s="325"/>
      <c r="U590" s="325"/>
      <c r="V590" s="325"/>
      <c r="W590" s="325"/>
      <c r="X590" s="325"/>
      <c r="Y590" s="325"/>
      <c r="Z590" s="325"/>
      <c r="AA590" s="325"/>
      <c r="AB590" s="325"/>
      <c r="AC590" s="325"/>
      <c r="AD590" s="325"/>
      <c r="AE590" s="325"/>
      <c r="AF590" s="325"/>
      <c r="AG590" s="325"/>
      <c r="AH590" s="325"/>
      <c r="AI590" s="325"/>
      <c r="AJ590" s="325"/>
      <c r="AK590" s="325"/>
      <c r="AL590" s="325"/>
      <c r="AM590" s="325"/>
      <c r="AN590" s="325"/>
      <c r="AO590" s="325"/>
      <c r="AP590" s="325"/>
      <c r="AQ590" s="325"/>
      <c r="AR590" s="325"/>
      <c r="AS590" s="325"/>
      <c r="AT590" s="325"/>
      <c r="AU590" s="325"/>
      <c r="AV590" s="325"/>
      <c r="AW590" s="325"/>
      <c r="AX590" s="325"/>
      <c r="AY590" s="325"/>
      <c r="AZ590" s="325"/>
      <c r="BA590" s="325"/>
      <c r="BB590" s="325"/>
      <c r="BC590" s="325"/>
      <c r="BD590" s="325"/>
      <c r="BE590" s="325"/>
      <c r="BF590" s="325"/>
      <c r="BG590" s="325"/>
      <c r="BH590" s="325"/>
      <c r="BI590" s="325"/>
      <c r="BJ590" s="325"/>
      <c r="BK590" s="325"/>
      <c r="BL590" s="325"/>
      <c r="BM590" s="325"/>
      <c r="BN590" s="325"/>
      <c r="BO590" s="325"/>
      <c r="BP590" s="325"/>
      <c r="BQ590" s="325"/>
      <c r="BR590" s="325"/>
      <c r="BS590" s="325"/>
      <c r="BT590" s="325"/>
      <c r="BU590" s="325"/>
      <c r="BV590" s="325"/>
      <c r="BW590" s="325"/>
      <c r="BX590" s="325"/>
      <c r="BY590" s="325"/>
      <c r="BZ590" s="325"/>
      <c r="CA590" s="325"/>
      <c r="CB590" s="325"/>
      <c r="CC590" s="325"/>
      <c r="CD590" s="325"/>
      <c r="CE590" s="325"/>
      <c r="CF590" s="325"/>
      <c r="CG590" s="325"/>
    </row>
    <row r="591" spans="1:85" ht="12.75" customHeight="1" x14ac:dyDescent="0.25">
      <c r="A591" s="318"/>
      <c r="C591" s="22"/>
      <c r="D591" s="22"/>
      <c r="E591" s="22"/>
      <c r="F591" s="22"/>
      <c r="G591" s="1133">
        <v>1</v>
      </c>
      <c r="H591" s="1133"/>
      <c r="I591" s="1133">
        <v>2</v>
      </c>
      <c r="J591" s="1133"/>
      <c r="K591" s="1133">
        <v>3</v>
      </c>
      <c r="L591" s="1133"/>
      <c r="O591" s="323"/>
      <c r="P591" s="301"/>
      <c r="Q591" s="23"/>
      <c r="R591" s="23"/>
      <c r="S591" s="325"/>
      <c r="T591" s="325"/>
      <c r="U591" s="325"/>
      <c r="V591" s="325"/>
      <c r="W591" s="325"/>
      <c r="X591" s="325"/>
      <c r="Y591" s="325"/>
      <c r="Z591" s="325"/>
      <c r="AA591" s="325"/>
      <c r="AB591" s="325"/>
      <c r="AC591" s="325"/>
      <c r="AD591" s="325"/>
      <c r="AE591" s="325"/>
      <c r="AF591" s="325"/>
      <c r="AG591" s="325"/>
      <c r="AH591" s="325"/>
      <c r="AI591" s="325"/>
      <c r="AJ591" s="325"/>
      <c r="AK591" s="325"/>
      <c r="AL591" s="325"/>
      <c r="AM591" s="325"/>
      <c r="AN591" s="325"/>
      <c r="AO591" s="325"/>
      <c r="AP591" s="325"/>
      <c r="AQ591" s="325"/>
      <c r="AR591" s="325"/>
      <c r="AS591" s="325"/>
      <c r="AT591" s="325"/>
      <c r="AU591" s="325"/>
      <c r="AV591" s="325"/>
      <c r="AW591" s="325"/>
      <c r="AX591" s="325"/>
      <c r="AY591" s="325"/>
      <c r="AZ591" s="325"/>
      <c r="BA591" s="325"/>
      <c r="BB591" s="325"/>
      <c r="BC591" s="325"/>
      <c r="BD591" s="325"/>
      <c r="BE591" s="325"/>
      <c r="BF591" s="325"/>
      <c r="BG591" s="325"/>
      <c r="BH591" s="325"/>
      <c r="BI591" s="325"/>
      <c r="BJ591" s="325"/>
      <c r="BK591" s="325"/>
      <c r="BL591" s="325"/>
      <c r="BM591" s="325"/>
      <c r="BN591" s="325"/>
      <c r="BO591" s="325"/>
      <c r="BP591" s="325"/>
      <c r="BQ591" s="325"/>
      <c r="BR591" s="325"/>
      <c r="BS591" s="325"/>
      <c r="BT591" s="325"/>
      <c r="BU591" s="325"/>
      <c r="BV591" s="325"/>
      <c r="BW591" s="325"/>
      <c r="BX591" s="325"/>
      <c r="BY591" s="325"/>
      <c r="BZ591" s="325"/>
      <c r="CA591" s="325"/>
      <c r="CB591" s="325"/>
      <c r="CC591" s="325"/>
      <c r="CD591" s="325"/>
      <c r="CE591" s="325"/>
      <c r="CF591" s="325"/>
      <c r="CG591" s="325"/>
    </row>
    <row r="592" spans="1:85" ht="12.75" customHeight="1" x14ac:dyDescent="0.25">
      <c r="A592" s="389"/>
      <c r="B592" s="22"/>
      <c r="C592" s="22"/>
      <c r="D592" s="1134" t="str">
        <f>Translations!$B$372</f>
        <v>CRF-luokka</v>
      </c>
      <c r="E592" s="1134"/>
      <c r="F592" s="1135"/>
      <c r="G592" s="1123"/>
      <c r="H592" s="1124"/>
      <c r="I592" s="1123"/>
      <c r="J592" s="1124"/>
      <c r="K592" s="1123"/>
      <c r="L592" s="1124"/>
      <c r="M592" s="623" t="str">
        <f>IF(AND(E575&lt;&gt;"",COUNTA(G592:L592)=0,AX592=FALSE),EUconst_ERR_Incomplete,"")</f>
        <v/>
      </c>
      <c r="N592" s="22"/>
      <c r="O592" s="323"/>
      <c r="P592" s="301"/>
      <c r="Q592" s="23"/>
      <c r="R592" s="23"/>
      <c r="S592" s="325"/>
      <c r="T592" s="325"/>
      <c r="U592" s="325"/>
      <c r="V592" s="325"/>
      <c r="W592" s="325"/>
      <c r="X592" s="325"/>
      <c r="Y592" s="325"/>
      <c r="Z592" s="325"/>
      <c r="AA592" s="325"/>
      <c r="AB592" s="325"/>
      <c r="AC592" s="325"/>
      <c r="AD592" s="325"/>
      <c r="AE592" s="325"/>
      <c r="AF592" s="325"/>
      <c r="AG592" s="325"/>
      <c r="AH592" s="325"/>
      <c r="AI592" s="325"/>
      <c r="AJ592" s="325"/>
      <c r="AK592" s="325"/>
      <c r="AL592" s="325"/>
      <c r="AM592" s="325"/>
      <c r="AN592" s="325"/>
      <c r="AO592" s="325"/>
      <c r="AP592" s="325"/>
      <c r="AQ592" s="325"/>
      <c r="AR592" s="325"/>
      <c r="AS592" s="325"/>
      <c r="AT592" s="325"/>
      <c r="AU592" s="325"/>
      <c r="AV592" s="325"/>
      <c r="AW592" s="325"/>
      <c r="AX592" s="33" t="b">
        <f>AND(AV588&lt;&gt;"",SUM(AV588=1))</f>
        <v>0</v>
      </c>
      <c r="AY592" s="325"/>
      <c r="AZ592" s="325"/>
      <c r="BA592" s="325"/>
      <c r="BB592" s="325"/>
      <c r="BC592" s="325"/>
      <c r="BD592" s="325"/>
      <c r="BE592" s="325"/>
      <c r="BF592" s="325"/>
      <c r="BG592" s="325"/>
      <c r="BH592" s="325"/>
      <c r="BI592" s="325"/>
      <c r="BJ592" s="325"/>
      <c r="BK592" s="325"/>
      <c r="BL592" s="325"/>
      <c r="BM592" s="325"/>
      <c r="BN592" s="325"/>
      <c r="BO592" s="325"/>
      <c r="BP592" s="325"/>
      <c r="BQ592" s="325"/>
      <c r="BR592" s="325"/>
      <c r="BS592" s="325"/>
      <c r="BT592" s="325"/>
      <c r="BU592" s="325"/>
      <c r="BV592" s="325"/>
      <c r="BW592" s="325"/>
      <c r="BX592" s="325"/>
      <c r="BY592" s="325"/>
      <c r="BZ592" s="325"/>
      <c r="CA592" s="325"/>
      <c r="CB592" s="325"/>
      <c r="CC592" s="325"/>
      <c r="CD592" s="325"/>
      <c r="CE592" s="325"/>
      <c r="CF592" s="325"/>
      <c r="CG592" s="325"/>
    </row>
    <row r="593" spans="1:85" ht="5.15" customHeight="1" x14ac:dyDescent="0.25">
      <c r="A593" s="318"/>
      <c r="B593" s="21"/>
      <c r="C593" s="21"/>
      <c r="D593" s="21"/>
      <c r="E593" s="21"/>
      <c r="F593" s="21"/>
      <c r="G593" s="22"/>
      <c r="H593" s="22"/>
      <c r="I593" s="22"/>
      <c r="J593" s="22"/>
      <c r="K593" s="22"/>
      <c r="L593" s="22"/>
      <c r="M593" s="22"/>
      <c r="N593" s="22"/>
      <c r="O593" s="323"/>
      <c r="P593" s="301"/>
      <c r="Q593" s="23"/>
      <c r="R593" s="23"/>
      <c r="S593" s="325"/>
      <c r="T593" s="325"/>
      <c r="U593" s="325"/>
      <c r="V593" s="325"/>
      <c r="W593" s="325"/>
      <c r="X593" s="325"/>
      <c r="Y593" s="325"/>
      <c r="Z593" s="325"/>
      <c r="AA593" s="325"/>
      <c r="AB593" s="325"/>
      <c r="AC593" s="325"/>
      <c r="AD593" s="325"/>
      <c r="AE593" s="325"/>
      <c r="AF593" s="325"/>
      <c r="AG593" s="325"/>
      <c r="AH593" s="325"/>
      <c r="AI593" s="325"/>
      <c r="AJ593" s="325"/>
      <c r="AK593" s="325"/>
      <c r="AL593" s="325"/>
      <c r="AM593" s="325"/>
      <c r="AN593" s="325"/>
      <c r="AO593" s="325"/>
      <c r="AP593" s="325"/>
      <c r="AQ593" s="325"/>
      <c r="AR593" s="325"/>
      <c r="AS593" s="325"/>
      <c r="AT593" s="325"/>
      <c r="AU593" s="325"/>
      <c r="AV593" s="325"/>
      <c r="AW593" s="325"/>
      <c r="AX593" s="325"/>
      <c r="AY593" s="325"/>
      <c r="AZ593" s="325"/>
      <c r="BA593" s="325"/>
      <c r="BB593" s="325"/>
      <c r="BC593" s="325"/>
      <c r="BD593" s="325"/>
      <c r="BE593" s="325"/>
      <c r="BF593" s="325"/>
      <c r="BG593" s="325"/>
      <c r="BH593" s="325"/>
      <c r="BI593" s="325"/>
      <c r="BJ593" s="325"/>
      <c r="BK593" s="325"/>
      <c r="BL593" s="325"/>
      <c r="BM593" s="325"/>
      <c r="BN593" s="325"/>
      <c r="BO593" s="325"/>
      <c r="BP593" s="325"/>
      <c r="BQ593" s="325"/>
      <c r="BR593" s="325"/>
      <c r="BS593" s="325"/>
      <c r="BT593" s="325"/>
      <c r="BU593" s="325"/>
      <c r="BV593" s="325"/>
      <c r="BW593" s="325"/>
      <c r="BX593" s="325"/>
      <c r="BY593" s="325"/>
      <c r="BZ593" s="325"/>
      <c r="CA593" s="325"/>
      <c r="CB593" s="325"/>
      <c r="CC593" s="325"/>
      <c r="CD593" s="325"/>
      <c r="CE593" s="325"/>
      <c r="CF593" s="325"/>
      <c r="CG593" s="325"/>
    </row>
    <row r="594" spans="1:85" ht="4" customHeight="1" x14ac:dyDescent="0.25">
      <c r="A594" s="318"/>
      <c r="B594" s="21"/>
      <c r="C594" s="21"/>
      <c r="D594" s="1145"/>
      <c r="E594" s="1145"/>
      <c r="F594" s="1145"/>
      <c r="G594" s="806"/>
      <c r="H594" s="807"/>
      <c r="I594" s="806"/>
      <c r="J594" s="236"/>
      <c r="K594" s="236"/>
      <c r="L594" s="236"/>
      <c r="M594" s="807"/>
      <c r="N594" s="808"/>
      <c r="O594" s="323"/>
      <c r="P594" s="301"/>
      <c r="Q594" s="23"/>
      <c r="R594" s="23"/>
      <c r="S594" s="388"/>
      <c r="T594" s="325"/>
      <c r="U594" s="325"/>
      <c r="V594" s="325"/>
      <c r="W594" s="325"/>
      <c r="X594" s="325"/>
      <c r="Y594" s="325"/>
      <c r="Z594" s="325"/>
      <c r="AA594" s="325"/>
      <c r="AB594" s="325"/>
      <c r="AC594" s="325"/>
      <c r="AD594" s="325"/>
      <c r="AE594" s="325"/>
      <c r="AF594" s="325"/>
      <c r="AG594" s="325"/>
      <c r="AH594" s="325"/>
      <c r="AI594" s="325"/>
      <c r="AJ594" s="325"/>
      <c r="AK594" s="325"/>
      <c r="AL594" s="325"/>
      <c r="AM594" s="325"/>
      <c r="AN594" s="325"/>
      <c r="AO594" s="325"/>
      <c r="AP594" s="325"/>
      <c r="AQ594" s="325"/>
      <c r="AR594" s="325"/>
      <c r="AS594" s="325"/>
      <c r="AT594" s="325"/>
      <c r="AU594" s="325"/>
      <c r="AV594" s="325"/>
      <c r="AW594" s="325"/>
      <c r="AX594" s="325"/>
      <c r="AY594" s="325"/>
      <c r="AZ594" s="325"/>
      <c r="BA594" s="325"/>
      <c r="BB594" s="325"/>
      <c r="BC594" s="325"/>
      <c r="BD594" s="325"/>
      <c r="BE594" s="325"/>
      <c r="BF594" s="325"/>
      <c r="BG594" s="325"/>
      <c r="BH594" s="325"/>
      <c r="BI594" s="325"/>
      <c r="BJ594" s="325"/>
      <c r="BK594" s="325"/>
      <c r="BL594" s="325"/>
      <c r="BM594" s="325"/>
      <c r="BN594" s="325"/>
      <c r="BO594" s="325"/>
      <c r="BP594" s="325"/>
      <c r="BQ594" s="325"/>
      <c r="BR594" s="325"/>
      <c r="BS594" s="325"/>
      <c r="BT594" s="325"/>
      <c r="BU594" s="325"/>
      <c r="BV594" s="325"/>
      <c r="BW594" s="325"/>
      <c r="BX594" s="325"/>
      <c r="BY594" s="325"/>
      <c r="BZ594" s="325"/>
      <c r="CA594" s="325"/>
      <c r="CB594" s="325"/>
      <c r="CC594" s="325"/>
      <c r="CD594" s="325"/>
      <c r="CE594" s="325"/>
      <c r="CF594" s="325"/>
      <c r="CG594" s="33" t="b">
        <f>CG581</f>
        <v>0</v>
      </c>
    </row>
    <row r="595" spans="1:85" ht="5.15" customHeight="1" x14ac:dyDescent="0.25">
      <c r="A595" s="389"/>
      <c r="B595" s="22"/>
      <c r="C595" s="22"/>
      <c r="D595" s="22"/>
      <c r="E595" s="1116" t="str">
        <f>Translations!$B$304</f>
        <v xml:space="preserve">Lisätiedot: 
tapa, jolla biomassan kestävyys on osoitettu; 
muut polttoainevirtaa koskevat lisätiedot. </v>
      </c>
      <c r="F595" s="1116"/>
      <c r="G595" s="22"/>
      <c r="H595" s="22"/>
      <c r="I595" s="22"/>
      <c r="J595" s="22"/>
      <c r="K595" s="22"/>
      <c r="L595" s="22"/>
      <c r="M595" s="22"/>
      <c r="N595" s="22"/>
      <c r="O595" s="323"/>
      <c r="P595" s="301"/>
      <c r="Q595" s="23"/>
      <c r="R595" s="23"/>
      <c r="S595" s="325"/>
      <c r="T595" s="325"/>
      <c r="U595" s="325"/>
      <c r="V595" s="325"/>
      <c r="W595" s="325"/>
      <c r="X595" s="325"/>
      <c r="Y595" s="325"/>
      <c r="Z595" s="325"/>
      <c r="AA595" s="325"/>
      <c r="AB595" s="325"/>
      <c r="AC595" s="325"/>
      <c r="AD595" s="325"/>
      <c r="AE595" s="325"/>
      <c r="AF595" s="325"/>
      <c r="AG595" s="325"/>
      <c r="AH595" s="325"/>
      <c r="AI595" s="325"/>
      <c r="AJ595" s="325"/>
      <c r="AK595" s="325"/>
      <c r="AL595" s="325"/>
      <c r="AM595" s="325"/>
      <c r="AN595" s="325"/>
      <c r="AO595" s="325"/>
      <c r="AP595" s="325"/>
      <c r="AQ595" s="325"/>
      <c r="AR595" s="325"/>
      <c r="AS595" s="325"/>
      <c r="AT595" s="325"/>
      <c r="AU595" s="325"/>
      <c r="AV595" s="325"/>
      <c r="AW595" s="325"/>
      <c r="AX595" s="325"/>
      <c r="AY595" s="325"/>
      <c r="AZ595" s="325"/>
      <c r="BA595" s="325"/>
      <c r="BB595" s="325"/>
      <c r="BC595" s="325"/>
      <c r="BD595" s="325"/>
      <c r="BE595" s="325"/>
      <c r="BF595" s="325"/>
      <c r="BG595" s="325"/>
      <c r="BH595" s="325"/>
      <c r="BI595" s="325"/>
      <c r="BJ595" s="325"/>
      <c r="BK595" s="325"/>
      <c r="BL595" s="325"/>
      <c r="BM595" s="325"/>
      <c r="BN595" s="325"/>
      <c r="BO595" s="325"/>
      <c r="BP595" s="325"/>
      <c r="BQ595" s="325"/>
      <c r="BR595" s="325"/>
      <c r="BS595" s="325"/>
      <c r="BT595" s="325"/>
      <c r="BU595" s="325"/>
      <c r="BV595" s="325"/>
      <c r="BW595" s="325"/>
      <c r="BX595" s="325"/>
      <c r="BY595" s="325"/>
      <c r="BZ595" s="325"/>
      <c r="CA595" s="325"/>
      <c r="CB595" s="325"/>
      <c r="CC595" s="325"/>
      <c r="CD595" s="325"/>
      <c r="CE595" s="325"/>
      <c r="CF595" s="325"/>
      <c r="CG595" s="325"/>
    </row>
    <row r="596" spans="1:85" ht="36.5" customHeight="1" x14ac:dyDescent="0.25">
      <c r="A596" s="389"/>
      <c r="B596" s="22"/>
      <c r="C596" s="22"/>
      <c r="D596" s="4"/>
      <c r="E596" s="1116"/>
      <c r="F596" s="1116"/>
      <c r="G596" s="1146"/>
      <c r="H596" s="1147"/>
      <c r="I596" s="1147"/>
      <c r="J596" s="1147"/>
      <c r="K596" s="1147"/>
      <c r="L596" s="1147"/>
      <c r="M596" s="1147"/>
      <c r="N596" s="1148"/>
      <c r="O596" s="323"/>
      <c r="P596" s="301"/>
      <c r="Q596" s="23"/>
      <c r="R596" s="23"/>
      <c r="S596" s="325"/>
      <c r="T596" s="325"/>
      <c r="U596" s="325"/>
      <c r="V596" s="325"/>
      <c r="W596" s="325"/>
      <c r="X596" s="325"/>
      <c r="Y596" s="325"/>
      <c r="Z596" s="325"/>
      <c r="AA596" s="325"/>
      <c r="AB596" s="325"/>
      <c r="AC596" s="325"/>
      <c r="AD596" s="325"/>
      <c r="AE596" s="325"/>
      <c r="AF596" s="325"/>
      <c r="AG596" s="325"/>
      <c r="AH596" s="325"/>
      <c r="AI596" s="325"/>
      <c r="AJ596" s="325"/>
      <c r="AK596" s="325"/>
      <c r="AL596" s="325"/>
      <c r="AM596" s="325"/>
      <c r="AN596" s="325"/>
      <c r="AO596" s="325"/>
      <c r="AP596" s="325"/>
      <c r="AQ596" s="325"/>
      <c r="AR596" s="325"/>
      <c r="AS596" s="325"/>
      <c r="AT596" s="325"/>
      <c r="AU596" s="325"/>
      <c r="AV596" s="325"/>
      <c r="AW596" s="325"/>
      <c r="AX596" s="325"/>
      <c r="AY596" s="325"/>
      <c r="AZ596" s="325"/>
      <c r="BA596" s="325"/>
      <c r="BB596" s="325"/>
      <c r="BC596" s="325"/>
      <c r="BD596" s="325"/>
      <c r="BE596" s="325"/>
      <c r="BF596" s="325"/>
      <c r="BG596" s="325"/>
      <c r="BH596" s="325"/>
      <c r="BI596" s="325"/>
      <c r="BJ596" s="325"/>
      <c r="BK596" s="325"/>
      <c r="BL596" s="325"/>
      <c r="BM596" s="325"/>
      <c r="BN596" s="325"/>
      <c r="BO596" s="325"/>
      <c r="BP596" s="325"/>
      <c r="BQ596" s="325"/>
      <c r="BR596" s="325"/>
      <c r="BS596" s="325"/>
      <c r="BT596" s="325"/>
      <c r="BU596" s="325"/>
      <c r="BV596" s="325"/>
      <c r="BW596" s="325"/>
      <c r="BX596" s="325"/>
      <c r="BY596" s="325"/>
      <c r="BZ596" s="325"/>
      <c r="CA596" s="325"/>
      <c r="CB596" s="325"/>
      <c r="CC596" s="325"/>
      <c r="CD596" s="325"/>
      <c r="CE596" s="325"/>
      <c r="CF596" s="325"/>
      <c r="CG596" s="33" t="b">
        <f>CG594</f>
        <v>0</v>
      </c>
    </row>
    <row r="597" spans="1:85" ht="12.75" customHeight="1" thickBot="1" x14ac:dyDescent="0.3">
      <c r="A597" s="318"/>
      <c r="B597" s="22"/>
      <c r="C597" s="319"/>
      <c r="D597" s="320"/>
      <c r="E597" s="321"/>
      <c r="F597" s="319"/>
      <c r="G597" s="322"/>
      <c r="H597" s="322"/>
      <c r="I597" s="322"/>
      <c r="J597" s="322"/>
      <c r="K597" s="322"/>
      <c r="L597" s="322"/>
      <c r="M597" s="322"/>
      <c r="N597" s="322"/>
      <c r="O597" s="323"/>
      <c r="P597" s="301"/>
      <c r="Q597" s="23"/>
      <c r="R597" s="23"/>
      <c r="S597" s="41"/>
      <c r="T597" s="41"/>
      <c r="U597" s="324"/>
      <c r="V597" s="41"/>
      <c r="W597" s="41"/>
      <c r="X597" s="324"/>
      <c r="Y597" s="41"/>
      <c r="Z597" s="41"/>
      <c r="AA597" s="41"/>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c r="BD597" s="41"/>
      <c r="BE597" s="41"/>
      <c r="BF597" s="41"/>
      <c r="BG597" s="41"/>
      <c r="BH597" s="41"/>
      <c r="BI597" s="41"/>
      <c r="BJ597" s="41"/>
      <c r="BK597" s="41"/>
      <c r="BL597" s="41"/>
      <c r="BM597" s="325"/>
      <c r="BN597" s="325"/>
      <c r="BO597" s="325"/>
      <c r="BP597" s="325"/>
      <c r="BQ597" s="325"/>
      <c r="BR597" s="325"/>
      <c r="BS597" s="325"/>
      <c r="BT597" s="325"/>
      <c r="BU597" s="41"/>
      <c r="BV597" s="41"/>
      <c r="BW597" s="41"/>
      <c r="BX597" s="41"/>
      <c r="BY597" s="41"/>
      <c r="BZ597" s="41"/>
      <c r="CA597" s="41"/>
      <c r="CB597" s="41"/>
      <c r="CC597" s="41"/>
      <c r="CD597" s="41"/>
      <c r="CE597" s="41"/>
      <c r="CF597" s="41"/>
      <c r="CG597" s="41"/>
    </row>
    <row r="598" spans="1:85" ht="12.75" customHeight="1" thickBot="1" x14ac:dyDescent="0.3">
      <c r="A598" s="326"/>
      <c r="B598" s="22"/>
      <c r="C598" s="22"/>
      <c r="D598" s="327"/>
      <c r="E598" s="328"/>
      <c r="F598" s="22"/>
      <c r="G598" s="1"/>
      <c r="H598" s="1"/>
      <c r="I598" s="1"/>
      <c r="J598" s="1"/>
      <c r="K598" s="22"/>
      <c r="L598" s="1"/>
      <c r="M598" s="1"/>
      <c r="N598" s="1"/>
      <c r="O598" s="323"/>
      <c r="P598" s="301"/>
      <c r="Q598" s="23"/>
      <c r="R598" s="23"/>
      <c r="S598" s="2"/>
      <c r="T598" s="20" t="str">
        <f>IF(ISBLANK(E599),"",MATCH(E599,CNTR_SourceStreamNames,0))</f>
        <v/>
      </c>
      <c r="U598" s="329" t="str">
        <f>IF(ISBLANK(E599),"",INDEX('B_Polttoainevirtojen tiedot'!$D$67:$D$91,MATCH(E599,CNTR_SourceStreamNames,0)))</f>
        <v/>
      </c>
      <c r="V598" s="60"/>
      <c r="W598" s="37"/>
      <c r="X598" s="37"/>
      <c r="Y598" s="37"/>
      <c r="Z598" s="41"/>
      <c r="AA598" s="41"/>
      <c r="AB598" s="41"/>
      <c r="AC598" s="41"/>
      <c r="AD598" s="41"/>
      <c r="AE598" s="41"/>
      <c r="AF598" s="41"/>
      <c r="AG598" s="41"/>
      <c r="AH598" s="41"/>
      <c r="AI598" s="41"/>
      <c r="AJ598" s="41"/>
      <c r="AK598" s="23"/>
      <c r="AL598" s="41"/>
      <c r="AM598" s="41"/>
      <c r="AN598" s="41"/>
      <c r="AO598" s="41"/>
      <c r="AP598" s="41"/>
      <c r="AQ598" s="41"/>
      <c r="AR598" s="41"/>
      <c r="AS598" s="41"/>
      <c r="AT598" s="41"/>
      <c r="AU598" s="41"/>
      <c r="AV598" s="41"/>
      <c r="AW598" s="41"/>
      <c r="AX598" s="41"/>
      <c r="AY598" s="41"/>
      <c r="AZ598" s="41"/>
      <c r="BA598" s="41"/>
      <c r="BB598" s="41"/>
      <c r="BC598" s="41"/>
      <c r="BD598" s="41"/>
      <c r="BE598" s="41"/>
      <c r="BF598" s="41"/>
      <c r="BG598" s="41"/>
      <c r="BH598" s="41"/>
      <c r="BI598" s="41"/>
      <c r="BJ598" s="37"/>
      <c r="BK598" s="37"/>
      <c r="BL598" s="37"/>
      <c r="BM598" s="37"/>
      <c r="BN598" s="37"/>
      <c r="BO598" s="37"/>
      <c r="BP598" s="37"/>
      <c r="BQ598" s="37"/>
      <c r="BR598" s="37"/>
      <c r="BS598" s="37"/>
      <c r="BT598" s="37"/>
      <c r="BU598" s="37"/>
      <c r="BV598" s="37"/>
      <c r="BW598" s="37"/>
      <c r="BX598" s="37"/>
      <c r="BY598" s="37"/>
      <c r="BZ598" s="37"/>
      <c r="CA598" s="37"/>
      <c r="CB598" s="37"/>
      <c r="CC598" s="37"/>
      <c r="CD598" s="37"/>
      <c r="CE598" s="37"/>
      <c r="CF598" s="37"/>
      <c r="CG598" s="330" t="s">
        <v>94</v>
      </c>
    </row>
    <row r="599" spans="1:85" ht="15" customHeight="1" thickBot="1" x14ac:dyDescent="0.3">
      <c r="A599" s="331">
        <f>C599</f>
        <v>24</v>
      </c>
      <c r="B599" s="21"/>
      <c r="C599" s="332">
        <f>C575+1</f>
        <v>24</v>
      </c>
      <c r="D599" s="21"/>
      <c r="E599" s="1117"/>
      <c r="F599" s="1118"/>
      <c r="G599" s="1118"/>
      <c r="H599" s="1118"/>
      <c r="I599" s="1118"/>
      <c r="J599" s="1119"/>
      <c r="K599" s="1138" t="str">
        <f>IF(INDEX('B_Polttoainevirtojen tiedot'!$K$100:$K$124,MATCH(U598,'B_Polttoainevirtojen tiedot'!$D$100:$D$124,0))&gt;0,INDEX('B_Polttoainevirtojen tiedot'!$K$100:$K$124,MATCH(U598,'B_Polttoainevirtojen tiedot'!$D$100:$D$124,0)),"")</f>
        <v/>
      </c>
      <c r="L599" s="1139"/>
      <c r="M599" s="328" t="str">
        <f>Translations!$B$374</f>
        <v>CO2 fossiilinen:</v>
      </c>
      <c r="N599" s="401" t="str">
        <f>IF(E600="","",BG605)</f>
        <v/>
      </c>
      <c r="O599" s="333" t="str">
        <f>EUconst_tCO2</f>
        <v>tCO2</v>
      </c>
      <c r="P599" s="610" t="str">
        <f>IF(AND(E599&lt;&gt;"",COUNTIF(P600:$P$811,"PRINT")=0),"PRINT","")</f>
        <v/>
      </c>
      <c r="Q599" s="335" t="str">
        <f>EUconst_SumCO2</f>
        <v>SUM_CO2</v>
      </c>
      <c r="R599" s="23"/>
      <c r="S599" s="2"/>
      <c r="T599" s="2"/>
      <c r="U599" s="2"/>
      <c r="V599" s="60"/>
      <c r="W599" s="37"/>
      <c r="X599" s="41"/>
      <c r="Y599" s="41"/>
      <c r="Z599" s="41"/>
      <c r="AA599" s="41"/>
      <c r="AB599" s="41"/>
      <c r="AC599" s="41"/>
      <c r="AD599" s="41"/>
      <c r="AE599" s="41"/>
      <c r="AF599" s="41"/>
      <c r="AG599" s="41"/>
      <c r="AH599" s="41"/>
      <c r="AI599" s="337"/>
      <c r="AJ599" s="337"/>
      <c r="AK599" s="337"/>
      <c r="AL599" s="337"/>
      <c r="AM599" s="337"/>
      <c r="AN599" s="337"/>
      <c r="AO599" s="337"/>
      <c r="AP599" s="337"/>
      <c r="AQ599" s="337"/>
      <c r="AR599" s="337"/>
      <c r="AS599" s="337"/>
      <c r="AT599" s="337"/>
      <c r="AU599" s="337"/>
      <c r="AV599" s="337"/>
      <c r="AW599" s="337"/>
      <c r="AX599" s="337"/>
      <c r="AY599" s="337"/>
      <c r="AZ599" s="337"/>
      <c r="BA599" s="337"/>
      <c r="BB599" s="337"/>
      <c r="BC599" s="337"/>
      <c r="BD599" s="337"/>
      <c r="BE599" s="337"/>
      <c r="BF599" s="337"/>
      <c r="BG599" s="337"/>
      <c r="BH599" s="337"/>
      <c r="BI599" s="483" t="str">
        <f>IF(E599="","",E599)</f>
        <v/>
      </c>
      <c r="BJ599" s="338" t="str">
        <f>IF(F605="","",F605)</f>
        <v/>
      </c>
      <c r="BK599" s="485">
        <f>AV605</f>
        <v>0</v>
      </c>
      <c r="BL599" s="485">
        <f>IF(BK599="","",BK599*(1-BP599))</f>
        <v>0</v>
      </c>
      <c r="BM599" s="338" t="str">
        <f>AJ605</f>
        <v/>
      </c>
      <c r="BN599" s="338" t="str">
        <f>IF(F612="","",F612)</f>
        <v/>
      </c>
      <c r="BO599" s="483" t="str">
        <f>IF(G612="","",G612)</f>
        <v/>
      </c>
      <c r="BP599" s="484">
        <f>AV612</f>
        <v>0</v>
      </c>
      <c r="BQ599" s="338" t="str">
        <f>IF(F608="","",F608)</f>
        <v/>
      </c>
      <c r="BR599" s="484">
        <f>AV608</f>
        <v>0</v>
      </c>
      <c r="BS599" s="484" t="str">
        <f>AJ608</f>
        <v/>
      </c>
      <c r="BT599" s="338" t="str">
        <f>IF(F607="","",F607)</f>
        <v/>
      </c>
      <c r="BU599" s="484">
        <f>IF(F607=EUconst_NA,"",AV607)</f>
        <v>0</v>
      </c>
      <c r="BV599" s="484" t="str">
        <f>AJ607</f>
        <v/>
      </c>
      <c r="BW599" s="338" t="str">
        <f>IF(F609="","",F609)</f>
        <v/>
      </c>
      <c r="BX599" s="484">
        <f>AV609</f>
        <v>0</v>
      </c>
      <c r="BY599" s="338" t="str">
        <f>IF(F610="","",F610)</f>
        <v/>
      </c>
      <c r="BZ599" s="484">
        <f>AV610</f>
        <v>0</v>
      </c>
      <c r="CA599" s="485" t="str">
        <f>N599</f>
        <v/>
      </c>
      <c r="CB599" s="485" t="str">
        <f>N600</f>
        <v/>
      </c>
      <c r="CC599" s="485" t="str">
        <f>R602</f>
        <v/>
      </c>
      <c r="CD599" s="485" t="str">
        <f>R604</f>
        <v/>
      </c>
      <c r="CE599" s="485" t="str">
        <f>R605</f>
        <v/>
      </c>
      <c r="CF599" s="37"/>
      <c r="CG599" s="339" t="b">
        <v>0</v>
      </c>
    </row>
    <row r="600" spans="1:85" ht="15" customHeight="1" thickBot="1" x14ac:dyDescent="0.3">
      <c r="A600" s="318"/>
      <c r="B600" s="21"/>
      <c r="C600" s="21"/>
      <c r="D600" s="21"/>
      <c r="E600" s="1127" t="str">
        <f>IF(ISBLANK(E599),"",IF(INDEX('B_Polttoainevirtojen tiedot'!$E$67:$E$91,MATCH(U598,'B_Polttoainevirtojen tiedot'!$D$67:$D$91,0))&gt;0,INDEX('B_Polttoainevirtojen tiedot'!$E$67:$E$91,MATCH(U598,'B_Polttoainevirtojen tiedot'!$D$67:$D$91,0)),""))</f>
        <v/>
      </c>
      <c r="F600" s="1128"/>
      <c r="G600" s="1128"/>
      <c r="H600" s="1128"/>
      <c r="I600" s="1128"/>
      <c r="J600" s="1129"/>
      <c r="K600" s="1138" t="str">
        <f>IF(INDEX('B_Polttoainevirtojen tiedot'!$M$100:$M$124,MATCH(U598,'B_Polttoainevirtojen tiedot'!$D$100:$D$124,0))&gt;0,INDEX('B_Polttoainevirtojen tiedot'!$M$100:$M$124,MATCH(U598,'B_Polttoainevirtojen tiedot'!$D$100:$D$124,0)),"")</f>
        <v/>
      </c>
      <c r="L600" s="1139"/>
      <c r="M600" s="340" t="str">
        <f>Translations!$B$375</f>
        <v>CO2 bio:</v>
      </c>
      <c r="N600" s="482" t="str">
        <f>IF(E600="","",BG607)</f>
        <v/>
      </c>
      <c r="O600" s="341" t="str">
        <f>EUconst_tCO2</f>
        <v>tCO2</v>
      </c>
      <c r="P600" s="301"/>
      <c r="Q600" s="335" t="str">
        <f>EUconst_SumBioCO2</f>
        <v>SUM_bioCO2</v>
      </c>
      <c r="R600" s="23"/>
      <c r="S600" s="2"/>
      <c r="T600" s="2"/>
      <c r="U600" s="2"/>
      <c r="V600" s="60"/>
      <c r="W600" s="37"/>
      <c r="X600" s="41"/>
      <c r="Y600" s="20" t="str">
        <f>Translations!$B$143</f>
        <v>Määrittämistasot</v>
      </c>
      <c r="Z600" s="325"/>
      <c r="AA600" s="325"/>
      <c r="AB600" s="325"/>
      <c r="AC600" s="325"/>
      <c r="AD600" s="325"/>
      <c r="AE600" s="20" t="s">
        <v>95</v>
      </c>
      <c r="AF600" s="41"/>
      <c r="AG600" s="342"/>
      <c r="AH600" s="325"/>
      <c r="AI600" s="325"/>
      <c r="AJ600" s="342"/>
      <c r="AK600" s="342"/>
      <c r="AL600" s="337"/>
      <c r="AM600" s="337"/>
      <c r="AN600" s="337"/>
      <c r="AO600" s="337"/>
      <c r="AP600" s="337"/>
      <c r="AQ600" s="20" t="s">
        <v>96</v>
      </c>
      <c r="AR600" s="343"/>
      <c r="AS600" s="343"/>
      <c r="AT600" s="325"/>
      <c r="AU600" s="325"/>
      <c r="AV600" s="325"/>
      <c r="AW600" s="325"/>
      <c r="AX600" s="325"/>
      <c r="AY600" s="325"/>
      <c r="AZ600" s="20" t="s">
        <v>97</v>
      </c>
      <c r="BA600" s="325"/>
      <c r="BB600" s="325"/>
      <c r="BC600" s="325"/>
      <c r="BD600" s="325"/>
      <c r="BE600" s="325"/>
      <c r="BF600" s="20" t="s">
        <v>98</v>
      </c>
      <c r="BG600" s="325"/>
      <c r="BH600" s="325"/>
      <c r="BI600" s="20" t="s">
        <v>99</v>
      </c>
      <c r="BJ600" s="338" t="str">
        <f>Translations!$B$376</f>
        <v>RFA-määrittämistaso</v>
      </c>
      <c r="BK600" s="338" t="str">
        <f>Translations!$B$377</f>
        <v>RFA</v>
      </c>
      <c r="BL600" s="338" t="str">
        <f>Translations!$B$378</f>
        <v>RFA (SF:n jälkeen)</v>
      </c>
      <c r="BM600" s="338" t="str">
        <f>Translations!$B$379</f>
        <v>RFA-yksikkö</v>
      </c>
      <c r="BN600" s="338" t="str">
        <f>Translations!$B$380</f>
        <v>SF-määrittämistaso</v>
      </c>
      <c r="BO600" s="338" t="str">
        <f>Translations!$B$380</f>
        <v>SF-määrittämistaso</v>
      </c>
      <c r="BP600" s="338" t="str">
        <f>Translations!$B$381</f>
        <v>SF</v>
      </c>
      <c r="BQ600" s="338" t="str">
        <f>Translations!$B$382</f>
        <v>EF-määrittämistaso</v>
      </c>
      <c r="BR600" s="338" t="str">
        <f>Translations!$B$383</f>
        <v>EF</v>
      </c>
      <c r="BS600" s="338" t="str">
        <f>Translations!$B$384</f>
        <v>EF-yksikkö</v>
      </c>
      <c r="BT600" s="338" t="str">
        <f>Translations!$B$385</f>
        <v>UCF-määrittämistaso</v>
      </c>
      <c r="BU600" s="338" t="str">
        <f>Translations!$B$386</f>
        <v>UCF</v>
      </c>
      <c r="BV600" s="338" t="str">
        <f>Translations!$B$387</f>
        <v>UCF-yksikkö</v>
      </c>
      <c r="BW600" s="338" t="str">
        <f>Translations!$B$388</f>
        <v>Bio-määrittämistaso</v>
      </c>
      <c r="BX600" s="338" t="s">
        <v>100</v>
      </c>
      <c r="BY600" s="338" t="str">
        <f>Translations!$B$389</f>
        <v>NonSustBio-määrittämistaso</v>
      </c>
      <c r="BZ600" s="338" t="s">
        <v>101</v>
      </c>
      <c r="CA600" s="338" t="str">
        <f>Translations!$B$390</f>
        <v>CO2 fossil</v>
      </c>
      <c r="CB600" s="338" t="str">
        <f>Translations!$B$391</f>
        <v>CO2 bio</v>
      </c>
      <c r="CC600" s="338" t="str">
        <f>Translations!$B$392</f>
        <v>CO2 non-sust</v>
      </c>
      <c r="CD600" s="338" t="s">
        <v>102</v>
      </c>
      <c r="CE600" s="338" t="s">
        <v>103</v>
      </c>
      <c r="CF600" s="325"/>
      <c r="CG600" s="325"/>
    </row>
    <row r="601" spans="1:85" ht="5.15" customHeight="1" thickBot="1" x14ac:dyDescent="0.3">
      <c r="A601" s="318"/>
      <c r="B601" s="21"/>
      <c r="C601" s="21"/>
      <c r="D601" s="21"/>
      <c r="E601" s="21"/>
      <c r="F601" s="21"/>
      <c r="G601" s="21"/>
      <c r="H601" s="22"/>
      <c r="I601" s="22"/>
      <c r="J601" s="22"/>
      <c r="K601" s="22"/>
      <c r="L601" s="22"/>
      <c r="M601" s="22"/>
      <c r="N601" s="22"/>
      <c r="O601" s="323"/>
      <c r="P601" s="301"/>
      <c r="Q601" s="23"/>
      <c r="R601" s="23"/>
      <c r="S601" s="2"/>
      <c r="T601" s="2"/>
      <c r="U601" s="2"/>
      <c r="V601" s="60"/>
      <c r="W601" s="325"/>
      <c r="X601" s="325"/>
      <c r="Y601" s="23"/>
      <c r="Z601" s="325"/>
      <c r="AA601" s="325"/>
      <c r="AB601" s="325"/>
      <c r="AC601" s="325"/>
      <c r="AD601" s="325"/>
      <c r="AE601" s="325"/>
      <c r="AF601" s="41"/>
      <c r="AG601" s="325"/>
      <c r="AH601" s="325"/>
      <c r="AI601" s="325"/>
      <c r="AJ601" s="342"/>
      <c r="AK601" s="342"/>
      <c r="AL601" s="337"/>
      <c r="AM601" s="337"/>
      <c r="AN601" s="337"/>
      <c r="AO601" s="337"/>
      <c r="AP601" s="337"/>
      <c r="AQ601" s="325"/>
      <c r="AR601" s="325"/>
      <c r="AS601" s="325"/>
      <c r="AT601" s="325"/>
      <c r="AU601" s="325"/>
      <c r="AV601" s="325"/>
      <c r="AW601" s="325"/>
      <c r="AX601" s="325"/>
      <c r="AY601" s="325"/>
      <c r="AZ601" s="325"/>
      <c r="BA601" s="325"/>
      <c r="BB601" s="325"/>
      <c r="BC601" s="325"/>
      <c r="BD601" s="325"/>
      <c r="BE601" s="325"/>
      <c r="BF601" s="325"/>
      <c r="BG601" s="325"/>
      <c r="BH601" s="325"/>
      <c r="BI601" s="325"/>
      <c r="BJ601" s="325"/>
      <c r="BK601" s="325"/>
      <c r="BL601" s="325"/>
      <c r="BM601" s="325"/>
      <c r="BN601" s="325"/>
      <c r="BO601" s="325"/>
      <c r="BP601" s="325"/>
      <c r="BQ601" s="325"/>
      <c r="BR601" s="325"/>
      <c r="BS601" s="325"/>
      <c r="BT601" s="325"/>
      <c r="BU601" s="325"/>
      <c r="BV601" s="325"/>
      <c r="BW601" s="325"/>
      <c r="BX601" s="325"/>
      <c r="BY601" s="325"/>
      <c r="BZ601" s="325"/>
      <c r="CA601" s="325"/>
      <c r="CB601" s="325"/>
      <c r="CC601" s="325"/>
      <c r="CD601" s="325"/>
      <c r="CE601" s="325"/>
      <c r="CF601" s="325"/>
      <c r="CG601" s="325"/>
    </row>
    <row r="602" spans="1:85" ht="12.75" customHeight="1" thickBot="1" x14ac:dyDescent="0.3">
      <c r="A602" s="318"/>
      <c r="B602" s="21"/>
      <c r="C602" s="21"/>
      <c r="D602" s="21"/>
      <c r="E602" s="1140" t="str">
        <f>IF(E599="","",HYPERLINK("#JUMP_E_Top",EUconst_FurtherGuidancePoint1))</f>
        <v/>
      </c>
      <c r="F602" s="1140"/>
      <c r="G602" s="1140"/>
      <c r="H602" s="1140"/>
      <c r="I602" s="1140"/>
      <c r="J602" s="1140"/>
      <c r="K602" s="1140"/>
      <c r="L602" s="1140"/>
      <c r="M602" s="1140"/>
      <c r="N602" s="22"/>
      <c r="O602" s="323"/>
      <c r="P602" s="301"/>
      <c r="Q602" s="335" t="str">
        <f>EUconst_SumNonSustBioCO2</f>
        <v>SUM_bioNonSustCO2</v>
      </c>
      <c r="R602" s="500" t="str">
        <f>IF(E600="","",BG608)</f>
        <v/>
      </c>
      <c r="S602" s="2"/>
      <c r="T602" s="2"/>
      <c r="U602" s="2"/>
      <c r="V602" s="325"/>
      <c r="W602" s="325"/>
      <c r="X602" s="325"/>
      <c r="Y602" s="41"/>
      <c r="Z602" s="325"/>
      <c r="AA602" s="325"/>
      <c r="AB602" s="325"/>
      <c r="AC602" s="325"/>
      <c r="AD602" s="325"/>
      <c r="AE602" s="325"/>
      <c r="AF602" s="41"/>
      <c r="AG602" s="325"/>
      <c r="AH602" s="325"/>
      <c r="AI602" s="325"/>
      <c r="AJ602" s="342"/>
      <c r="AK602" s="342"/>
      <c r="AL602" s="337"/>
      <c r="AM602" s="337"/>
      <c r="AN602" s="337"/>
      <c r="AO602" s="337"/>
      <c r="AP602" s="337"/>
      <c r="AQ602" s="325"/>
      <c r="AR602" s="325"/>
      <c r="AS602" s="325"/>
      <c r="AT602" s="325"/>
      <c r="AU602" s="325"/>
      <c r="AV602" s="325"/>
      <c r="AW602" s="325"/>
      <c r="AX602" s="325"/>
      <c r="AY602" s="325"/>
      <c r="AZ602" s="325"/>
      <c r="BA602" s="325"/>
      <c r="BB602" s="325"/>
      <c r="BC602" s="325"/>
      <c r="BD602" s="325"/>
      <c r="BE602" s="325"/>
      <c r="BF602" s="325"/>
      <c r="BG602" s="325"/>
      <c r="BH602" s="325"/>
      <c r="BI602" s="20" t="s">
        <v>104</v>
      </c>
      <c r="BJ602" s="343"/>
      <c r="BK602" s="483" t="str">
        <f>IF(G616="","",G616)</f>
        <v/>
      </c>
      <c r="BL602" s="483" t="str">
        <f>IF(I616="","",I616)</f>
        <v/>
      </c>
      <c r="BM602" s="483" t="str">
        <f>IF(K616="","",K616)</f>
        <v/>
      </c>
      <c r="BN602" s="325"/>
      <c r="BO602" s="325"/>
      <c r="BP602" s="325"/>
      <c r="BQ602" s="325"/>
      <c r="BR602" s="325"/>
      <c r="BS602" s="325"/>
      <c r="BT602" s="330"/>
      <c r="BU602" s="325"/>
      <c r="BV602" s="325"/>
      <c r="BW602" s="325"/>
      <c r="BX602" s="325"/>
      <c r="BY602" s="325"/>
      <c r="BZ602" s="325"/>
      <c r="CA602" s="325"/>
      <c r="CB602" s="325"/>
      <c r="CC602" s="325"/>
      <c r="CD602" s="325"/>
      <c r="CE602" s="325"/>
      <c r="CF602" s="325"/>
      <c r="CG602" s="325"/>
    </row>
    <row r="603" spans="1:85" ht="5.15" customHeight="1" thickBot="1" x14ac:dyDescent="0.3">
      <c r="A603" s="318"/>
      <c r="B603" s="21"/>
      <c r="C603" s="21"/>
      <c r="D603" s="21"/>
      <c r="E603" s="21"/>
      <c r="F603" s="21"/>
      <c r="G603" s="21"/>
      <c r="H603" s="22"/>
      <c r="I603" s="22"/>
      <c r="J603" s="22"/>
      <c r="K603" s="22"/>
      <c r="L603" s="22"/>
      <c r="M603" s="22"/>
      <c r="N603" s="22"/>
      <c r="O603" s="323"/>
      <c r="P603" s="259"/>
      <c r="Q603" s="2"/>
      <c r="R603" s="259"/>
      <c r="S603" s="2"/>
      <c r="T603" s="2"/>
      <c r="U603" s="2"/>
      <c r="V603" s="325"/>
      <c r="W603" s="325"/>
      <c r="X603" s="325"/>
      <c r="Y603" s="23"/>
      <c r="Z603" s="325"/>
      <c r="AA603" s="325"/>
      <c r="AB603" s="325"/>
      <c r="AC603" s="325"/>
      <c r="AD603" s="325"/>
      <c r="AE603" s="325"/>
      <c r="AF603" s="41"/>
      <c r="AG603" s="325"/>
      <c r="AH603" s="325"/>
      <c r="AI603" s="325"/>
      <c r="AJ603" s="342"/>
      <c r="AK603" s="342"/>
      <c r="AL603" s="337"/>
      <c r="AM603" s="337"/>
      <c r="AN603" s="337"/>
      <c r="AO603" s="337"/>
      <c r="AP603" s="337"/>
      <c r="AQ603" s="325"/>
      <c r="AR603" s="325"/>
      <c r="AS603" s="325"/>
      <c r="AT603" s="325"/>
      <c r="AU603" s="325"/>
      <c r="AV603" s="325"/>
      <c r="AW603" s="325"/>
      <c r="AX603" s="325"/>
      <c r="AY603" s="325"/>
      <c r="AZ603" s="325"/>
      <c r="BA603" s="325"/>
      <c r="BB603" s="325"/>
      <c r="BC603" s="325"/>
      <c r="BD603" s="325"/>
      <c r="BE603" s="325"/>
      <c r="BF603" s="325"/>
      <c r="BG603" s="325"/>
      <c r="BH603" s="325"/>
      <c r="BI603" s="325"/>
      <c r="BJ603" s="325"/>
      <c r="BK603" s="325"/>
      <c r="BL603" s="325"/>
      <c r="BM603" s="325"/>
      <c r="BN603" s="325"/>
      <c r="BO603" s="325"/>
      <c r="BP603" s="325"/>
      <c r="BQ603" s="325"/>
      <c r="BR603" s="325"/>
      <c r="BS603" s="325"/>
      <c r="BT603" s="325"/>
      <c r="BU603" s="325"/>
      <c r="BV603" s="325"/>
      <c r="BW603" s="325"/>
      <c r="BX603" s="325"/>
      <c r="BY603" s="325"/>
      <c r="BZ603" s="325"/>
      <c r="CA603" s="325"/>
      <c r="CB603" s="325"/>
      <c r="CC603" s="325"/>
      <c r="CD603" s="325"/>
      <c r="CE603" s="325"/>
      <c r="CF603" s="325"/>
      <c r="CG603" s="325"/>
    </row>
    <row r="604" spans="1:85" ht="12.75" customHeight="1" thickBot="1" x14ac:dyDescent="0.3">
      <c r="A604" s="318"/>
      <c r="B604" s="21"/>
      <c r="C604" s="21"/>
      <c r="D604" s="21"/>
      <c r="E604" s="21"/>
      <c r="F604" s="347" t="str">
        <f>Translations!$B$127</f>
        <v>Määrittämistaso</v>
      </c>
      <c r="G604" s="1141" t="str">
        <f>Translations!$B$393</f>
        <v>määrittämistason kuvaus</v>
      </c>
      <c r="H604" s="1141"/>
      <c r="I604" s="1142" t="str">
        <f>Translations!$B$394</f>
        <v>Yksikkö</v>
      </c>
      <c r="J604" s="1142"/>
      <c r="K604" s="1142" t="str">
        <f>Translations!$B$395</f>
        <v>Arvo</v>
      </c>
      <c r="L604" s="1142"/>
      <c r="M604" s="327" t="str">
        <f>Translations!$B$396</f>
        <v>virhe</v>
      </c>
      <c r="N604" s="22"/>
      <c r="O604" s="323"/>
      <c r="P604" s="611"/>
      <c r="Q604" s="335" t="str">
        <f>EUconst_SumEnergyIN</f>
        <v>SUM_EnergyIN</v>
      </c>
      <c r="R604" s="501" t="str">
        <f>IF(E600="","",BG609)</f>
        <v/>
      </c>
      <c r="S604" s="325"/>
      <c r="T604" s="325"/>
      <c r="U604" s="325"/>
      <c r="V604" s="336" t="s">
        <v>105</v>
      </c>
      <c r="W604" s="325"/>
      <c r="X604" s="325"/>
      <c r="Y604" s="23" t="s">
        <v>106</v>
      </c>
      <c r="Z604" s="23" t="s">
        <v>107</v>
      </c>
      <c r="AA604" s="325"/>
      <c r="AB604" s="325"/>
      <c r="AC604" s="343" t="s">
        <v>108</v>
      </c>
      <c r="AD604" s="325"/>
      <c r="AE604" s="325"/>
      <c r="AF604" s="325" t="s">
        <v>109</v>
      </c>
      <c r="AG604" s="325" t="s">
        <v>110</v>
      </c>
      <c r="AH604" s="23" t="s">
        <v>111</v>
      </c>
      <c r="AI604" s="342" t="s">
        <v>112</v>
      </c>
      <c r="AJ604" s="342" t="s">
        <v>113</v>
      </c>
      <c r="AK604" s="348" t="s">
        <v>114</v>
      </c>
      <c r="AL604" s="337"/>
      <c r="AM604" s="337"/>
      <c r="AN604" s="337"/>
      <c r="AO604" s="337"/>
      <c r="AP604" s="337"/>
      <c r="AQ604" s="325"/>
      <c r="AR604" s="325" t="s">
        <v>109</v>
      </c>
      <c r="AS604" s="325" t="s">
        <v>110</v>
      </c>
      <c r="AT604" s="349" t="s">
        <v>115</v>
      </c>
      <c r="AU604" s="342" t="s">
        <v>116</v>
      </c>
      <c r="AV604" s="342" t="s">
        <v>117</v>
      </c>
      <c r="AW604" s="348" t="s">
        <v>114</v>
      </c>
      <c r="AX604" s="348" t="s">
        <v>114</v>
      </c>
      <c r="AY604" s="325"/>
      <c r="AZ604" s="325"/>
      <c r="BA604" s="325"/>
      <c r="BB604" s="325" t="s">
        <v>118</v>
      </c>
      <c r="BC604" s="325"/>
      <c r="BD604" s="325"/>
      <c r="BE604" s="325"/>
      <c r="BF604" s="325"/>
      <c r="BG604" s="330" t="str">
        <f>EUconst_Fuel</f>
        <v>Poltto</v>
      </c>
      <c r="BH604" s="325"/>
      <c r="BI604" s="325"/>
      <c r="BJ604" s="325"/>
      <c r="BK604" s="325"/>
      <c r="BL604" s="325"/>
      <c r="BM604" s="325"/>
      <c r="BN604" s="325"/>
      <c r="BO604" s="325"/>
      <c r="BP604" s="325"/>
      <c r="BQ604" s="325"/>
      <c r="BR604" s="325"/>
      <c r="BS604" s="325"/>
      <c r="BT604" s="325"/>
      <c r="BU604" s="325"/>
      <c r="BV604" s="325"/>
      <c r="BW604" s="325"/>
      <c r="BX604" s="325"/>
      <c r="BY604" s="325"/>
      <c r="BZ604" s="325"/>
      <c r="CA604" s="325"/>
      <c r="CB604" s="325"/>
      <c r="CC604" s="325"/>
      <c r="CD604" s="325"/>
      <c r="CE604" s="325"/>
      <c r="CF604" s="325"/>
      <c r="CG604" s="330" t="s">
        <v>94</v>
      </c>
    </row>
    <row r="605" spans="1:85" ht="12.75" customHeight="1" thickBot="1" x14ac:dyDescent="0.3">
      <c r="A605" s="318"/>
      <c r="B605" s="21"/>
      <c r="C605" s="344"/>
      <c r="D605" s="345" t="str">
        <f>Translations!$B$356</f>
        <v>Polttoaineen määrä:</v>
      </c>
      <c r="E605" s="350"/>
      <c r="F605" s="351"/>
      <c r="G605" s="1120" t="str">
        <f>IF(OR(ISBLANK(F605),F605=EUconst_NoTier),"",IF(Z605=0,EUconst_NA,IF(ISERROR(Z605),"",Z605)))</f>
        <v/>
      </c>
      <c r="H605" s="1122"/>
      <c r="I605" s="352" t="str">
        <f>IF(J605&lt;&gt;"","",AI605)</f>
        <v/>
      </c>
      <c r="J605" s="353"/>
      <c r="K605" s="1143"/>
      <c r="L605" s="1144"/>
      <c r="M605" s="486" t="str">
        <f>IF(AND(E600&lt;&gt;"",OR(F605="",COUNT(K605)=0),Y605&lt;&gt;EUconst_NA),EUconst_ERR_Incomplete,"")</f>
        <v/>
      </c>
      <c r="N605" s="22"/>
      <c r="O605" s="323"/>
      <c r="P605" s="612"/>
      <c r="Q605" s="335" t="str">
        <f>EUconst_SumBioEnergyIN</f>
        <v>SUM_BioEnergyIN</v>
      </c>
      <c r="R605" s="501" t="str">
        <f>IF(E600="","",BG610)</f>
        <v/>
      </c>
      <c r="S605" s="325"/>
      <c r="T605" s="355" t="str">
        <f>EUconst_CNTR_ActivityData&amp;E600</f>
        <v>ActivityData_</v>
      </c>
      <c r="U605" s="23"/>
      <c r="V605" s="355" t="str">
        <f>IF(E599="","",INDEX('B_Polttoainevirtojen tiedot'!$I$67:$I$91,MATCH(U598,'B_Polttoainevirtojen tiedot'!$D$67:$D$91,0)))</f>
        <v/>
      </c>
      <c r="W605" s="342" t="s">
        <v>121</v>
      </c>
      <c r="X605" s="23"/>
      <c r="Y605" s="356" t="str">
        <f>IF(E600="","",INDEX(EUwideConstants!$P$153:$P$180,MATCH(T605,EUwideConstants!$S$153:$S$180,0)))</f>
        <v/>
      </c>
      <c r="Z605" s="357" t="str">
        <f>IF(ISBLANK(F605),"",IF(F605=EUconst_NA,"",INDEX(EUwideConstants!$H:$O,MATCH(T605,EUwideConstants!$S:$S,0),MATCH(F605,CNTR_TierList,0))))</f>
        <v/>
      </c>
      <c r="AA605" s="358" t="s">
        <v>111</v>
      </c>
      <c r="AB605" s="342"/>
      <c r="AC605" s="339" t="b">
        <f>E599&lt;&gt;""</f>
        <v>0</v>
      </c>
      <c r="AD605" s="325"/>
      <c r="AE605" s="359" t="str">
        <f>EUconst_CNTR_ActivityData&amp;EUconst_Unit</f>
        <v>ActivityData_Yksikkö</v>
      </c>
      <c r="AF605" s="360" t="str">
        <f>IF(AC605=TRUE, IF(COUNTIF(MSPara_SourceStreamCategory,V605)=0,"",INDEX(MSPara_CalcFactorsMatrix,MATCH(V605,MSPara_SourceStreamCategory,0),MATCH(AE605&amp;"_"&amp;2,MSPara_CalcFactors,0))),"")</f>
        <v/>
      </c>
      <c r="AG605" s="361" t="str">
        <f>IF(AC605=TRUE, IF(COUNTIF(MSPara_SourceStreamCategory,V605)=0,"",INDEX(MSPara_CalcFactorsMatrix,MATCH(V605,MSPara_SourceStreamCategory,0),MATCH(AE605&amp;"_"&amp;1,MSPara_CalcFactors,0))),"")</f>
        <v/>
      </c>
      <c r="AH605" s="339" t="str">
        <f>IF(OR(AF605="",AF605=EUconst_NA),IF(OR(AG605=EUconst_NA,AG605=""),"",AG605),AF605)</f>
        <v/>
      </c>
      <c r="AI605" s="356" t="str">
        <f>IF(AC605=TRUE,IF(AH605="",EUconst_t,AH605),"")</f>
        <v/>
      </c>
      <c r="AJ605" s="362" t="str">
        <f>IF(J605="",AI605,J605)</f>
        <v/>
      </c>
      <c r="AK605" s="363" t="b">
        <f>AND(E599&lt;&gt;"",J605&lt;&gt;"")</f>
        <v>0</v>
      </c>
      <c r="AL605" s="337"/>
      <c r="AM605" s="404" t="s">
        <v>122</v>
      </c>
      <c r="AN605" s="403" t="str">
        <f>AJ605</f>
        <v/>
      </c>
      <c r="AO605" s="337"/>
      <c r="AP605" s="337"/>
      <c r="AQ605" s="355" t="str">
        <f>EUconst_CNTR_ActivityData&amp;EUconst_Value</f>
        <v>ActivityData_Arvo</v>
      </c>
      <c r="AR605" s="343"/>
      <c r="AS605" s="343"/>
      <c r="AT605" s="339" t="b">
        <f>AND(AND(AH605&lt;&gt;"",AJ605&lt;&gt;""),AJ605=AH605)</f>
        <v>0</v>
      </c>
      <c r="AU605" s="325"/>
      <c r="AV605" s="339">
        <f>IF(Y605=EUconst_NA,0,IF(COUNT(K605:K605)=0,0,IF(K605="",#REF!,K605)))</f>
        <v>0</v>
      </c>
      <c r="AW605" s="346" t="b">
        <f>AND(AC605=TRUE,OR(K605&lt;&gt;"",AU605=""))</f>
        <v>0</v>
      </c>
      <c r="AX605" s="346" t="b">
        <f>AND(AC605=TRUE,NOT(AW605))</f>
        <v>0</v>
      </c>
      <c r="AY605" s="325"/>
      <c r="AZ605" s="325" t="s">
        <v>123</v>
      </c>
      <c r="BA605" s="325" t="s">
        <v>124</v>
      </c>
      <c r="BB605" s="346"/>
      <c r="BC605" s="325" t="s">
        <v>125</v>
      </c>
      <c r="BD605" s="325"/>
      <c r="BE605" s="325"/>
      <c r="BF605" s="400" t="str">
        <f>Translations!$B$390</f>
        <v>CO2 fossil</v>
      </c>
      <c r="BG605" s="495" t="str">
        <f>IF(COUNTIF(AO608:AO609,TRUE)=0,"",AV605*IF(AO608,1,AV607*AN609)*AV608*(1-AV609)*AV612)</f>
        <v/>
      </c>
      <c r="BH605" s="325"/>
      <c r="BI605" s="325"/>
      <c r="BJ605" s="325"/>
      <c r="BK605" s="325"/>
      <c r="BL605" s="325"/>
      <c r="BM605" s="325"/>
      <c r="BN605" s="325"/>
      <c r="BO605" s="325"/>
      <c r="BP605" s="325"/>
      <c r="BQ605" s="325"/>
      <c r="BR605" s="325"/>
      <c r="BS605" s="325"/>
      <c r="BT605" s="325"/>
      <c r="BU605" s="325"/>
      <c r="BV605" s="325"/>
      <c r="BW605" s="325"/>
      <c r="BX605" s="325"/>
      <c r="BY605" s="325"/>
      <c r="BZ605" s="325"/>
      <c r="CA605" s="325"/>
      <c r="CB605" s="325"/>
      <c r="CC605" s="325"/>
      <c r="CD605" s="325"/>
      <c r="CE605" s="325"/>
      <c r="CF605" s="325"/>
      <c r="CG605" s="346" t="b">
        <v>0</v>
      </c>
    </row>
    <row r="606" spans="1:85" ht="5.15" customHeight="1" thickBot="1" x14ac:dyDescent="0.3">
      <c r="A606" s="318"/>
      <c r="B606" s="21"/>
      <c r="C606" s="344"/>
      <c r="D606" s="188"/>
      <c r="E606" s="22"/>
      <c r="F606" s="22"/>
      <c r="G606" s="22"/>
      <c r="H606" s="22" t="str">
        <f>Translations!$B$397</f>
        <v xml:space="preserve"> </v>
      </c>
      <c r="I606" s="364"/>
      <c r="J606" s="364"/>
      <c r="K606" s="22"/>
      <c r="L606" s="22"/>
      <c r="M606" s="487"/>
      <c r="N606" s="22"/>
      <c r="O606" s="323"/>
      <c r="P606" s="301"/>
      <c r="Q606" s="23"/>
      <c r="R606" s="23"/>
      <c r="S606" s="325"/>
      <c r="T606" s="277"/>
      <c r="U606" s="23"/>
      <c r="V606" s="325"/>
      <c r="W606" s="325"/>
      <c r="X606" s="23"/>
      <c r="Y606" s="330"/>
      <c r="Z606" s="325"/>
      <c r="AA606" s="325"/>
      <c r="AB606" s="325"/>
      <c r="AC606" s="325"/>
      <c r="AD606" s="325"/>
      <c r="AE606" s="325"/>
      <c r="AF606" s="325"/>
      <c r="AG606" s="325"/>
      <c r="AH606" s="325"/>
      <c r="AI606" s="325"/>
      <c r="AJ606" s="325"/>
      <c r="AK606" s="325"/>
      <c r="AL606" s="337"/>
      <c r="AM606" s="337"/>
      <c r="AN606" s="337"/>
      <c r="AO606" s="337"/>
      <c r="AP606" s="337"/>
      <c r="AQ606" s="325"/>
      <c r="AR606" s="325"/>
      <c r="AS606" s="325"/>
      <c r="AT606" s="325"/>
      <c r="AU606" s="325"/>
      <c r="AV606" s="325"/>
      <c r="AW606" s="325"/>
      <c r="AX606" s="325"/>
      <c r="AY606" s="325"/>
      <c r="AZ606" s="325"/>
      <c r="BA606" s="325"/>
      <c r="BB606" s="325"/>
      <c r="BC606" s="325"/>
      <c r="BD606" s="325"/>
      <c r="BE606" s="325"/>
      <c r="BF606" s="325"/>
      <c r="BG606" s="496"/>
      <c r="BH606" s="325"/>
      <c r="BI606" s="325"/>
      <c r="BJ606" s="325"/>
      <c r="BK606" s="325"/>
      <c r="BL606" s="325"/>
      <c r="BM606" s="325"/>
      <c r="BN606" s="325"/>
      <c r="BO606" s="325"/>
      <c r="BP606" s="325"/>
      <c r="BQ606" s="325"/>
      <c r="BR606" s="325"/>
      <c r="BS606" s="325"/>
      <c r="BT606" s="325"/>
      <c r="BU606" s="325"/>
      <c r="BV606" s="325"/>
      <c r="BW606" s="325"/>
      <c r="BX606" s="325"/>
      <c r="BY606" s="325"/>
      <c r="BZ606" s="325"/>
      <c r="CA606" s="325"/>
      <c r="CB606" s="325"/>
      <c r="CC606" s="325"/>
      <c r="CD606" s="325"/>
      <c r="CE606" s="325"/>
      <c r="CF606" s="325"/>
      <c r="CG606" s="330"/>
    </row>
    <row r="607" spans="1:85" ht="12.75" customHeight="1" thickBot="1" x14ac:dyDescent="0.3">
      <c r="A607" s="318"/>
      <c r="B607" s="21"/>
      <c r="C607" s="344"/>
      <c r="D607" s="345" t="str">
        <f>Translations!$B$360</f>
        <v>Yksikön muuntokerroin:</v>
      </c>
      <c r="E607" s="350"/>
      <c r="F607" s="443"/>
      <c r="G607" s="1120" t="str">
        <f>IF(OR(ISBLANK(F607),F607=EUconst_NoTier),"",IF(Z607=0,EUconst_NotApplicable,IF(ISERROR(Z607),"",Z607)))</f>
        <v/>
      </c>
      <c r="H607" s="1122"/>
      <c r="I607" s="444" t="str">
        <f>IF(J607&lt;&gt;"","",AI607)</f>
        <v/>
      </c>
      <c r="J607" s="445"/>
      <c r="K607" s="632" t="str">
        <f>IF(L607="",AU607,"")</f>
        <v/>
      </c>
      <c r="L607" s="633"/>
      <c r="M607" s="486" t="str">
        <f>IF(AND(E600&lt;&gt;"",OR(F607="",COUNT(K607:L607)=0),Y607&lt;&gt;EUconst_NA),EUconst_ERR_Incomplete,IF(COUNTIF(BB607:BD607,TRUE)&gt;0,EUconst_ERR_Inconsistent,""))</f>
        <v/>
      </c>
      <c r="N607" s="752"/>
      <c r="O607" s="323"/>
      <c r="P607" s="301"/>
      <c r="Q607" s="23"/>
      <c r="R607" s="23"/>
      <c r="S607" s="325"/>
      <c r="T607" s="365" t="str">
        <f>EUconst_CNTR_UCF&amp;E600</f>
        <v>UCF_</v>
      </c>
      <c r="U607" s="23"/>
      <c r="V607" s="366" t="str">
        <f>V608</f>
        <v/>
      </c>
      <c r="W607" s="325"/>
      <c r="X607" s="23"/>
      <c r="Y607" s="448" t="str">
        <f>IF(E600="","",IF(OR(F607=EUconst_NA,W607=TRUE),EUconst_NA,INDEX(EUwideConstants!$P$153:$P$180,MATCH(T607,EUwideConstants!$S$153:$S$180,0))))</f>
        <v/>
      </c>
      <c r="Z607" s="471" t="str">
        <f>IF(ISBLANK(F607),"",IF(F607=EUconst_NA,"",INDEX(EUwideConstants!$H:$O,MATCH(T607,EUwideConstants!$S:$S,0),MATCH(F607,CNTR_TierList,0))))</f>
        <v/>
      </c>
      <c r="AA607" s="449" t="str">
        <f>IF(COUNTIF(EUconst_DefaultValues,Z607)&gt;0,MATCH(Z607,EUconst_DefaultValues,0),"")</f>
        <v/>
      </c>
      <c r="AB607" s="325"/>
      <c r="AC607" s="367" t="b">
        <f>AND(AC605,Y607&lt;&gt;EUconst_NA)</f>
        <v>0</v>
      </c>
      <c r="AD607" s="325"/>
      <c r="AE607" s="359" t="str">
        <f>EUconst_CNTR_UCF&amp;EUconst_Unit</f>
        <v>UCF_Yksikkö</v>
      </c>
      <c r="AF607" s="368" t="str">
        <f>IF(AC607=TRUE, IF(COUNTIF(MSPara_SourceStreamCategory,V607)=0,"",INDEX(MSPara_CalcFactorsMatrix,MATCH(V607,MSPara_SourceStreamCategory,0),MATCH(AE607&amp;"_"&amp;2,MSPara_CalcFactors,0))),"")</f>
        <v/>
      </c>
      <c r="AG607" s="372" t="str">
        <f>IF(AC607=TRUE, IF(COUNTIF(MSPara_SourceStreamCategory,V607)=0,"",INDEX(MSPara_CalcFactorsMatrix,MATCH(V607,MSPara_SourceStreamCategory,0),MATCH(AE607&amp;"_"&amp;1,MSPara_CalcFactors,0))),"")</f>
        <v/>
      </c>
      <c r="AH607" s="367" t="str">
        <f>IF(AA607="","",INDEX(AF607:AG607,3-AA607))</f>
        <v/>
      </c>
      <c r="AI607" s="367" t="str">
        <f>IF(AC607=TRUE,IF(OR(AH607="",AH607=EUconst_NA),EUconst_GJ&amp;"/"&amp;AJ605,AH607),"")</f>
        <v/>
      </c>
      <c r="AJ607" s="367" t="str">
        <f>IF(J607="",AI607,J607)</f>
        <v/>
      </c>
      <c r="AK607" s="366" t="b">
        <f>AND(E599&lt;&gt;"",J607&lt;&gt;"")</f>
        <v>0</v>
      </c>
      <c r="AL607" s="337"/>
      <c r="AM607" s="404" t="s">
        <v>127</v>
      </c>
      <c r="AN607" s="403" t="str">
        <f>IF(AJ607="",EUconst_NA,IF(AN605=EUconst_TJ,EUconst_TJ,INDEX(EUwideConstants!$C$124:$G$128,MATCH(AN605,RFAUnits,0),MATCH(AJ607,UCFUnits,0))))</f>
        <v>ei sovellettavissa</v>
      </c>
      <c r="AO607" s="337"/>
      <c r="AP607" s="337"/>
      <c r="AQ607" s="454" t="str">
        <f>EUconst_CNTR_UCF&amp;EUconst_Value</f>
        <v>UCF_Arvo</v>
      </c>
      <c r="AR607" s="475" t="str">
        <f>IF(AC607=TRUE,IF(COUNTIF(MSPara_SourceStreamCategory,V607)=0,"",INDEX(MSPara_CalcFactorsMatrix,MATCH(V607,MSPara_SourceStreamCategory,0),MATCH(AQ607&amp;"_"&amp;2,MSPara_CalcFactors,0))),"")</f>
        <v/>
      </c>
      <c r="AS607" s="371" t="str">
        <f>IF(AC607=TRUE,IF(COUNTIF(MSPara_SourceStreamCategory,V607)=0,"",INDEX(MSPara_CalcFactorsMatrix,MATCH(V607,MSPara_SourceStreamCategory,0),MATCH(AQ607&amp;"_"&amp;1,MSPara_CalcFactors,0))),"")</f>
        <v/>
      </c>
      <c r="AT607" s="369" t="b">
        <f>AND(AND(AH607&lt;&gt;"",AJ607&lt;&gt;""),AJ607=AH607)</f>
        <v>0</v>
      </c>
      <c r="AU607" s="381" t="str">
        <f>IF(AND(AA607&lt;&gt;"",AT607=TRUE),IF(OR(INDEX(AR607:AS607,3-AA607)=EUconst_NA,INDEX(AR607:AS607,3-AA607)=0),"",INDEX(AR607:AS607,3-AA607)),"")</f>
        <v/>
      </c>
      <c r="AV607" s="367">
        <f>IF(AC607=TRUE,IF(COUNT(K607:L607)=0,0,IF(L607="",K607,L607)),0)</f>
        <v>0</v>
      </c>
      <c r="AW607" s="366" t="b">
        <f>AND(AC607=TRUE,OR(AND(F607&lt;&gt;"",NOT(ISNUMBER(AA607))),L607&lt;&gt;"",F607="",AU607=""))</f>
        <v>0</v>
      </c>
      <c r="AX607" s="370" t="b">
        <f>AND(AC607=TRUE,NOT(AW607))</f>
        <v>0</v>
      </c>
      <c r="AY607" s="325"/>
      <c r="AZ607" s="373" t="b">
        <f>AND(ISNUMBER(AA607),AU607="")</f>
        <v>0</v>
      </c>
      <c r="BA607" s="399" t="b">
        <f>AND(ISNUMBER(AA607),AU607&lt;&gt;AV607)</f>
        <v>0</v>
      </c>
      <c r="BB607" s="366" t="b">
        <f>AND(E600&lt;&gt;"",F607&lt;&gt;EUconst_NA,AN607=EUconst_NA)</f>
        <v>0</v>
      </c>
      <c r="BC607" s="366" t="b">
        <f>AND(L607&lt;&gt;"",Y607=EUconst_NA)</f>
        <v>0</v>
      </c>
      <c r="BD607" s="325"/>
      <c r="BE607" s="325"/>
      <c r="BF607" s="373" t="s">
        <v>128</v>
      </c>
      <c r="BG607" s="497" t="str">
        <f>IF(COUNTIF(AO608:AO609,TRUE)=0,"",AV605*IF(AO608,1,AV607*AN609)*AV608*AV609*AV612)</f>
        <v/>
      </c>
      <c r="BH607" s="325"/>
      <c r="BI607" s="325"/>
      <c r="BJ607" s="325"/>
      <c r="BK607" s="325"/>
      <c r="BL607" s="325"/>
      <c r="BM607" s="325"/>
      <c r="BN607" s="325"/>
      <c r="BO607" s="325"/>
      <c r="BP607" s="325"/>
      <c r="BQ607" s="325"/>
      <c r="BR607" s="325"/>
      <c r="BS607" s="325"/>
      <c r="BT607" s="325"/>
      <c r="BU607" s="325"/>
      <c r="BV607" s="325"/>
      <c r="BW607" s="325"/>
      <c r="BX607" s="325"/>
      <c r="BY607" s="325"/>
      <c r="BZ607" s="325"/>
      <c r="CA607" s="325"/>
      <c r="CB607" s="325"/>
      <c r="CC607" s="325"/>
      <c r="CD607" s="325"/>
      <c r="CE607" s="325"/>
      <c r="CF607" s="325"/>
      <c r="CG607" s="375" t="b">
        <f>OR(CG605,Y607=EUconst_NA)</f>
        <v>0</v>
      </c>
    </row>
    <row r="608" spans="1:85" ht="12.75" customHeight="1" thickBot="1" x14ac:dyDescent="0.3">
      <c r="A608" s="318"/>
      <c r="B608" s="21"/>
      <c r="C608" s="344"/>
      <c r="D608" s="345" t="str">
        <f>Translations!$B$358</f>
        <v>Päästökerroin (alustava):</v>
      </c>
      <c r="E608" s="350"/>
      <c r="F608" s="624"/>
      <c r="G608" s="1120" t="str">
        <f>IF(OR(ISBLANK(F608),F608=EUconst_NoTier),"",IF(Z608=0,EUconst_NotApplicable,IF(ISERROR(Z608),"",Z608)))</f>
        <v/>
      </c>
      <c r="H608" s="1121"/>
      <c r="I608" s="625" t="str">
        <f>IF(J608&lt;&gt;"","",AI608)</f>
        <v/>
      </c>
      <c r="J608" s="631"/>
      <c r="K608" s="634" t="str">
        <f>IF(L608="",AU608,"")</f>
        <v/>
      </c>
      <c r="L608" s="754"/>
      <c r="M608" s="486" t="str">
        <f>IF(AND(E600&lt;&gt;"",OR(F608="",COUNT(K608:L608)=0),Y608&lt;&gt;EUconst_NA),EUconst_ERR_Incomplete,IF(COUNTIF(BB608:BD608,TRUE)&gt;0,EUconst_ERR_Inconsistent,""))</f>
        <v/>
      </c>
      <c r="N608" s="753"/>
      <c r="O608" s="323"/>
      <c r="P608" s="301"/>
      <c r="Q608" s="23"/>
      <c r="R608" s="23"/>
      <c r="S608" s="325"/>
      <c r="T608" s="374" t="str">
        <f>EUconst_CNTR_EF&amp;E600</f>
        <v>EF_</v>
      </c>
      <c r="U608" s="23"/>
      <c r="V608" s="375" t="str">
        <f>V605</f>
        <v/>
      </c>
      <c r="W608" s="325"/>
      <c r="X608" s="23"/>
      <c r="Y608" s="450" t="str">
        <f>IF(E600="","",IF(OR(F608=EUconst_NA,W608=TRUE),EUconst_NA,INDEX(EUwideConstants!$P$153:$P$180,MATCH(T608,EUwideConstants!$S$153:$S$180,0))))</f>
        <v/>
      </c>
      <c r="Z608" s="472" t="str">
        <f>IF(ISBLANK(F608),"",IF(F608=EUconst_NA,"",INDEX(EUwideConstants!$H:$O,MATCH(T608,EUwideConstants!$S:$S,0),MATCH(F608,CNTR_TierList,0))))</f>
        <v/>
      </c>
      <c r="AA608" s="451" t="str">
        <f>IF(COUNTIF(EUconst_DefaultValues,Z608)&gt;0,MATCH(Z608,EUconst_DefaultValues,0),"")</f>
        <v/>
      </c>
      <c r="AB608" s="325"/>
      <c r="AC608" s="376" t="b">
        <f>AND(AC605,Y608&lt;&gt;EUconst_NA)</f>
        <v>0</v>
      </c>
      <c r="AD608" s="325"/>
      <c r="AE608" s="377" t="str">
        <f>EUconst_CNTR_EF&amp;EUconst_Unit</f>
        <v>EF_Yksikkö</v>
      </c>
      <c r="AF608" s="378" t="str">
        <f>IF(AC608=TRUE, IF(COUNTIF(MSPara_SourceStreamCategory,V608)=0,"",INDEX(MSPara_CalcFactorsMatrix,MATCH(V608,MSPara_SourceStreamCategory,0),MATCH(AE608&amp;"_"&amp;2,MSPara_CalcFactors,0))),"")</f>
        <v/>
      </c>
      <c r="AG608" s="464" t="str">
        <f>IF(AC608=TRUE, IF(COUNTIF(MSPara_SourceStreamCategory,V608)=0,"",INDEX(MSPara_CalcFactorsMatrix,MATCH(V608,MSPara_SourceStreamCategory,0),MATCH(AE608&amp;"_"&amp;1,MSPara_CalcFactors,0))),"")</f>
        <v/>
      </c>
      <c r="AH608" s="376" t="str">
        <f>IF(AA608="","",INDEX(AF608:AG608,3-AA608))</f>
        <v/>
      </c>
      <c r="AI608" s="376" t="str">
        <f>IF(AC608=TRUE,IF(OR(AH608="",AH608=EUconst_NA),EUconst_tCO2&amp;"/"&amp;IF(AN607=EUconst_NA,AN605,IF(AN607=EUconst_GJ,EUconst_TJ,AN607)),AH608),"")</f>
        <v/>
      </c>
      <c r="AJ608" s="376" t="str">
        <f>IF(J608="",AI608,J608)</f>
        <v/>
      </c>
      <c r="AK608" s="375" t="b">
        <f>AND(E600&lt;&gt;"",J608&lt;&gt;"")</f>
        <v>0</v>
      </c>
      <c r="AL608" s="337"/>
      <c r="AM608" s="404" t="s">
        <v>130</v>
      </c>
      <c r="AN608" s="403" t="str">
        <f>IF(COUNTIF(RFAUnits,AN605)=0,EUconst_NA,INDEX(EUwideConstants!$C$139:$H$143,MATCH(AJ608,EFUnits,0),MATCH(AN605,EUwideConstants!$C$138:$H$138,0)))</f>
        <v>ei sovellettavissa</v>
      </c>
      <c r="AO608" s="403" t="b">
        <f>AN608&lt;&gt;EUconst_NA</f>
        <v>0</v>
      </c>
      <c r="AP608" s="337"/>
      <c r="AQ608" s="455" t="str">
        <f>EUconst_CNTR_EF&amp;EUconst_Value</f>
        <v>EF_Arvo</v>
      </c>
      <c r="AR608" s="476" t="str">
        <f>IF(AC608=TRUE,IF(COUNTIF(MSPara_SourceStreamCategory,V608)=0,"",INDEX(MSPara_CalcFactorsMatrix,MATCH(V608,MSPara_SourceStreamCategory,0),MATCH(AQ608&amp;"_"&amp;2,MSPara_CalcFactors,0))),"")</f>
        <v/>
      </c>
      <c r="AS608" s="383" t="str">
        <f>IF(AC608=TRUE,IF(COUNTIF(MSPara_SourceStreamCategory,V608)=0,"",INDEX(MSPara_CalcFactorsMatrix,MATCH(V608,MSPara_SourceStreamCategory,0),MATCH(AQ608&amp;"_"&amp;1,MSPara_CalcFactors,0))),"")</f>
        <v/>
      </c>
      <c r="AT608" s="456" t="b">
        <f>AND(AND(AH608&lt;&gt;"",AJ608&lt;&gt;""),AJ608=AH608)</f>
        <v>0</v>
      </c>
      <c r="AU608" s="334" t="str">
        <f>IF(AND(AA608&lt;&gt;"",AT608=TRUE),IF(OR(INDEX(AR608:AS608,3-AA608)=EUconst_NA,INDEX(AR608:AS608,3-AA608)=0),"",INDEX(AR608:AS608,3-AA608)),"")</f>
        <v/>
      </c>
      <c r="AV608" s="376">
        <f>IF(AC608=TRUE,IF(COUNT(K608:L608)=0,0,IF(L608="",K608,L608)),0)</f>
        <v>0</v>
      </c>
      <c r="AW608" s="375" t="b">
        <f>AND(AC608=TRUE,OR(AND(F608&lt;&gt;"",NOT(ISNUMBER(AA608))),L608&lt;&gt;"",F608="",AU608=""))</f>
        <v>0</v>
      </c>
      <c r="AX608" s="457" t="b">
        <f>AND(AC608=TRUE,NOT(AW608))</f>
        <v>0</v>
      </c>
      <c r="AY608" s="325"/>
      <c r="AZ608" s="379" t="b">
        <f>AND(ISNUMBER(AA608),AU608="")</f>
        <v>0</v>
      </c>
      <c r="BA608" s="380" t="b">
        <f>AND(ISNUMBER(AA608),AU608&lt;&gt;AV608)</f>
        <v>0</v>
      </c>
      <c r="BB608" s="382" t="b">
        <f>AND(E600&lt;&gt;"",COUNTIF(AO608:AO609,TRUE)=0)</f>
        <v>0</v>
      </c>
      <c r="BC608" s="375" t="b">
        <f>AND(L608&lt;&gt;"",Y608=EUconst_NA)</f>
        <v>0</v>
      </c>
      <c r="BD608" s="325"/>
      <c r="BE608" s="325"/>
      <c r="BF608" s="379" t="s">
        <v>131</v>
      </c>
      <c r="BG608" s="498" t="str">
        <f>IF(COUNTIF(AO608:AO609,TRUE)=0,"",AV605*IF(AO608,1,AV607*AN609)*AV608*AV610*AV612)</f>
        <v/>
      </c>
      <c r="BH608" s="325"/>
      <c r="BI608" s="325"/>
      <c r="BJ608" s="325"/>
      <c r="BK608" s="325"/>
      <c r="BL608" s="325"/>
      <c r="BM608" s="325"/>
      <c r="BN608" s="325"/>
      <c r="BO608" s="325"/>
      <c r="BP608" s="325"/>
      <c r="BQ608" s="325"/>
      <c r="BR608" s="325"/>
      <c r="BS608" s="325"/>
      <c r="BT608" s="325"/>
      <c r="BU608" s="325"/>
      <c r="BV608" s="325"/>
      <c r="BW608" s="325"/>
      <c r="BX608" s="325"/>
      <c r="BY608" s="325"/>
      <c r="BZ608" s="325"/>
      <c r="CA608" s="325"/>
      <c r="CB608" s="325"/>
      <c r="CC608" s="325"/>
      <c r="CD608" s="325"/>
      <c r="CE608" s="325"/>
      <c r="CF608" s="325"/>
      <c r="CG608" s="366" t="b">
        <f>OR(CG605,Y608=EUconst_NA)</f>
        <v>0</v>
      </c>
    </row>
    <row r="609" spans="1:85" ht="12.75" customHeight="1" x14ac:dyDescent="0.25">
      <c r="A609" s="318"/>
      <c r="B609" s="21"/>
      <c r="C609" s="344"/>
      <c r="D609" s="345" t="str">
        <f>Translations!$B$362</f>
        <v>Biomassaosuus:</v>
      </c>
      <c r="E609" s="350"/>
      <c r="F609" s="624"/>
      <c r="G609" s="1120" t="str">
        <f>IF(OR(ISBLANK(F609),F609=EUconst_NoTier),"",IF(Z609=0,EUconst_NotApplicable,IF(ISERROR(Z609),"",Z609)))</f>
        <v/>
      </c>
      <c r="H609" s="1122"/>
      <c r="I609" s="626" t="str">
        <f>IF(OR(AC609=FALSE,Y609=EUconst_NA),"","-")</f>
        <v/>
      </c>
      <c r="J609" s="446"/>
      <c r="K609" s="635" t="str">
        <f>IF(L609="",AU609,"")</f>
        <v/>
      </c>
      <c r="L609" s="627"/>
      <c r="M609" s="486" t="str">
        <f>IF(AND(E600&lt;&gt;"",OR(F609="",COUNT(K609:L609)=0),Y609&lt;&gt;EUconst_NA),EUconst_ERR_Incomplete,IF(COUNTIF(BB609:BD609,TRUE)&gt;0,EUconst_ERR_Inconsistent,""))</f>
        <v/>
      </c>
      <c r="O609" s="323"/>
      <c r="P609" s="612"/>
      <c r="Q609" s="354"/>
      <c r="R609" s="354"/>
      <c r="S609" s="325"/>
      <c r="T609" s="374" t="str">
        <f>EUconst_CNTR_BiomassContent&amp;E600</f>
        <v>BioC_</v>
      </c>
      <c r="U609" s="23"/>
      <c r="V609" s="375" t="str">
        <f>V607</f>
        <v/>
      </c>
      <c r="W609" s="366" t="e">
        <f>IF(COUNTIF(MSPara_SourceStreamCategory,V609)=0,"",INDEX(MSPara_IsFossil,MATCH(V609,MSPara_SourceStreamCategory,0)))</f>
        <v>#N/A</v>
      </c>
      <c r="X609" s="23"/>
      <c r="Y609" s="450" t="str">
        <f>IF(E600="","",IF(OR(F609=EUconst_NA,W609=TRUE),EUconst_NA,INDEX(EUwideConstants!$P$153:$P$180,MATCH(T609,EUwideConstants!$S$153:$S$180,0))))</f>
        <v/>
      </c>
      <c r="Z609" s="472" t="str">
        <f>IF(ISBLANK(F609),"",IF(F609=EUconst_NA,"",INDEX(EUwideConstants!$H:$O,MATCH(T609,EUwideConstants!$S:$S,0),MATCH(F609,CNTR_TierList,0))))</f>
        <v/>
      </c>
      <c r="AA609" s="681" t="str">
        <f>IF(F609=1,1,"")</f>
        <v/>
      </c>
      <c r="AB609" s="325"/>
      <c r="AC609" s="376" t="b">
        <f>AND(AC605,Y609&lt;&gt;EUconst_NA)</f>
        <v>0</v>
      </c>
      <c r="AD609" s="325"/>
      <c r="AE609" s="462"/>
      <c r="AF609" s="460"/>
      <c r="AG609" s="465"/>
      <c r="AH609" s="467"/>
      <c r="AI609" s="467"/>
      <c r="AJ609" s="467"/>
      <c r="AK609" s="469"/>
      <c r="AL609" s="337"/>
      <c r="AM609" s="404" t="s">
        <v>132</v>
      </c>
      <c r="AN609" s="403" t="str">
        <f>IF(AN607=EUconst_NA,EUconst_NA,INDEX(EUwideConstants!$C$139:$H$143,MATCH(AJ608,EFUnits,0),MATCH(AN607,EUwideConstants!$C$138:$H$138,0)))</f>
        <v>ei sovellettavissa</v>
      </c>
      <c r="AO609" s="403" t="b">
        <f>AN609&lt;&gt;EUconst_NA</f>
        <v>0</v>
      </c>
      <c r="AP609" s="337"/>
      <c r="AQ609" s="455" t="str">
        <f>EUconst_CNTR_BiomassContent&amp;EUconst_Value</f>
        <v>BioC_Arvo</v>
      </c>
      <c r="AR609" s="462"/>
      <c r="AS609" s="383" t="str">
        <f>IF(AC609=TRUE,IF(COUNTIF(MSPara_SourceStreamCategory,V609)=0,"",INDEX(MSPara_CalcFactorsMatrix,MATCH(V609,MSPara_SourceStreamCategory,0),MATCH(AQ609&amp;"_"&amp;2,MSPara_CalcFactors,0))),"")</f>
        <v/>
      </c>
      <c r="AT609" s="458"/>
      <c r="AU609" s="334" t="str">
        <f>IF(OR(AA609="",AS609=EUconst_NA),"",AS609)</f>
        <v/>
      </c>
      <c r="AV609" s="376">
        <f>IF(AC609=TRUE,IF(COUNT(K609:L609)=0,0,IF(L609="",K609,L609)),0)</f>
        <v>0</v>
      </c>
      <c r="AW609" s="375" t="b">
        <f>AND(AC609=TRUE,OR(AND(F609&lt;&gt;"",NOT(ISNUMBER(AA609))),L609&lt;&gt;"",F609="",AU609=""))</f>
        <v>0</v>
      </c>
      <c r="AX609" s="457" t="b">
        <f>AND(AC609=TRUE,NOT(AW609))</f>
        <v>0</v>
      </c>
      <c r="AY609" s="325"/>
      <c r="AZ609" s="379" t="b">
        <f>AND(ISNUMBER(AA609),AU609="")</f>
        <v>0</v>
      </c>
      <c r="BA609" s="380" t="b">
        <f>AND(ISNUMBER(AA609),AU609&lt;&gt;AV609)</f>
        <v>0</v>
      </c>
      <c r="BB609" s="325"/>
      <c r="BC609" s="375" t="b">
        <f>AND(L609&lt;&gt;"",Y609=EUconst_NA)</f>
        <v>0</v>
      </c>
      <c r="BD609" s="366" t="b">
        <f>OR(AV609&gt;100%,(AV609+AV610)&gt;100%)</f>
        <v>0</v>
      </c>
      <c r="BE609" s="325"/>
      <c r="BF609" s="379" t="s">
        <v>133</v>
      </c>
      <c r="BG609" s="498" t="str">
        <f>IF(AN605=EUconst_TJ,AV605*(1-AV609),IF(AN607=EUconst_GJ,AV605*AV607/1000*(1-AV609),""))</f>
        <v/>
      </c>
      <c r="BH609" s="325"/>
      <c r="BI609" s="325"/>
      <c r="BJ609" s="325"/>
      <c r="BK609" s="325"/>
      <c r="BL609" s="325"/>
      <c r="BM609" s="325"/>
      <c r="BN609" s="325"/>
      <c r="BO609" s="325"/>
      <c r="BP609" s="325"/>
      <c r="BQ609" s="325"/>
      <c r="BR609" s="325"/>
      <c r="BS609" s="325"/>
      <c r="BT609" s="325"/>
      <c r="BU609" s="325"/>
      <c r="BV609" s="325"/>
      <c r="BW609" s="325"/>
      <c r="BX609" s="325"/>
      <c r="BY609" s="325"/>
      <c r="BZ609" s="325"/>
      <c r="CA609" s="325"/>
      <c r="CB609" s="325"/>
      <c r="CC609" s="325"/>
      <c r="CD609" s="325"/>
      <c r="CE609" s="325"/>
      <c r="CF609" s="325"/>
      <c r="CG609" s="375" t="b">
        <f>OR(CG605,Y609=EUconst_NA)</f>
        <v>0</v>
      </c>
    </row>
    <row r="610" spans="1:85" ht="12.75" customHeight="1" thickBot="1" x14ac:dyDescent="0.3">
      <c r="A610" s="318"/>
      <c r="B610" s="21"/>
      <c r="C610" s="344"/>
      <c r="D610" s="345" t="str">
        <f>Translations!$B$368</f>
        <v>Ei kestävä biomassaosuus:</v>
      </c>
      <c r="E610" s="350"/>
      <c r="F610" s="628"/>
      <c r="G610" s="1120" t="str">
        <f>IF(OR(ISBLANK(F610),F610=EUconst_NoTier),"",IF(Z610=0,EUconst_NotApplicable,IF(ISERROR(Z610),"",Z610)))</f>
        <v/>
      </c>
      <c r="H610" s="1122"/>
      <c r="I610" s="629" t="str">
        <f>IF(OR(AC610=FALSE,Y610=EUconst_NA),"","-")</f>
        <v/>
      </c>
      <c r="J610" s="447"/>
      <c r="K610" s="636" t="str">
        <f>IF(L610="",AU610,"")</f>
        <v/>
      </c>
      <c r="L610" s="630"/>
      <c r="M610" s="486" t="str">
        <f>IF(AND(E600&lt;&gt;"",OR(F610="",COUNT(K610:L610)=0),Y610&lt;&gt;EUconst_NA),EUconst_ERR_Incomplete,IF(COUNTIF(BB610:BD610,TRUE)&gt;0,EUconst_ERR_Inconsistent,""))</f>
        <v/>
      </c>
      <c r="N610" s="22"/>
      <c r="O610" s="323"/>
      <c r="P610" s="612"/>
      <c r="Q610" s="354"/>
      <c r="R610" s="354"/>
      <c r="S610" s="325"/>
      <c r="T610" s="384" t="str">
        <f>EUconst_CNTR_BiomassContent&amp;E600</f>
        <v>BioC_</v>
      </c>
      <c r="U610" s="23"/>
      <c r="V610" s="382" t="str">
        <f>V609</f>
        <v/>
      </c>
      <c r="W610" s="382" t="e">
        <f>IF(COUNTIF(MSPara_SourceStreamCategory,V610)=0,"",INDEX(MSPara_IsFossil,MATCH(V610,MSPara_SourceStreamCategory,0)))</f>
        <v>#N/A</v>
      </c>
      <c r="X610" s="23"/>
      <c r="Y610" s="452" t="str">
        <f>IF(E600="","",IF(OR(F610=EUconst_NA,W610=TRUE),EUconst_NA,INDEX(EUwideConstants!$P$153:$P$180,MATCH(T610,EUwideConstants!$S$153:$S$180,0))))</f>
        <v/>
      </c>
      <c r="Z610" s="473" t="str">
        <f>IF(ISBLANK(F610),"",IF(F610=EUconst_NA,"",INDEX(EUwideConstants!$H:$O,MATCH(T610,EUwideConstants!$S:$S,0),MATCH(F610,CNTR_TierList,0))))</f>
        <v/>
      </c>
      <c r="AA610" s="682" t="str">
        <f>IF(F610=1,1,"")</f>
        <v/>
      </c>
      <c r="AB610" s="325"/>
      <c r="AC610" s="453" t="b">
        <f>AND(AC605,Y610&lt;&gt;EUconst_NA)</f>
        <v>0</v>
      </c>
      <c r="AD610" s="325"/>
      <c r="AE610" s="463"/>
      <c r="AF610" s="461"/>
      <c r="AG610" s="466"/>
      <c r="AH610" s="468"/>
      <c r="AI610" s="468"/>
      <c r="AJ610" s="468"/>
      <c r="AK610" s="470"/>
      <c r="AL610" s="337"/>
      <c r="AM610" s="337"/>
      <c r="AN610" s="337"/>
      <c r="AO610" s="337"/>
      <c r="AP610" s="337"/>
      <c r="AQ610" s="474" t="str">
        <f>EUconst_CNTR_BiomassContent&amp;EUconst_Value</f>
        <v>BioC_Arvo</v>
      </c>
      <c r="AR610" s="463"/>
      <c r="AS610" s="385" t="str">
        <f>IF(AC610=TRUE,IF(COUNTIF(MSPara_SourceStreamCategory,V610)=0,"",INDEX(MSPara_CalcFactorsMatrix,MATCH(V610,MSPara_SourceStreamCategory,0),MATCH(AQ610&amp;"_"&amp;2,MSPara_CalcFactors,0))),"")</f>
        <v/>
      </c>
      <c r="AT610" s="459"/>
      <c r="AU610" s="477" t="str">
        <f>IF(OR(AA610="",AS610=EUconst_NA),"",AS610)</f>
        <v/>
      </c>
      <c r="AV610" s="453">
        <f>IF(AC610=TRUE,IF(COUNT(K610:L610)=0,0,IF(L610="",K610,L610)),0)</f>
        <v>0</v>
      </c>
      <c r="AW610" s="382" t="b">
        <f>AND(AC610=TRUE,OR(AND(F610&lt;&gt;"",NOT(ISNUMBER(AA610))),L610&lt;&gt;"",F610="",AU610=""))</f>
        <v>0</v>
      </c>
      <c r="AX610" s="478" t="b">
        <f>AND(AC610=TRUE,NOT(AW610))</f>
        <v>0</v>
      </c>
      <c r="AY610" s="325"/>
      <c r="AZ610" s="386" t="b">
        <f>AND(ISNUMBER(AA610),AU610="")</f>
        <v>0</v>
      </c>
      <c r="BA610" s="387" t="b">
        <f>AND(ISNUMBER(AA610),AU610&lt;&gt;AV610)</f>
        <v>0</v>
      </c>
      <c r="BB610" s="325"/>
      <c r="BC610" s="382" t="b">
        <f>AND(L610&lt;&gt;"",Y610=EUconst_NA)</f>
        <v>0</v>
      </c>
      <c r="BD610" s="382" t="b">
        <f>OR(AV609&gt;100%,(AV609+AV610)&gt;100%)</f>
        <v>0</v>
      </c>
      <c r="BE610" s="325"/>
      <c r="BF610" s="386" t="s">
        <v>134</v>
      </c>
      <c r="BG610" s="499" t="str">
        <f>IF(AN605=EUconst_TJ,AV605*AV609,IF(AN607=EUconst_GJ,AV605*AV607/1000*AV609,""))</f>
        <v/>
      </c>
      <c r="BH610" s="325"/>
      <c r="BI610" s="325"/>
      <c r="BJ610" s="325"/>
      <c r="BK610" s="325"/>
      <c r="BL610" s="325"/>
      <c r="BM610" s="325"/>
      <c r="BN610" s="325"/>
      <c r="BO610" s="325"/>
      <c r="BP610" s="325"/>
      <c r="BQ610" s="325"/>
      <c r="BR610" s="325"/>
      <c r="BS610" s="325"/>
      <c r="BT610" s="325"/>
      <c r="BU610" s="325"/>
      <c r="BV610" s="325"/>
      <c r="BW610" s="325"/>
      <c r="BX610" s="325"/>
      <c r="BY610" s="325"/>
      <c r="BZ610" s="325"/>
      <c r="CA610" s="325"/>
      <c r="CB610" s="325"/>
      <c r="CC610" s="325"/>
      <c r="CD610" s="325"/>
      <c r="CE610" s="325"/>
      <c r="CF610" s="325"/>
      <c r="CG610" s="382" t="b">
        <f>OR(CG605,Y610=EUconst_NA)</f>
        <v>0</v>
      </c>
    </row>
    <row r="611" spans="1:85" ht="5.15" customHeight="1" thickBot="1" x14ac:dyDescent="0.3">
      <c r="A611" s="318"/>
      <c r="B611" s="21"/>
      <c r="C611" s="21"/>
      <c r="D611" s="327"/>
      <c r="E611" s="22"/>
      <c r="F611" s="22"/>
      <c r="G611" s="22"/>
      <c r="H611" s="22"/>
      <c r="I611" s="22"/>
      <c r="J611" s="22"/>
      <c r="K611" s="22"/>
      <c r="L611" s="22"/>
      <c r="M611" s="488"/>
      <c r="N611" s="22"/>
      <c r="O611" s="323"/>
      <c r="P611" s="301"/>
      <c r="Q611" s="23"/>
      <c r="R611" s="23"/>
      <c r="S611" s="325"/>
      <c r="T611" s="325"/>
      <c r="U611" s="325"/>
      <c r="V611" s="325"/>
      <c r="W611" s="325"/>
      <c r="X611" s="325"/>
      <c r="Y611" s="325"/>
      <c r="Z611" s="325"/>
      <c r="AA611" s="325"/>
      <c r="AB611" s="325"/>
      <c r="AC611" s="325"/>
      <c r="AD611" s="325"/>
      <c r="AE611" s="325"/>
      <c r="AF611" s="325"/>
      <c r="AG611" s="325"/>
      <c r="AH611" s="325"/>
      <c r="AI611" s="325"/>
      <c r="AJ611" s="325"/>
      <c r="AK611" s="325"/>
      <c r="AL611" s="325"/>
      <c r="AM611" s="325"/>
      <c r="AN611" s="325"/>
      <c r="AO611" s="325"/>
      <c r="AP611" s="325"/>
      <c r="AQ611" s="325"/>
      <c r="AR611" s="325"/>
      <c r="AS611" s="325"/>
      <c r="AT611" s="325"/>
      <c r="AU611" s="325"/>
      <c r="AV611" s="325"/>
      <c r="AW611" s="325"/>
      <c r="AX611" s="325"/>
      <c r="AY611" s="325"/>
      <c r="AZ611" s="325"/>
      <c r="BA611" s="325"/>
      <c r="BB611" s="325"/>
      <c r="BC611" s="325"/>
      <c r="BD611" s="325"/>
      <c r="BE611" s="325"/>
      <c r="BF611" s="325"/>
      <c r="BG611" s="325"/>
      <c r="BH611" s="325"/>
      <c r="BI611" s="325"/>
      <c r="BJ611" s="325"/>
      <c r="BK611" s="325"/>
      <c r="BL611" s="325"/>
      <c r="BM611" s="325"/>
      <c r="BN611" s="325"/>
      <c r="BO611" s="325"/>
      <c r="BP611" s="325"/>
      <c r="BQ611" s="325"/>
      <c r="BR611" s="325"/>
      <c r="BS611" s="325"/>
      <c r="BT611" s="325"/>
      <c r="BU611" s="325"/>
      <c r="BV611" s="325"/>
      <c r="BW611" s="325"/>
      <c r="BX611" s="325"/>
      <c r="BY611" s="325"/>
      <c r="BZ611" s="325"/>
      <c r="CA611" s="325"/>
      <c r="CB611" s="325"/>
      <c r="CC611" s="325"/>
      <c r="CD611" s="325"/>
      <c r="CE611" s="325"/>
      <c r="CF611" s="325"/>
      <c r="CG611" s="325"/>
    </row>
    <row r="612" spans="1:85" ht="12.75" customHeight="1" thickBot="1" x14ac:dyDescent="0.3">
      <c r="A612" s="318"/>
      <c r="B612" s="21"/>
      <c r="C612" s="344"/>
      <c r="D612" s="345" t="str">
        <f>Translations!$B$398</f>
        <v>Soveltamisalakerroin:</v>
      </c>
      <c r="E612" s="479"/>
      <c r="F612" s="803"/>
      <c r="G612" s="1125"/>
      <c r="H612" s="1126"/>
      <c r="I612" s="492" t="s">
        <v>52</v>
      </c>
      <c r="J612" s="480"/>
      <c r="K612" s="481" t="str">
        <f>IF(L612="",AU612,"")</f>
        <v/>
      </c>
      <c r="L612" s="607"/>
      <c r="M612" s="489" t="str">
        <f>IF(AND(E600&lt;&gt;"",OR(F612="",G612="",COUNT(K612:L612)=0)),EUconst_ERR_Incomplete,IF(COUNTIF(BB612:BD612,TRUE)&gt;0,EUconst_ERR_Inconsistent,""))</f>
        <v/>
      </c>
      <c r="N612" s="22"/>
      <c r="O612" s="323"/>
      <c r="P612" s="301"/>
      <c r="Q612" s="23"/>
      <c r="R612" s="325"/>
      <c r="S612" s="10"/>
      <c r="T612" s="48" t="str">
        <f>EUconst_CNTR_ScopeFactor&amp;E600</f>
        <v>ScopeFactor_</v>
      </c>
      <c r="U612" s="248" t="str">
        <f>IF(F612="","",INDEX(ScopeAddress,MATCH(F612,ScopeTiers,0)))</f>
        <v/>
      </c>
      <c r="V612" s="382" t="str">
        <f>V605</f>
        <v/>
      </c>
      <c r="W612" s="325"/>
      <c r="X612" s="325"/>
      <c r="Y612" s="452" t="str">
        <f>IF(E600="","",IF(F612=EUconst_NA,EUconst_NA,INDEX(EUwideConstants!$P$153:$P$180,MATCH(T612,EUwideConstants!$S$153:$S$180,0))))</f>
        <v/>
      </c>
      <c r="Z612" s="473" t="str">
        <f>IF(ISBLANK(F612),"",IF(F612=EUconst_NA,"",INDEX(EUwideConstants!$H:$O,MATCH(T612,EUwideConstants!$S:$S,0),MATCH(F612,CNTR_TierList,0))))</f>
        <v/>
      </c>
      <c r="AA612" s="339" t="str">
        <f>IF(G612=EUwideConstants!$A$88,1,"")</f>
        <v/>
      </c>
      <c r="AB612" s="325"/>
      <c r="AC612" s="376" t="b">
        <f>AND(AC605,Y612&lt;&gt;EUconst_NA)</f>
        <v>0</v>
      </c>
      <c r="AD612" s="325"/>
      <c r="AE612" s="325"/>
      <c r="AF612" s="325"/>
      <c r="AG612" s="330"/>
      <c r="AH612" s="325"/>
      <c r="AI612" s="325"/>
      <c r="AJ612" s="325"/>
      <c r="AK612" s="325"/>
      <c r="AL612" s="325"/>
      <c r="AM612" s="325"/>
      <c r="AN612" s="325"/>
      <c r="AO612" s="325"/>
      <c r="AP612" s="325"/>
      <c r="AQ612" s="325"/>
      <c r="AR612" s="325"/>
      <c r="AS612" s="338">
        <v>1</v>
      </c>
      <c r="AT612" s="325"/>
      <c r="AU612" s="330" t="str">
        <f>IF(G612=EUwideConstants!$A$88,AS612,"")</f>
        <v/>
      </c>
      <c r="AV612" s="376">
        <f>IF(AC612=TRUE,IF(COUNT(K612:L612)=0,0,IF(L612="",K612,L612)),0)</f>
        <v>0</v>
      </c>
      <c r="AW612" s="375" t="b">
        <f>AND(AC612=TRUE,OR(AND(F612&lt;&gt;"",NOT(ISNUMBER(AA612))),L612&lt;&gt;"",F612="",AU612=""))</f>
        <v>0</v>
      </c>
      <c r="AX612" s="457" t="b">
        <f>AND(AC612=TRUE,NOT(AW612))</f>
        <v>0</v>
      </c>
      <c r="AY612" s="325"/>
      <c r="AZ612" s="379" t="b">
        <f>AND(ISNUMBER(AA612),AU612="")</f>
        <v>0</v>
      </c>
      <c r="BA612" s="380" t="b">
        <f>AND(ISNUMBER(AA612),AU612&lt;&gt;AV612)</f>
        <v>0</v>
      </c>
      <c r="BB612" s="325"/>
      <c r="BC612" s="33" t="b">
        <f>AND(F612&lt;&gt;"",OR(COUNTIF(INDEX(ScopeMethods,F612,),G612)=0,AND(AA612&lt;&gt;"",AU612&lt;&gt;AV612)))</f>
        <v>0</v>
      </c>
      <c r="BD612" s="325"/>
      <c r="BE612" s="325"/>
      <c r="BF612" s="325"/>
      <c r="BG612" s="325"/>
      <c r="BH612" s="325"/>
      <c r="BI612" s="325"/>
      <c r="BJ612" s="325"/>
      <c r="BK612" s="325"/>
      <c r="BL612" s="325"/>
      <c r="BM612" s="325"/>
      <c r="BN612" s="325"/>
      <c r="BO612" s="325"/>
      <c r="BP612" s="325"/>
      <c r="BQ612" s="325"/>
      <c r="BR612" s="325"/>
      <c r="BS612" s="325"/>
      <c r="BT612" s="325"/>
      <c r="BU612" s="325"/>
      <c r="BV612" s="325"/>
      <c r="BW612" s="325"/>
      <c r="BX612" s="325"/>
      <c r="BY612" s="325"/>
      <c r="BZ612" s="325"/>
      <c r="CA612" s="325"/>
      <c r="CB612" s="325"/>
      <c r="CC612" s="325"/>
      <c r="CD612" s="325"/>
      <c r="CE612" s="325"/>
      <c r="CF612" s="325"/>
      <c r="CG612" s="325"/>
    </row>
    <row r="613" spans="1:85" ht="12.75" customHeight="1" x14ac:dyDescent="0.25">
      <c r="A613" s="318"/>
      <c r="B613" s="21"/>
      <c r="C613" s="21"/>
      <c r="D613" s="21"/>
      <c r="E613" s="21"/>
      <c r="F613" s="21"/>
      <c r="G613" s="1130" t="str">
        <f>IF(G612="","",INDEX(ScopeMethodsDetails,MATCH(G612,INDEX(ScopeMethodsDetails,,1),0),2))</f>
        <v/>
      </c>
      <c r="H613" s="1131"/>
      <c r="I613" s="1131"/>
      <c r="J613" s="1131"/>
      <c r="K613" s="1131"/>
      <c r="L613" s="1131"/>
      <c r="M613" s="1132"/>
      <c r="N613" s="22"/>
      <c r="O613" s="323"/>
      <c r="P613" s="301"/>
      <c r="Q613" s="23"/>
      <c r="R613" s="23"/>
      <c r="S613" s="325"/>
      <c r="T613" s="325"/>
      <c r="U613" s="325"/>
      <c r="V613" s="325"/>
      <c r="W613" s="325"/>
      <c r="X613" s="325"/>
      <c r="Y613" s="325"/>
      <c r="Z613" s="325"/>
      <c r="AA613" s="325"/>
      <c r="AB613" s="325"/>
      <c r="AC613" s="325"/>
      <c r="AD613" s="325"/>
      <c r="AE613" s="325"/>
      <c r="AF613" s="325"/>
      <c r="AG613" s="325"/>
      <c r="AH613" s="325"/>
      <c r="AI613" s="325"/>
      <c r="AJ613" s="325"/>
      <c r="AK613" s="325"/>
      <c r="AL613" s="325"/>
      <c r="AM613" s="325"/>
      <c r="AN613" s="325"/>
      <c r="AO613" s="325"/>
      <c r="AP613" s="325"/>
      <c r="AQ613" s="325"/>
      <c r="AR613" s="325"/>
      <c r="AS613" s="325"/>
      <c r="AT613" s="325"/>
      <c r="AU613" s="325"/>
      <c r="AV613" s="325"/>
      <c r="AW613" s="325"/>
      <c r="AX613" s="325"/>
      <c r="AY613" s="325"/>
      <c r="AZ613" s="325"/>
      <c r="BA613" s="325"/>
      <c r="BB613" s="325"/>
      <c r="BC613" s="325"/>
      <c r="BD613" s="325"/>
      <c r="BE613" s="325"/>
      <c r="BF613" s="325"/>
      <c r="BG613" s="325"/>
      <c r="BH613" s="325"/>
      <c r="BI613" s="325"/>
      <c r="BJ613" s="325"/>
      <c r="BK613" s="325"/>
      <c r="BL613" s="325"/>
      <c r="BM613" s="325"/>
      <c r="BN613" s="325"/>
      <c r="BO613" s="325"/>
      <c r="BP613" s="325"/>
      <c r="BQ613" s="325"/>
      <c r="BR613" s="325"/>
      <c r="BS613" s="325"/>
      <c r="BT613" s="325"/>
      <c r="BU613" s="325"/>
      <c r="BV613" s="325"/>
      <c r="BW613" s="325"/>
      <c r="BX613" s="325"/>
      <c r="BY613" s="325"/>
      <c r="BZ613" s="325"/>
      <c r="CA613" s="325"/>
      <c r="CB613" s="325"/>
      <c r="CC613" s="325"/>
      <c r="CD613" s="325"/>
      <c r="CE613" s="325"/>
      <c r="CF613" s="325"/>
      <c r="CG613" s="325"/>
    </row>
    <row r="614" spans="1:85" ht="5.15" customHeight="1" x14ac:dyDescent="0.25">
      <c r="A614" s="318"/>
      <c r="C614" s="22"/>
      <c r="D614" s="22"/>
      <c r="E614" s="22"/>
      <c r="F614" s="22"/>
      <c r="G614" s="22"/>
      <c r="H614" s="22"/>
      <c r="I614" s="22"/>
      <c r="J614" s="22"/>
      <c r="K614" s="22"/>
      <c r="L614" s="22"/>
      <c r="O614" s="323"/>
      <c r="P614" s="301"/>
      <c r="Q614" s="23"/>
      <c r="R614" s="23"/>
      <c r="S614" s="325"/>
      <c r="T614" s="325"/>
      <c r="U614" s="325"/>
      <c r="V614" s="325"/>
      <c r="W614" s="325"/>
      <c r="X614" s="325"/>
      <c r="Y614" s="325"/>
      <c r="Z614" s="325"/>
      <c r="AA614" s="325"/>
      <c r="AB614" s="325"/>
      <c r="AC614" s="325"/>
      <c r="AD614" s="325"/>
      <c r="AE614" s="325"/>
      <c r="AF614" s="325"/>
      <c r="AG614" s="325"/>
      <c r="AH614" s="325"/>
      <c r="AI614" s="325"/>
      <c r="AJ614" s="325"/>
      <c r="AK614" s="325"/>
      <c r="AL614" s="325"/>
      <c r="AM614" s="325"/>
      <c r="AN614" s="325"/>
      <c r="AO614" s="325"/>
      <c r="AP614" s="325"/>
      <c r="AQ614" s="325"/>
      <c r="AR614" s="325"/>
      <c r="AS614" s="325"/>
      <c r="AT614" s="325"/>
      <c r="AU614" s="325"/>
      <c r="AV614" s="325"/>
      <c r="AW614" s="325"/>
      <c r="AX614" s="325"/>
      <c r="AY614" s="325"/>
      <c r="AZ614" s="325"/>
      <c r="BA614" s="325"/>
      <c r="BB614" s="325"/>
      <c r="BC614" s="325"/>
      <c r="BD614" s="325"/>
      <c r="BE614" s="325"/>
      <c r="BF614" s="325"/>
      <c r="BG614" s="325"/>
      <c r="BH614" s="325"/>
      <c r="BI614" s="325"/>
      <c r="BJ614" s="325"/>
      <c r="BK614" s="325"/>
      <c r="BL614" s="325"/>
      <c r="BM614" s="325"/>
      <c r="BN614" s="325"/>
      <c r="BO614" s="325"/>
      <c r="BP614" s="325"/>
      <c r="BQ614" s="325"/>
      <c r="BR614" s="325"/>
      <c r="BS614" s="325"/>
      <c r="BT614" s="325"/>
      <c r="BU614" s="325"/>
      <c r="BV614" s="325"/>
      <c r="BW614" s="325"/>
      <c r="BX614" s="325"/>
      <c r="BY614" s="325"/>
      <c r="BZ614" s="325"/>
      <c r="CA614" s="325"/>
      <c r="CB614" s="325"/>
      <c r="CC614" s="325"/>
      <c r="CD614" s="325"/>
      <c r="CE614" s="325"/>
      <c r="CF614" s="325"/>
      <c r="CG614" s="325"/>
    </row>
    <row r="615" spans="1:85" ht="12.75" customHeight="1" x14ac:dyDescent="0.25">
      <c r="A615" s="318"/>
      <c r="C615" s="22"/>
      <c r="D615" s="22"/>
      <c r="E615" s="22"/>
      <c r="F615" s="22"/>
      <c r="G615" s="1133">
        <v>1</v>
      </c>
      <c r="H615" s="1133"/>
      <c r="I615" s="1133">
        <v>2</v>
      </c>
      <c r="J615" s="1133"/>
      <c r="K615" s="1133">
        <v>3</v>
      </c>
      <c r="L615" s="1133"/>
      <c r="O615" s="323"/>
      <c r="P615" s="301"/>
      <c r="Q615" s="23"/>
      <c r="R615" s="23"/>
      <c r="S615" s="325"/>
      <c r="T615" s="325"/>
      <c r="U615" s="325"/>
      <c r="V615" s="325"/>
      <c r="W615" s="325"/>
      <c r="X615" s="325"/>
      <c r="Y615" s="325"/>
      <c r="Z615" s="325"/>
      <c r="AA615" s="325"/>
      <c r="AB615" s="325"/>
      <c r="AC615" s="325"/>
      <c r="AD615" s="325"/>
      <c r="AE615" s="325"/>
      <c r="AF615" s="325"/>
      <c r="AG615" s="325"/>
      <c r="AH615" s="325"/>
      <c r="AI615" s="325"/>
      <c r="AJ615" s="325"/>
      <c r="AK615" s="325"/>
      <c r="AL615" s="325"/>
      <c r="AM615" s="325"/>
      <c r="AN615" s="325"/>
      <c r="AO615" s="325"/>
      <c r="AP615" s="325"/>
      <c r="AQ615" s="325"/>
      <c r="AR615" s="325"/>
      <c r="AS615" s="325"/>
      <c r="AT615" s="325"/>
      <c r="AU615" s="325"/>
      <c r="AV615" s="325"/>
      <c r="AW615" s="325"/>
      <c r="AX615" s="325"/>
      <c r="AY615" s="325"/>
      <c r="AZ615" s="325"/>
      <c r="BA615" s="325"/>
      <c r="BB615" s="325"/>
      <c r="BC615" s="325"/>
      <c r="BD615" s="325"/>
      <c r="BE615" s="325"/>
      <c r="BF615" s="325"/>
      <c r="BG615" s="325"/>
      <c r="BH615" s="325"/>
      <c r="BI615" s="325"/>
      <c r="BJ615" s="325"/>
      <c r="BK615" s="325"/>
      <c r="BL615" s="325"/>
      <c r="BM615" s="325"/>
      <c r="BN615" s="325"/>
      <c r="BO615" s="325"/>
      <c r="BP615" s="325"/>
      <c r="BQ615" s="325"/>
      <c r="BR615" s="325"/>
      <c r="BS615" s="325"/>
      <c r="BT615" s="325"/>
      <c r="BU615" s="325"/>
      <c r="BV615" s="325"/>
      <c r="BW615" s="325"/>
      <c r="BX615" s="325"/>
      <c r="BY615" s="325"/>
      <c r="BZ615" s="325"/>
      <c r="CA615" s="325"/>
      <c r="CB615" s="325"/>
      <c r="CC615" s="325"/>
      <c r="CD615" s="325"/>
      <c r="CE615" s="325"/>
      <c r="CF615" s="325"/>
      <c r="CG615" s="325"/>
    </row>
    <row r="616" spans="1:85" ht="12.75" customHeight="1" x14ac:dyDescent="0.25">
      <c r="A616" s="389"/>
      <c r="B616" s="22"/>
      <c r="C616" s="22"/>
      <c r="D616" s="1134" t="str">
        <f>Translations!$B$372</f>
        <v>CRF-luokka</v>
      </c>
      <c r="E616" s="1134"/>
      <c r="F616" s="1135"/>
      <c r="G616" s="1123"/>
      <c r="H616" s="1124"/>
      <c r="I616" s="1123"/>
      <c r="J616" s="1124"/>
      <c r="K616" s="1123"/>
      <c r="L616" s="1124"/>
      <c r="M616" s="623" t="str">
        <f>IF(AND(E599&lt;&gt;"",COUNTA(G616:L616)=0,AX616=FALSE),EUconst_ERR_Incomplete,"")</f>
        <v/>
      </c>
      <c r="N616" s="22"/>
      <c r="O616" s="323"/>
      <c r="P616" s="301"/>
      <c r="Q616" s="23"/>
      <c r="R616" s="23"/>
      <c r="S616" s="325"/>
      <c r="T616" s="325"/>
      <c r="U616" s="325"/>
      <c r="V616" s="325"/>
      <c r="W616" s="325"/>
      <c r="X616" s="325"/>
      <c r="Y616" s="325"/>
      <c r="Z616" s="325"/>
      <c r="AA616" s="325"/>
      <c r="AB616" s="325"/>
      <c r="AC616" s="325"/>
      <c r="AD616" s="325"/>
      <c r="AE616" s="325"/>
      <c r="AF616" s="325"/>
      <c r="AG616" s="325"/>
      <c r="AH616" s="325"/>
      <c r="AI616" s="325"/>
      <c r="AJ616" s="325"/>
      <c r="AK616" s="325"/>
      <c r="AL616" s="325"/>
      <c r="AM616" s="325"/>
      <c r="AN616" s="325"/>
      <c r="AO616" s="325"/>
      <c r="AP616" s="325"/>
      <c r="AQ616" s="325"/>
      <c r="AR616" s="325"/>
      <c r="AS616" s="325"/>
      <c r="AT616" s="325"/>
      <c r="AU616" s="325"/>
      <c r="AV616" s="325"/>
      <c r="AW616" s="325"/>
      <c r="AX616" s="33" t="b">
        <f>AND(AV612&lt;&gt;"",SUM(AV612=1))</f>
        <v>0</v>
      </c>
      <c r="AY616" s="325"/>
      <c r="AZ616" s="325"/>
      <c r="BA616" s="325"/>
      <c r="BB616" s="325"/>
      <c r="BC616" s="325"/>
      <c r="BD616" s="325"/>
      <c r="BE616" s="325"/>
      <c r="BF616" s="325"/>
      <c r="BG616" s="325"/>
      <c r="BH616" s="325"/>
      <c r="BI616" s="325"/>
      <c r="BJ616" s="325"/>
      <c r="BK616" s="325"/>
      <c r="BL616" s="325"/>
      <c r="BM616" s="325"/>
      <c r="BN616" s="325"/>
      <c r="BO616" s="325"/>
      <c r="BP616" s="325"/>
      <c r="BQ616" s="325"/>
      <c r="BR616" s="325"/>
      <c r="BS616" s="325"/>
      <c r="BT616" s="325"/>
      <c r="BU616" s="325"/>
      <c r="BV616" s="325"/>
      <c r="BW616" s="325"/>
      <c r="BX616" s="325"/>
      <c r="BY616" s="325"/>
      <c r="BZ616" s="325"/>
      <c r="CA616" s="325"/>
      <c r="CB616" s="325"/>
      <c r="CC616" s="325"/>
      <c r="CD616" s="325"/>
      <c r="CE616" s="325"/>
      <c r="CF616" s="325"/>
      <c r="CG616" s="325"/>
    </row>
    <row r="617" spans="1:85" ht="5.15" customHeight="1" x14ac:dyDescent="0.25">
      <c r="A617" s="318"/>
      <c r="B617" s="21"/>
      <c r="C617" s="21"/>
      <c r="D617" s="21"/>
      <c r="E617" s="21"/>
      <c r="F617" s="21"/>
      <c r="G617" s="22"/>
      <c r="H617" s="22"/>
      <c r="I617" s="22"/>
      <c r="J617" s="22"/>
      <c r="K617" s="22"/>
      <c r="L617" s="22"/>
      <c r="M617" s="22"/>
      <c r="N617" s="22"/>
      <c r="O617" s="323"/>
      <c r="P617" s="301"/>
      <c r="Q617" s="23"/>
      <c r="R617" s="23"/>
      <c r="S617" s="325"/>
      <c r="T617" s="325"/>
      <c r="U617" s="325"/>
      <c r="V617" s="325"/>
      <c r="W617" s="325"/>
      <c r="X617" s="325"/>
      <c r="Y617" s="325"/>
      <c r="Z617" s="325"/>
      <c r="AA617" s="325"/>
      <c r="AB617" s="325"/>
      <c r="AC617" s="325"/>
      <c r="AD617" s="325"/>
      <c r="AE617" s="325"/>
      <c r="AF617" s="325"/>
      <c r="AG617" s="325"/>
      <c r="AH617" s="325"/>
      <c r="AI617" s="325"/>
      <c r="AJ617" s="325"/>
      <c r="AK617" s="325"/>
      <c r="AL617" s="325"/>
      <c r="AM617" s="325"/>
      <c r="AN617" s="325"/>
      <c r="AO617" s="325"/>
      <c r="AP617" s="325"/>
      <c r="AQ617" s="325"/>
      <c r="AR617" s="325"/>
      <c r="AS617" s="325"/>
      <c r="AT617" s="325"/>
      <c r="AU617" s="325"/>
      <c r="AV617" s="325"/>
      <c r="AW617" s="325"/>
      <c r="AX617" s="325"/>
      <c r="AY617" s="325"/>
      <c r="AZ617" s="325"/>
      <c r="BA617" s="325"/>
      <c r="BB617" s="325"/>
      <c r="BC617" s="325"/>
      <c r="BD617" s="325"/>
      <c r="BE617" s="325"/>
      <c r="BF617" s="325"/>
      <c r="BG617" s="325"/>
      <c r="BH617" s="325"/>
      <c r="BI617" s="325"/>
      <c r="BJ617" s="325"/>
      <c r="BK617" s="325"/>
      <c r="BL617" s="325"/>
      <c r="BM617" s="325"/>
      <c r="BN617" s="325"/>
      <c r="BO617" s="325"/>
      <c r="BP617" s="325"/>
      <c r="BQ617" s="325"/>
      <c r="BR617" s="325"/>
      <c r="BS617" s="325"/>
      <c r="BT617" s="325"/>
      <c r="BU617" s="325"/>
      <c r="BV617" s="325"/>
      <c r="BW617" s="325"/>
      <c r="BX617" s="325"/>
      <c r="BY617" s="325"/>
      <c r="BZ617" s="325"/>
      <c r="CA617" s="325"/>
      <c r="CB617" s="325"/>
      <c r="CC617" s="325"/>
      <c r="CD617" s="325"/>
      <c r="CE617" s="325"/>
      <c r="CF617" s="325"/>
      <c r="CG617" s="325"/>
    </row>
    <row r="618" spans="1:85" ht="4" customHeight="1" x14ac:dyDescent="0.25">
      <c r="A618" s="318"/>
      <c r="B618" s="21"/>
      <c r="C618" s="21"/>
      <c r="D618" s="1145"/>
      <c r="E618" s="1145"/>
      <c r="F618" s="1145"/>
      <c r="G618" s="806"/>
      <c r="H618" s="807"/>
      <c r="I618" s="806"/>
      <c r="J618" s="236"/>
      <c r="K618" s="236"/>
      <c r="L618" s="236"/>
      <c r="M618" s="807"/>
      <c r="N618" s="808"/>
      <c r="O618" s="323"/>
      <c r="P618" s="301"/>
      <c r="Q618" s="23"/>
      <c r="R618" s="23"/>
      <c r="S618" s="388"/>
      <c r="T618" s="325"/>
      <c r="U618" s="325"/>
      <c r="V618" s="325"/>
      <c r="W618" s="325"/>
      <c r="X618" s="325"/>
      <c r="Y618" s="325"/>
      <c r="Z618" s="325"/>
      <c r="AA618" s="325"/>
      <c r="AB618" s="325"/>
      <c r="AC618" s="325"/>
      <c r="AD618" s="325"/>
      <c r="AE618" s="325"/>
      <c r="AF618" s="325"/>
      <c r="AG618" s="325"/>
      <c r="AH618" s="325"/>
      <c r="AI618" s="325"/>
      <c r="AJ618" s="325"/>
      <c r="AK618" s="325"/>
      <c r="AL618" s="325"/>
      <c r="AM618" s="325"/>
      <c r="AN618" s="325"/>
      <c r="AO618" s="325"/>
      <c r="AP618" s="325"/>
      <c r="AQ618" s="325"/>
      <c r="AR618" s="325"/>
      <c r="AS618" s="325"/>
      <c r="AT618" s="325"/>
      <c r="AU618" s="325"/>
      <c r="AV618" s="325"/>
      <c r="AW618" s="325"/>
      <c r="AX618" s="325"/>
      <c r="AY618" s="325"/>
      <c r="AZ618" s="325"/>
      <c r="BA618" s="325"/>
      <c r="BB618" s="325"/>
      <c r="BC618" s="325"/>
      <c r="BD618" s="325"/>
      <c r="BE618" s="325"/>
      <c r="BF618" s="325"/>
      <c r="BG618" s="325"/>
      <c r="BH618" s="325"/>
      <c r="BI618" s="325"/>
      <c r="BJ618" s="325"/>
      <c r="BK618" s="325"/>
      <c r="BL618" s="325"/>
      <c r="BM618" s="325"/>
      <c r="BN618" s="325"/>
      <c r="BO618" s="325"/>
      <c r="BP618" s="325"/>
      <c r="BQ618" s="325"/>
      <c r="BR618" s="325"/>
      <c r="BS618" s="325"/>
      <c r="BT618" s="325"/>
      <c r="BU618" s="325"/>
      <c r="BV618" s="325"/>
      <c r="BW618" s="325"/>
      <c r="BX618" s="325"/>
      <c r="BY618" s="325"/>
      <c r="BZ618" s="325"/>
      <c r="CA618" s="325"/>
      <c r="CB618" s="325"/>
      <c r="CC618" s="325"/>
      <c r="CD618" s="325"/>
      <c r="CE618" s="325"/>
      <c r="CF618" s="325"/>
      <c r="CG618" s="33" t="b">
        <f>CG605</f>
        <v>0</v>
      </c>
    </row>
    <row r="619" spans="1:85" ht="5.15" customHeight="1" x14ac:dyDescent="0.25">
      <c r="A619" s="389"/>
      <c r="B619" s="22"/>
      <c r="C619" s="22"/>
      <c r="D619" s="22"/>
      <c r="E619" s="1116" t="str">
        <f>Translations!$B$304</f>
        <v xml:space="preserve">Lisätiedot: 
tapa, jolla biomassan kestävyys on osoitettu; 
muut polttoainevirtaa koskevat lisätiedot. </v>
      </c>
      <c r="F619" s="1116"/>
      <c r="G619" s="22"/>
      <c r="H619" s="22"/>
      <c r="I619" s="22"/>
      <c r="J619" s="22"/>
      <c r="K619" s="22"/>
      <c r="L619" s="22"/>
      <c r="M619" s="22"/>
      <c r="N619" s="22"/>
      <c r="O619" s="323"/>
      <c r="P619" s="301"/>
      <c r="Q619" s="23"/>
      <c r="R619" s="23"/>
      <c r="S619" s="325"/>
      <c r="T619" s="325"/>
      <c r="U619" s="325"/>
      <c r="V619" s="325"/>
      <c r="W619" s="325"/>
      <c r="X619" s="325"/>
      <c r="Y619" s="325"/>
      <c r="Z619" s="325"/>
      <c r="AA619" s="325"/>
      <c r="AB619" s="325"/>
      <c r="AC619" s="325"/>
      <c r="AD619" s="325"/>
      <c r="AE619" s="325"/>
      <c r="AF619" s="325"/>
      <c r="AG619" s="325"/>
      <c r="AH619" s="325"/>
      <c r="AI619" s="325"/>
      <c r="AJ619" s="325"/>
      <c r="AK619" s="325"/>
      <c r="AL619" s="325"/>
      <c r="AM619" s="325"/>
      <c r="AN619" s="325"/>
      <c r="AO619" s="325"/>
      <c r="AP619" s="325"/>
      <c r="AQ619" s="325"/>
      <c r="AR619" s="325"/>
      <c r="AS619" s="325"/>
      <c r="AT619" s="325"/>
      <c r="AU619" s="325"/>
      <c r="AV619" s="325"/>
      <c r="AW619" s="325"/>
      <c r="AX619" s="325"/>
      <c r="AY619" s="325"/>
      <c r="AZ619" s="325"/>
      <c r="BA619" s="325"/>
      <c r="BB619" s="325"/>
      <c r="BC619" s="325"/>
      <c r="BD619" s="325"/>
      <c r="BE619" s="325"/>
      <c r="BF619" s="325"/>
      <c r="BG619" s="325"/>
      <c r="BH619" s="325"/>
      <c r="BI619" s="325"/>
      <c r="BJ619" s="325"/>
      <c r="BK619" s="325"/>
      <c r="BL619" s="325"/>
      <c r="BM619" s="325"/>
      <c r="BN619" s="325"/>
      <c r="BO619" s="325"/>
      <c r="BP619" s="325"/>
      <c r="BQ619" s="325"/>
      <c r="BR619" s="325"/>
      <c r="BS619" s="325"/>
      <c r="BT619" s="325"/>
      <c r="BU619" s="325"/>
      <c r="BV619" s="325"/>
      <c r="BW619" s="325"/>
      <c r="BX619" s="325"/>
      <c r="BY619" s="325"/>
      <c r="BZ619" s="325"/>
      <c r="CA619" s="325"/>
      <c r="CB619" s="325"/>
      <c r="CC619" s="325"/>
      <c r="CD619" s="325"/>
      <c r="CE619" s="325"/>
      <c r="CF619" s="325"/>
      <c r="CG619" s="325"/>
    </row>
    <row r="620" spans="1:85" ht="40" customHeight="1" x14ac:dyDescent="0.25">
      <c r="A620" s="389"/>
      <c r="B620" s="22"/>
      <c r="C620" s="22"/>
      <c r="D620" s="4"/>
      <c r="E620" s="1116"/>
      <c r="F620" s="1116"/>
      <c r="G620" s="1146"/>
      <c r="H620" s="1147"/>
      <c r="I620" s="1147"/>
      <c r="J620" s="1147"/>
      <c r="K620" s="1147"/>
      <c r="L620" s="1147"/>
      <c r="M620" s="1147"/>
      <c r="N620" s="1148"/>
      <c r="O620" s="323"/>
      <c r="P620" s="301"/>
      <c r="Q620" s="23"/>
      <c r="R620" s="23"/>
      <c r="S620" s="325"/>
      <c r="T620" s="325"/>
      <c r="U620" s="325"/>
      <c r="V620" s="325"/>
      <c r="W620" s="325"/>
      <c r="X620" s="325"/>
      <c r="Y620" s="325"/>
      <c r="Z620" s="325"/>
      <c r="AA620" s="325"/>
      <c r="AB620" s="325"/>
      <c r="AC620" s="325"/>
      <c r="AD620" s="325"/>
      <c r="AE620" s="325"/>
      <c r="AF620" s="325"/>
      <c r="AG620" s="325"/>
      <c r="AH620" s="325"/>
      <c r="AI620" s="325"/>
      <c r="AJ620" s="325"/>
      <c r="AK620" s="325"/>
      <c r="AL620" s="325"/>
      <c r="AM620" s="325"/>
      <c r="AN620" s="325"/>
      <c r="AO620" s="325"/>
      <c r="AP620" s="325"/>
      <c r="AQ620" s="325"/>
      <c r="AR620" s="325"/>
      <c r="AS620" s="325"/>
      <c r="AT620" s="325"/>
      <c r="AU620" s="325"/>
      <c r="AV620" s="325"/>
      <c r="AW620" s="325"/>
      <c r="AX620" s="325"/>
      <c r="AY620" s="325"/>
      <c r="AZ620" s="325"/>
      <c r="BA620" s="325"/>
      <c r="BB620" s="325"/>
      <c r="BC620" s="325"/>
      <c r="BD620" s="325"/>
      <c r="BE620" s="325"/>
      <c r="BF620" s="325"/>
      <c r="BG620" s="325"/>
      <c r="BH620" s="325"/>
      <c r="BI620" s="325"/>
      <c r="BJ620" s="325"/>
      <c r="BK620" s="325"/>
      <c r="BL620" s="325"/>
      <c r="BM620" s="325"/>
      <c r="BN620" s="325"/>
      <c r="BO620" s="325"/>
      <c r="BP620" s="325"/>
      <c r="BQ620" s="325"/>
      <c r="BR620" s="325"/>
      <c r="BS620" s="325"/>
      <c r="BT620" s="325"/>
      <c r="BU620" s="325"/>
      <c r="BV620" s="325"/>
      <c r="BW620" s="325"/>
      <c r="BX620" s="325"/>
      <c r="BY620" s="325"/>
      <c r="BZ620" s="325"/>
      <c r="CA620" s="325"/>
      <c r="CB620" s="325"/>
      <c r="CC620" s="325"/>
      <c r="CD620" s="325"/>
      <c r="CE620" s="325"/>
      <c r="CF620" s="325"/>
      <c r="CG620" s="33" t="b">
        <f>CG618</f>
        <v>0</v>
      </c>
    </row>
    <row r="621" spans="1:85" ht="12.75" customHeight="1" thickBot="1" x14ac:dyDescent="0.3">
      <c r="A621" s="318"/>
      <c r="B621" s="22"/>
      <c r="C621" s="319"/>
      <c r="D621" s="320"/>
      <c r="E621" s="321"/>
      <c r="F621" s="319"/>
      <c r="G621" s="322"/>
      <c r="H621" s="322"/>
      <c r="I621" s="322"/>
      <c r="J621" s="322"/>
      <c r="K621" s="322"/>
      <c r="L621" s="322"/>
      <c r="M621" s="322"/>
      <c r="N621" s="322"/>
      <c r="O621" s="323"/>
      <c r="P621" s="301"/>
      <c r="Q621" s="23"/>
      <c r="R621" s="23"/>
      <c r="S621" s="41"/>
      <c r="T621" s="41"/>
      <c r="U621" s="324"/>
      <c r="V621" s="41"/>
      <c r="W621" s="41"/>
      <c r="X621" s="324"/>
      <c r="Y621" s="41"/>
      <c r="Z621" s="41"/>
      <c r="AA621" s="41"/>
      <c r="AB621" s="41"/>
      <c r="AC621" s="41"/>
      <c r="AD621" s="41"/>
      <c r="AE621" s="41"/>
      <c r="AF621" s="41"/>
      <c r="AG621" s="41"/>
      <c r="AH621" s="41"/>
      <c r="AI621" s="41"/>
      <c r="AJ621" s="41"/>
      <c r="AK621" s="41"/>
      <c r="AL621" s="41"/>
      <c r="AM621" s="41"/>
      <c r="AN621" s="41"/>
      <c r="AO621" s="41"/>
      <c r="AP621" s="41"/>
      <c r="AQ621" s="41"/>
      <c r="AR621" s="41"/>
      <c r="AS621" s="41"/>
      <c r="AT621" s="41"/>
      <c r="AU621" s="41"/>
      <c r="AV621" s="41"/>
      <c r="AW621" s="41"/>
      <c r="AX621" s="41"/>
      <c r="AY621" s="41"/>
      <c r="AZ621" s="41"/>
      <c r="BA621" s="41"/>
      <c r="BB621" s="41"/>
      <c r="BC621" s="41"/>
      <c r="BD621" s="41"/>
      <c r="BE621" s="41"/>
      <c r="BF621" s="41"/>
      <c r="BG621" s="41"/>
      <c r="BH621" s="41"/>
      <c r="BI621" s="41"/>
      <c r="BJ621" s="41"/>
      <c r="BK621" s="41"/>
      <c r="BL621" s="41"/>
      <c r="BM621" s="325"/>
      <c r="BN621" s="325"/>
      <c r="BO621" s="325"/>
      <c r="BP621" s="325"/>
      <c r="BQ621" s="325"/>
      <c r="BR621" s="325"/>
      <c r="BS621" s="325"/>
      <c r="BT621" s="325"/>
      <c r="BU621" s="41"/>
      <c r="BV621" s="41"/>
      <c r="BW621" s="41"/>
      <c r="BX621" s="41"/>
      <c r="BY621" s="41"/>
      <c r="BZ621" s="41"/>
      <c r="CA621" s="41"/>
      <c r="CB621" s="41"/>
      <c r="CC621" s="41"/>
      <c r="CD621" s="41"/>
      <c r="CE621" s="41"/>
      <c r="CF621" s="41"/>
      <c r="CG621" s="41"/>
    </row>
    <row r="622" spans="1:85" ht="12.75" customHeight="1" thickBot="1" x14ac:dyDescent="0.3">
      <c r="A622" s="326"/>
      <c r="B622" s="22"/>
      <c r="C622" s="22"/>
      <c r="D622" s="327"/>
      <c r="E622" s="328"/>
      <c r="F622" s="22"/>
      <c r="G622" s="1"/>
      <c r="H622" s="1"/>
      <c r="I622" s="1"/>
      <c r="J622" s="1"/>
      <c r="K622" s="22"/>
      <c r="L622" s="1"/>
      <c r="M622" s="1"/>
      <c r="N622" s="1"/>
      <c r="O622" s="323"/>
      <c r="P622" s="301"/>
      <c r="Q622" s="23"/>
      <c r="R622" s="23"/>
      <c r="S622" s="2"/>
      <c r="T622" s="20" t="str">
        <f>IF(ISBLANK(E623),"",MATCH(E623,CNTR_SourceStreamNames,0))</f>
        <v/>
      </c>
      <c r="U622" s="329" t="str">
        <f>IF(ISBLANK(E623),"",INDEX('B_Polttoainevirtojen tiedot'!$D$67:$D$91,MATCH(E623,CNTR_SourceStreamNames,0)))</f>
        <v/>
      </c>
      <c r="V622" s="60"/>
      <c r="W622" s="37"/>
      <c r="X622" s="37"/>
      <c r="Y622" s="37"/>
      <c r="Z622" s="41"/>
      <c r="AA622" s="41"/>
      <c r="AB622" s="41"/>
      <c r="AC622" s="41"/>
      <c r="AD622" s="41"/>
      <c r="AE622" s="41"/>
      <c r="AF622" s="41"/>
      <c r="AG622" s="41"/>
      <c r="AH622" s="41"/>
      <c r="AI622" s="41"/>
      <c r="AJ622" s="41"/>
      <c r="AK622" s="23"/>
      <c r="AL622" s="41"/>
      <c r="AM622" s="41"/>
      <c r="AN622" s="41"/>
      <c r="AO622" s="41"/>
      <c r="AP622" s="41"/>
      <c r="AQ622" s="41"/>
      <c r="AR622" s="41"/>
      <c r="AS622" s="41"/>
      <c r="AT622" s="41"/>
      <c r="AU622" s="41"/>
      <c r="AV622" s="41"/>
      <c r="AW622" s="41"/>
      <c r="AX622" s="41"/>
      <c r="AY622" s="41"/>
      <c r="AZ622" s="41"/>
      <c r="BA622" s="41"/>
      <c r="BB622" s="41"/>
      <c r="BC622" s="41"/>
      <c r="BD622" s="41"/>
      <c r="BE622" s="41"/>
      <c r="BF622" s="41"/>
      <c r="BG622" s="41"/>
      <c r="BH622" s="41"/>
      <c r="BI622" s="41"/>
      <c r="BJ622" s="37"/>
      <c r="BK622" s="37"/>
      <c r="BL622" s="37"/>
      <c r="BM622" s="37"/>
      <c r="BN622" s="37"/>
      <c r="BO622" s="37"/>
      <c r="BP622" s="37"/>
      <c r="BQ622" s="37"/>
      <c r="BR622" s="37"/>
      <c r="BS622" s="37"/>
      <c r="BT622" s="37"/>
      <c r="BU622" s="37"/>
      <c r="BV622" s="37"/>
      <c r="BW622" s="37"/>
      <c r="BX622" s="37"/>
      <c r="BY622" s="37"/>
      <c r="BZ622" s="37"/>
      <c r="CA622" s="37"/>
      <c r="CB622" s="37"/>
      <c r="CC622" s="37"/>
      <c r="CD622" s="37"/>
      <c r="CE622" s="37"/>
      <c r="CF622" s="37"/>
      <c r="CG622" s="330" t="s">
        <v>94</v>
      </c>
    </row>
    <row r="623" spans="1:85" ht="15" customHeight="1" thickBot="1" x14ac:dyDescent="0.3">
      <c r="A623" s="331">
        <f>C623</f>
        <v>25</v>
      </c>
      <c r="B623" s="21"/>
      <c r="C623" s="332">
        <f>C599+1</f>
        <v>25</v>
      </c>
      <c r="D623" s="21"/>
      <c r="E623" s="1117"/>
      <c r="F623" s="1118"/>
      <c r="G623" s="1118"/>
      <c r="H623" s="1118"/>
      <c r="I623" s="1118"/>
      <c r="J623" s="1119"/>
      <c r="K623" s="1138" t="str">
        <f>IF(INDEX('B_Polttoainevirtojen tiedot'!$K$100:$K$124,MATCH(U622,'B_Polttoainevirtojen tiedot'!$D$100:$D$124,0))&gt;0,INDEX('B_Polttoainevirtojen tiedot'!$K$100:$K$124,MATCH(U622,'B_Polttoainevirtojen tiedot'!$D$100:$D$124,0)),"")</f>
        <v/>
      </c>
      <c r="L623" s="1139"/>
      <c r="M623" s="328" t="str">
        <f>Translations!$B$374</f>
        <v>CO2 fossiilinen:</v>
      </c>
      <c r="N623" s="401" t="str">
        <f>IF(E624="","",BG629)</f>
        <v/>
      </c>
      <c r="O623" s="333" t="str">
        <f>EUconst_tCO2</f>
        <v>tCO2</v>
      </c>
      <c r="P623" s="610" t="str">
        <f>IF(AND(E623&lt;&gt;"",COUNTIF(P624:$P$811,"PRINT")=0),"PRINT","")</f>
        <v/>
      </c>
      <c r="Q623" s="335" t="str">
        <f>EUconst_SumCO2</f>
        <v>SUM_CO2</v>
      </c>
      <c r="R623" s="23"/>
      <c r="S623" s="2"/>
      <c r="T623" s="2"/>
      <c r="U623" s="2"/>
      <c r="V623" s="60"/>
      <c r="W623" s="37"/>
      <c r="X623" s="41"/>
      <c r="Y623" s="41"/>
      <c r="Z623" s="41"/>
      <c r="AA623" s="41"/>
      <c r="AB623" s="41"/>
      <c r="AC623" s="41"/>
      <c r="AD623" s="41"/>
      <c r="AE623" s="41"/>
      <c r="AF623" s="41"/>
      <c r="AG623" s="41"/>
      <c r="AH623" s="41"/>
      <c r="AI623" s="337"/>
      <c r="AJ623" s="337"/>
      <c r="AK623" s="337"/>
      <c r="AL623" s="337"/>
      <c r="AM623" s="337"/>
      <c r="AN623" s="337"/>
      <c r="AO623" s="337"/>
      <c r="AP623" s="337"/>
      <c r="AQ623" s="337"/>
      <c r="AR623" s="337"/>
      <c r="AS623" s="337"/>
      <c r="AT623" s="337"/>
      <c r="AU623" s="337"/>
      <c r="AV623" s="337"/>
      <c r="AW623" s="337"/>
      <c r="AX623" s="337"/>
      <c r="AY623" s="337"/>
      <c r="AZ623" s="337"/>
      <c r="BA623" s="337"/>
      <c r="BB623" s="337"/>
      <c r="BC623" s="337"/>
      <c r="BD623" s="337"/>
      <c r="BE623" s="337"/>
      <c r="BF623" s="337"/>
      <c r="BG623" s="337"/>
      <c r="BH623" s="337"/>
      <c r="BI623" s="483" t="str">
        <f>IF(E623="","",E623)</f>
        <v/>
      </c>
      <c r="BJ623" s="338" t="str">
        <f>IF(F629="","",F629)</f>
        <v/>
      </c>
      <c r="BK623" s="485">
        <f>AV629</f>
        <v>0</v>
      </c>
      <c r="BL623" s="485">
        <f>IF(BK623="","",BK623*(1-BP623))</f>
        <v>0</v>
      </c>
      <c r="BM623" s="338" t="str">
        <f>AJ629</f>
        <v/>
      </c>
      <c r="BN623" s="338" t="str">
        <f>IF(F636="","",F636)</f>
        <v/>
      </c>
      <c r="BO623" s="483" t="str">
        <f>IF(G636="","",G636)</f>
        <v/>
      </c>
      <c r="BP623" s="484">
        <f>AV636</f>
        <v>0</v>
      </c>
      <c r="BQ623" s="338" t="str">
        <f>IF(F632="","",F632)</f>
        <v/>
      </c>
      <c r="BR623" s="484">
        <f>AV632</f>
        <v>0</v>
      </c>
      <c r="BS623" s="484" t="str">
        <f>AJ632</f>
        <v/>
      </c>
      <c r="BT623" s="338" t="str">
        <f>IF(F631="","",F631)</f>
        <v/>
      </c>
      <c r="BU623" s="484">
        <f>IF(F631=EUconst_NA,"",AV631)</f>
        <v>0</v>
      </c>
      <c r="BV623" s="484" t="str">
        <f>AJ631</f>
        <v/>
      </c>
      <c r="BW623" s="338" t="str">
        <f>IF(F633="","",F633)</f>
        <v/>
      </c>
      <c r="BX623" s="484">
        <f>AV633</f>
        <v>0</v>
      </c>
      <c r="BY623" s="338" t="str">
        <f>IF(F634="","",F634)</f>
        <v/>
      </c>
      <c r="BZ623" s="484">
        <f>AV634</f>
        <v>0</v>
      </c>
      <c r="CA623" s="485" t="str">
        <f>N623</f>
        <v/>
      </c>
      <c r="CB623" s="485" t="str">
        <f>N624</f>
        <v/>
      </c>
      <c r="CC623" s="485" t="str">
        <f>R626</f>
        <v/>
      </c>
      <c r="CD623" s="485" t="str">
        <f>R628</f>
        <v/>
      </c>
      <c r="CE623" s="485" t="str">
        <f>R629</f>
        <v/>
      </c>
      <c r="CF623" s="37"/>
      <c r="CG623" s="339" t="b">
        <v>0</v>
      </c>
    </row>
    <row r="624" spans="1:85" ht="15" customHeight="1" thickBot="1" x14ac:dyDescent="0.3">
      <c r="A624" s="318"/>
      <c r="B624" s="21"/>
      <c r="C624" s="21"/>
      <c r="D624" s="21"/>
      <c r="E624" s="1127" t="str">
        <f>IF(ISBLANK(E623),"",IF(INDEX('B_Polttoainevirtojen tiedot'!$E$67:$E$91,MATCH(U622,'B_Polttoainevirtojen tiedot'!$D$67:$D$91,0))&gt;0,INDEX('B_Polttoainevirtojen tiedot'!$E$67:$E$91,MATCH(U622,'B_Polttoainevirtojen tiedot'!$D$67:$D$91,0)),""))</f>
        <v/>
      </c>
      <c r="F624" s="1128"/>
      <c r="G624" s="1128"/>
      <c r="H624" s="1128"/>
      <c r="I624" s="1128"/>
      <c r="J624" s="1129"/>
      <c r="K624" s="1138" t="str">
        <f>IF(INDEX('B_Polttoainevirtojen tiedot'!$M$100:$M$124,MATCH(U622,'B_Polttoainevirtojen tiedot'!$D$100:$D$124,0))&gt;0,INDEX('B_Polttoainevirtojen tiedot'!$M$100:$M$124,MATCH(U622,'B_Polttoainevirtojen tiedot'!$D$100:$D$124,0)),"")</f>
        <v/>
      </c>
      <c r="L624" s="1139"/>
      <c r="M624" s="340" t="str">
        <f>Translations!$B$375</f>
        <v>CO2 bio:</v>
      </c>
      <c r="N624" s="482" t="str">
        <f>IF(E624="","",BG631)</f>
        <v/>
      </c>
      <c r="O624" s="341" t="str">
        <f>EUconst_tCO2</f>
        <v>tCO2</v>
      </c>
      <c r="P624" s="301"/>
      <c r="Q624" s="335" t="str">
        <f>EUconst_SumBioCO2</f>
        <v>SUM_bioCO2</v>
      </c>
      <c r="R624" s="23"/>
      <c r="S624" s="2"/>
      <c r="T624" s="2"/>
      <c r="U624" s="2"/>
      <c r="V624" s="60"/>
      <c r="W624" s="37"/>
      <c r="X624" s="41"/>
      <c r="Y624" s="20" t="str">
        <f>Translations!$B$143</f>
        <v>Määrittämistasot</v>
      </c>
      <c r="Z624" s="325"/>
      <c r="AA624" s="325"/>
      <c r="AB624" s="325"/>
      <c r="AC624" s="325"/>
      <c r="AD624" s="325"/>
      <c r="AE624" s="20" t="s">
        <v>95</v>
      </c>
      <c r="AF624" s="41"/>
      <c r="AG624" s="342"/>
      <c r="AH624" s="325"/>
      <c r="AI624" s="325"/>
      <c r="AJ624" s="342"/>
      <c r="AK624" s="342"/>
      <c r="AL624" s="337"/>
      <c r="AM624" s="337"/>
      <c r="AN624" s="337"/>
      <c r="AO624" s="337"/>
      <c r="AP624" s="337"/>
      <c r="AQ624" s="20" t="s">
        <v>96</v>
      </c>
      <c r="AR624" s="343"/>
      <c r="AS624" s="343"/>
      <c r="AT624" s="325"/>
      <c r="AU624" s="325"/>
      <c r="AV624" s="325"/>
      <c r="AW624" s="325"/>
      <c r="AX624" s="325"/>
      <c r="AY624" s="325"/>
      <c r="AZ624" s="20" t="s">
        <v>97</v>
      </c>
      <c r="BA624" s="325"/>
      <c r="BB624" s="325"/>
      <c r="BC624" s="325"/>
      <c r="BD624" s="325"/>
      <c r="BE624" s="325"/>
      <c r="BF624" s="20" t="s">
        <v>98</v>
      </c>
      <c r="BG624" s="325"/>
      <c r="BH624" s="325"/>
      <c r="BI624" s="20" t="s">
        <v>99</v>
      </c>
      <c r="BJ624" s="338" t="str">
        <f>Translations!$B$376</f>
        <v>RFA-määrittämistaso</v>
      </c>
      <c r="BK624" s="338" t="str">
        <f>Translations!$B$377</f>
        <v>RFA</v>
      </c>
      <c r="BL624" s="338" t="str">
        <f>Translations!$B$378</f>
        <v>RFA (SF:n jälkeen)</v>
      </c>
      <c r="BM624" s="338" t="str">
        <f>Translations!$B$379</f>
        <v>RFA-yksikkö</v>
      </c>
      <c r="BN624" s="338" t="str">
        <f>Translations!$B$380</f>
        <v>SF-määrittämistaso</v>
      </c>
      <c r="BO624" s="338" t="str">
        <f>Translations!$B$380</f>
        <v>SF-määrittämistaso</v>
      </c>
      <c r="BP624" s="338" t="str">
        <f>Translations!$B$381</f>
        <v>SF</v>
      </c>
      <c r="BQ624" s="338" t="str">
        <f>Translations!$B$382</f>
        <v>EF-määrittämistaso</v>
      </c>
      <c r="BR624" s="338" t="str">
        <f>Translations!$B$383</f>
        <v>EF</v>
      </c>
      <c r="BS624" s="338" t="str">
        <f>Translations!$B$384</f>
        <v>EF-yksikkö</v>
      </c>
      <c r="BT624" s="338" t="str">
        <f>Translations!$B$385</f>
        <v>UCF-määrittämistaso</v>
      </c>
      <c r="BU624" s="338" t="str">
        <f>Translations!$B$386</f>
        <v>UCF</v>
      </c>
      <c r="BV624" s="338" t="str">
        <f>Translations!$B$387</f>
        <v>UCF-yksikkö</v>
      </c>
      <c r="BW624" s="338" t="str">
        <f>Translations!$B$388</f>
        <v>Bio-määrittämistaso</v>
      </c>
      <c r="BX624" s="338" t="s">
        <v>100</v>
      </c>
      <c r="BY624" s="338" t="str">
        <f>Translations!$B$389</f>
        <v>NonSustBio-määrittämistaso</v>
      </c>
      <c r="BZ624" s="338" t="s">
        <v>101</v>
      </c>
      <c r="CA624" s="338" t="str">
        <f>Translations!$B$390</f>
        <v>CO2 fossil</v>
      </c>
      <c r="CB624" s="338" t="str">
        <f>Translations!$B$391</f>
        <v>CO2 bio</v>
      </c>
      <c r="CC624" s="338" t="str">
        <f>Translations!$B$392</f>
        <v>CO2 non-sust</v>
      </c>
      <c r="CD624" s="338" t="s">
        <v>102</v>
      </c>
      <c r="CE624" s="338" t="s">
        <v>103</v>
      </c>
      <c r="CF624" s="325"/>
      <c r="CG624" s="325"/>
    </row>
    <row r="625" spans="1:85" ht="5.15" customHeight="1" thickBot="1" x14ac:dyDescent="0.3">
      <c r="A625" s="318"/>
      <c r="B625" s="21"/>
      <c r="C625" s="21"/>
      <c r="D625" s="21"/>
      <c r="E625" s="21"/>
      <c r="F625" s="21"/>
      <c r="G625" s="21"/>
      <c r="H625" s="22"/>
      <c r="I625" s="22"/>
      <c r="J625" s="22"/>
      <c r="K625" s="22"/>
      <c r="L625" s="22"/>
      <c r="M625" s="22"/>
      <c r="N625" s="22"/>
      <c r="O625" s="323"/>
      <c r="P625" s="301"/>
      <c r="Q625" s="23"/>
      <c r="R625" s="23"/>
      <c r="S625" s="2"/>
      <c r="T625" s="2"/>
      <c r="U625" s="2"/>
      <c r="V625" s="60"/>
      <c r="W625" s="325"/>
      <c r="X625" s="325"/>
      <c r="Y625" s="23"/>
      <c r="Z625" s="325"/>
      <c r="AA625" s="325"/>
      <c r="AB625" s="325"/>
      <c r="AC625" s="325"/>
      <c r="AD625" s="325"/>
      <c r="AE625" s="325"/>
      <c r="AF625" s="41"/>
      <c r="AG625" s="325"/>
      <c r="AH625" s="325"/>
      <c r="AI625" s="325"/>
      <c r="AJ625" s="342"/>
      <c r="AK625" s="342"/>
      <c r="AL625" s="337"/>
      <c r="AM625" s="337"/>
      <c r="AN625" s="337"/>
      <c r="AO625" s="337"/>
      <c r="AP625" s="337"/>
      <c r="AQ625" s="325"/>
      <c r="AR625" s="325"/>
      <c r="AS625" s="325"/>
      <c r="AT625" s="325"/>
      <c r="AU625" s="325"/>
      <c r="AV625" s="325"/>
      <c r="AW625" s="325"/>
      <c r="AX625" s="325"/>
      <c r="AY625" s="325"/>
      <c r="AZ625" s="325"/>
      <c r="BA625" s="325"/>
      <c r="BB625" s="325"/>
      <c r="BC625" s="325"/>
      <c r="BD625" s="325"/>
      <c r="BE625" s="325"/>
      <c r="BF625" s="325"/>
      <c r="BG625" s="325"/>
      <c r="BH625" s="325"/>
      <c r="BI625" s="325"/>
      <c r="BJ625" s="325"/>
      <c r="BK625" s="325"/>
      <c r="BL625" s="325"/>
      <c r="BM625" s="325"/>
      <c r="BN625" s="325"/>
      <c r="BO625" s="325"/>
      <c r="BP625" s="325"/>
      <c r="BQ625" s="325"/>
      <c r="BR625" s="325"/>
      <c r="BS625" s="325"/>
      <c r="BT625" s="325"/>
      <c r="BU625" s="325"/>
      <c r="BV625" s="325"/>
      <c r="BW625" s="325"/>
      <c r="BX625" s="325"/>
      <c r="BY625" s="325"/>
      <c r="BZ625" s="325"/>
      <c r="CA625" s="325"/>
      <c r="CB625" s="325"/>
      <c r="CC625" s="325"/>
      <c r="CD625" s="325"/>
      <c r="CE625" s="325"/>
      <c r="CF625" s="325"/>
      <c r="CG625" s="325"/>
    </row>
    <row r="626" spans="1:85" ht="12.75" customHeight="1" thickBot="1" x14ac:dyDescent="0.3">
      <c r="A626" s="318"/>
      <c r="B626" s="21"/>
      <c r="C626" s="21"/>
      <c r="D626" s="21"/>
      <c r="E626" s="1140" t="str">
        <f>IF(E623="","",HYPERLINK("#JUMP_E_Top",EUconst_FurtherGuidancePoint1))</f>
        <v/>
      </c>
      <c r="F626" s="1140"/>
      <c r="G626" s="1140"/>
      <c r="H626" s="1140"/>
      <c r="I626" s="1140"/>
      <c r="J626" s="1140"/>
      <c r="K626" s="1140"/>
      <c r="L626" s="1140"/>
      <c r="M626" s="1140"/>
      <c r="N626" s="22"/>
      <c r="O626" s="323"/>
      <c r="P626" s="301"/>
      <c r="Q626" s="335" t="str">
        <f>EUconst_SumNonSustBioCO2</f>
        <v>SUM_bioNonSustCO2</v>
      </c>
      <c r="R626" s="500" t="str">
        <f>IF(E624="","",BG632)</f>
        <v/>
      </c>
      <c r="S626" s="2"/>
      <c r="T626" s="2"/>
      <c r="U626" s="2"/>
      <c r="V626" s="325"/>
      <c r="W626" s="325"/>
      <c r="X626" s="325"/>
      <c r="Y626" s="41"/>
      <c r="Z626" s="325"/>
      <c r="AA626" s="325"/>
      <c r="AB626" s="325"/>
      <c r="AC626" s="325"/>
      <c r="AD626" s="325"/>
      <c r="AE626" s="325"/>
      <c r="AF626" s="41"/>
      <c r="AG626" s="325"/>
      <c r="AH626" s="325"/>
      <c r="AI626" s="325"/>
      <c r="AJ626" s="342"/>
      <c r="AK626" s="342"/>
      <c r="AL626" s="337"/>
      <c r="AM626" s="337"/>
      <c r="AN626" s="337"/>
      <c r="AO626" s="337"/>
      <c r="AP626" s="337"/>
      <c r="AQ626" s="325"/>
      <c r="AR626" s="325"/>
      <c r="AS626" s="325"/>
      <c r="AT626" s="325"/>
      <c r="AU626" s="325"/>
      <c r="AV626" s="325"/>
      <c r="AW626" s="325"/>
      <c r="AX626" s="325"/>
      <c r="AY626" s="325"/>
      <c r="AZ626" s="325"/>
      <c r="BA626" s="325"/>
      <c r="BB626" s="325"/>
      <c r="BC626" s="325"/>
      <c r="BD626" s="325"/>
      <c r="BE626" s="325"/>
      <c r="BF626" s="325"/>
      <c r="BG626" s="325"/>
      <c r="BH626" s="325"/>
      <c r="BI626" s="20" t="s">
        <v>104</v>
      </c>
      <c r="BJ626" s="343"/>
      <c r="BK626" s="483" t="str">
        <f>IF(G640="","",G640)</f>
        <v/>
      </c>
      <c r="BL626" s="483" t="str">
        <f>IF(I640="","",I640)</f>
        <v/>
      </c>
      <c r="BM626" s="483" t="str">
        <f>IF(K640="","",K640)</f>
        <v/>
      </c>
      <c r="BN626" s="325"/>
      <c r="BO626" s="325"/>
      <c r="BP626" s="325"/>
      <c r="BQ626" s="325"/>
      <c r="BR626" s="325"/>
      <c r="BS626" s="325"/>
      <c r="BT626" s="330"/>
      <c r="BU626" s="325"/>
      <c r="BV626" s="325"/>
      <c r="BW626" s="325"/>
      <c r="BX626" s="325"/>
      <c r="BY626" s="325"/>
      <c r="BZ626" s="325"/>
      <c r="CA626" s="325"/>
      <c r="CB626" s="325"/>
      <c r="CC626" s="325"/>
      <c r="CD626" s="325"/>
      <c r="CE626" s="325"/>
      <c r="CF626" s="325"/>
      <c r="CG626" s="325"/>
    </row>
    <row r="627" spans="1:85" ht="5.15" customHeight="1" thickBot="1" x14ac:dyDescent="0.3">
      <c r="A627" s="318"/>
      <c r="B627" s="21"/>
      <c r="C627" s="21"/>
      <c r="D627" s="21"/>
      <c r="E627" s="21"/>
      <c r="F627" s="21"/>
      <c r="G627" s="21"/>
      <c r="H627" s="22"/>
      <c r="I627" s="22"/>
      <c r="J627" s="22"/>
      <c r="K627" s="22"/>
      <c r="L627" s="22"/>
      <c r="M627" s="22"/>
      <c r="N627" s="22"/>
      <c r="O627" s="323"/>
      <c r="P627" s="259"/>
      <c r="Q627" s="2"/>
      <c r="R627" s="259"/>
      <c r="S627" s="2"/>
      <c r="T627" s="2"/>
      <c r="U627" s="2"/>
      <c r="V627" s="325"/>
      <c r="W627" s="325"/>
      <c r="X627" s="325"/>
      <c r="Y627" s="23"/>
      <c r="Z627" s="325"/>
      <c r="AA627" s="325"/>
      <c r="AB627" s="325"/>
      <c r="AC627" s="325"/>
      <c r="AD627" s="325"/>
      <c r="AE627" s="325"/>
      <c r="AF627" s="41"/>
      <c r="AG627" s="325"/>
      <c r="AH627" s="325"/>
      <c r="AI627" s="325"/>
      <c r="AJ627" s="342"/>
      <c r="AK627" s="342"/>
      <c r="AL627" s="337"/>
      <c r="AM627" s="337"/>
      <c r="AN627" s="337"/>
      <c r="AO627" s="337"/>
      <c r="AP627" s="337"/>
      <c r="AQ627" s="325"/>
      <c r="AR627" s="325"/>
      <c r="AS627" s="325"/>
      <c r="AT627" s="325"/>
      <c r="AU627" s="325"/>
      <c r="AV627" s="325"/>
      <c r="AW627" s="325"/>
      <c r="AX627" s="325"/>
      <c r="AY627" s="325"/>
      <c r="AZ627" s="325"/>
      <c r="BA627" s="325"/>
      <c r="BB627" s="325"/>
      <c r="BC627" s="325"/>
      <c r="BD627" s="325"/>
      <c r="BE627" s="325"/>
      <c r="BF627" s="325"/>
      <c r="BG627" s="325"/>
      <c r="BH627" s="325"/>
      <c r="BI627" s="325"/>
      <c r="BJ627" s="325"/>
      <c r="BK627" s="325"/>
      <c r="BL627" s="325"/>
      <c r="BM627" s="325"/>
      <c r="BN627" s="325"/>
      <c r="BO627" s="325"/>
      <c r="BP627" s="325"/>
      <c r="BQ627" s="325"/>
      <c r="BR627" s="325"/>
      <c r="BS627" s="325"/>
      <c r="BT627" s="325"/>
      <c r="BU627" s="325"/>
      <c r="BV627" s="325"/>
      <c r="BW627" s="325"/>
      <c r="BX627" s="325"/>
      <c r="BY627" s="325"/>
      <c r="BZ627" s="325"/>
      <c r="CA627" s="325"/>
      <c r="CB627" s="325"/>
      <c r="CC627" s="325"/>
      <c r="CD627" s="325"/>
      <c r="CE627" s="325"/>
      <c r="CF627" s="325"/>
      <c r="CG627" s="325"/>
    </row>
    <row r="628" spans="1:85" ht="12.75" customHeight="1" thickBot="1" x14ac:dyDescent="0.3">
      <c r="A628" s="318"/>
      <c r="B628" s="21"/>
      <c r="C628" s="21"/>
      <c r="D628" s="21"/>
      <c r="E628" s="21"/>
      <c r="F628" s="347" t="str">
        <f>Translations!$B$127</f>
        <v>Määrittämistaso</v>
      </c>
      <c r="G628" s="1141" t="str">
        <f>Translations!$B$393</f>
        <v>määrittämistason kuvaus</v>
      </c>
      <c r="H628" s="1141"/>
      <c r="I628" s="1142" t="str">
        <f>Translations!$B$394</f>
        <v>Yksikkö</v>
      </c>
      <c r="J628" s="1142"/>
      <c r="K628" s="1142" t="str">
        <f>Translations!$B$395</f>
        <v>Arvo</v>
      </c>
      <c r="L628" s="1142"/>
      <c r="M628" s="327" t="str">
        <f>Translations!$B$396</f>
        <v>virhe</v>
      </c>
      <c r="N628" s="22"/>
      <c r="O628" s="323"/>
      <c r="P628" s="611"/>
      <c r="Q628" s="335" t="str">
        <f>EUconst_SumEnergyIN</f>
        <v>SUM_EnergyIN</v>
      </c>
      <c r="R628" s="501" t="str">
        <f>IF(E624="","",BG633)</f>
        <v/>
      </c>
      <c r="S628" s="325"/>
      <c r="T628" s="325"/>
      <c r="U628" s="325"/>
      <c r="V628" s="336" t="s">
        <v>105</v>
      </c>
      <c r="W628" s="325"/>
      <c r="X628" s="325"/>
      <c r="Y628" s="23" t="s">
        <v>106</v>
      </c>
      <c r="Z628" s="23" t="s">
        <v>107</v>
      </c>
      <c r="AA628" s="325"/>
      <c r="AB628" s="325"/>
      <c r="AC628" s="343" t="s">
        <v>108</v>
      </c>
      <c r="AD628" s="325"/>
      <c r="AE628" s="325"/>
      <c r="AF628" s="325" t="s">
        <v>109</v>
      </c>
      <c r="AG628" s="325" t="s">
        <v>110</v>
      </c>
      <c r="AH628" s="23" t="s">
        <v>111</v>
      </c>
      <c r="AI628" s="342" t="s">
        <v>112</v>
      </c>
      <c r="AJ628" s="342" t="s">
        <v>113</v>
      </c>
      <c r="AK628" s="348" t="s">
        <v>114</v>
      </c>
      <c r="AL628" s="337"/>
      <c r="AM628" s="337"/>
      <c r="AN628" s="337"/>
      <c r="AO628" s="337"/>
      <c r="AP628" s="337"/>
      <c r="AQ628" s="325"/>
      <c r="AR628" s="325" t="s">
        <v>109</v>
      </c>
      <c r="AS628" s="325" t="s">
        <v>110</v>
      </c>
      <c r="AT628" s="349" t="s">
        <v>115</v>
      </c>
      <c r="AU628" s="342" t="s">
        <v>116</v>
      </c>
      <c r="AV628" s="342" t="s">
        <v>117</v>
      </c>
      <c r="AW628" s="348" t="s">
        <v>114</v>
      </c>
      <c r="AX628" s="348" t="s">
        <v>114</v>
      </c>
      <c r="AY628" s="325"/>
      <c r="AZ628" s="325"/>
      <c r="BA628" s="325"/>
      <c r="BB628" s="325" t="s">
        <v>118</v>
      </c>
      <c r="BC628" s="325"/>
      <c r="BD628" s="325"/>
      <c r="BE628" s="325"/>
      <c r="BF628" s="325"/>
      <c r="BG628" s="330" t="str">
        <f>EUconst_Fuel</f>
        <v>Poltto</v>
      </c>
      <c r="BH628" s="325"/>
      <c r="BI628" s="325"/>
      <c r="BJ628" s="325"/>
      <c r="BK628" s="325"/>
      <c r="BL628" s="325"/>
      <c r="BM628" s="325"/>
      <c r="BN628" s="325"/>
      <c r="BO628" s="325"/>
      <c r="BP628" s="325"/>
      <c r="BQ628" s="325"/>
      <c r="BR628" s="325"/>
      <c r="BS628" s="325"/>
      <c r="BT628" s="325"/>
      <c r="BU628" s="325"/>
      <c r="BV628" s="325"/>
      <c r="BW628" s="325"/>
      <c r="BX628" s="325"/>
      <c r="BY628" s="325"/>
      <c r="BZ628" s="325"/>
      <c r="CA628" s="325"/>
      <c r="CB628" s="325"/>
      <c r="CC628" s="325"/>
      <c r="CD628" s="325"/>
      <c r="CE628" s="325"/>
      <c r="CF628" s="325"/>
      <c r="CG628" s="330" t="s">
        <v>94</v>
      </c>
    </row>
    <row r="629" spans="1:85" ht="12.75" customHeight="1" thickBot="1" x14ac:dyDescent="0.3">
      <c r="A629" s="318"/>
      <c r="B629" s="21"/>
      <c r="C629" s="344"/>
      <c r="D629" s="345" t="str">
        <f>Translations!$B$356</f>
        <v>Polttoaineen määrä:</v>
      </c>
      <c r="E629" s="350"/>
      <c r="F629" s="351"/>
      <c r="G629" s="1120" t="str">
        <f>IF(OR(ISBLANK(F629),F629=EUconst_NoTier),"",IF(Z629=0,EUconst_NA,IF(ISERROR(Z629),"",Z629)))</f>
        <v/>
      </c>
      <c r="H629" s="1122"/>
      <c r="I629" s="352" t="str">
        <f>IF(J629&lt;&gt;"","",AI629)</f>
        <v/>
      </c>
      <c r="J629" s="353"/>
      <c r="K629" s="1143"/>
      <c r="L629" s="1144"/>
      <c r="M629" s="486" t="str">
        <f>IF(AND(E624&lt;&gt;"",OR(F629="",COUNT(K629)=0),Y629&lt;&gt;EUconst_NA),EUconst_ERR_Incomplete,"")</f>
        <v/>
      </c>
      <c r="N629" s="22"/>
      <c r="O629" s="323"/>
      <c r="P629" s="612"/>
      <c r="Q629" s="335" t="str">
        <f>EUconst_SumBioEnergyIN</f>
        <v>SUM_BioEnergyIN</v>
      </c>
      <c r="R629" s="501" t="str">
        <f>IF(E624="","",BG634)</f>
        <v/>
      </c>
      <c r="S629" s="325"/>
      <c r="T629" s="355" t="str">
        <f>EUconst_CNTR_ActivityData&amp;E624</f>
        <v>ActivityData_</v>
      </c>
      <c r="U629" s="23"/>
      <c r="V629" s="355" t="str">
        <f>IF(E623="","",INDEX('B_Polttoainevirtojen tiedot'!$I$67:$I$91,MATCH(U622,'B_Polttoainevirtojen tiedot'!$D$67:$D$91,0)))</f>
        <v/>
      </c>
      <c r="W629" s="342" t="s">
        <v>121</v>
      </c>
      <c r="X629" s="23"/>
      <c r="Y629" s="356" t="str">
        <f>IF(E624="","",INDEX(EUwideConstants!$P$153:$P$180,MATCH(T629,EUwideConstants!$S$153:$S$180,0)))</f>
        <v/>
      </c>
      <c r="Z629" s="357" t="str">
        <f>IF(ISBLANK(F629),"",IF(F629=EUconst_NA,"",INDEX(EUwideConstants!$H:$O,MATCH(T629,EUwideConstants!$S:$S,0),MATCH(F629,CNTR_TierList,0))))</f>
        <v/>
      </c>
      <c r="AA629" s="358" t="s">
        <v>111</v>
      </c>
      <c r="AB629" s="342"/>
      <c r="AC629" s="339" t="b">
        <f>E623&lt;&gt;""</f>
        <v>0</v>
      </c>
      <c r="AD629" s="325"/>
      <c r="AE629" s="359" t="str">
        <f>EUconst_CNTR_ActivityData&amp;EUconst_Unit</f>
        <v>ActivityData_Yksikkö</v>
      </c>
      <c r="AF629" s="360" t="str">
        <f>IF(AC629=TRUE, IF(COUNTIF(MSPara_SourceStreamCategory,V629)=0,"",INDEX(MSPara_CalcFactorsMatrix,MATCH(V629,MSPara_SourceStreamCategory,0),MATCH(AE629&amp;"_"&amp;2,MSPara_CalcFactors,0))),"")</f>
        <v/>
      </c>
      <c r="AG629" s="361" t="str">
        <f>IF(AC629=TRUE, IF(COUNTIF(MSPara_SourceStreamCategory,V629)=0,"",INDEX(MSPara_CalcFactorsMatrix,MATCH(V629,MSPara_SourceStreamCategory,0),MATCH(AE629&amp;"_"&amp;1,MSPara_CalcFactors,0))),"")</f>
        <v/>
      </c>
      <c r="AH629" s="339" t="str">
        <f>IF(OR(AF629="",AF629=EUconst_NA),IF(OR(AG629=EUconst_NA,AG629=""),"",AG629),AF629)</f>
        <v/>
      </c>
      <c r="AI629" s="356" t="str">
        <f>IF(AC629=TRUE,IF(AH629="",EUconst_t,AH629),"")</f>
        <v/>
      </c>
      <c r="AJ629" s="362" t="str">
        <f>IF(J629="",AI629,J629)</f>
        <v/>
      </c>
      <c r="AK629" s="363" t="b">
        <f>AND(E623&lt;&gt;"",J629&lt;&gt;"")</f>
        <v>0</v>
      </c>
      <c r="AL629" s="337"/>
      <c r="AM629" s="404" t="s">
        <v>122</v>
      </c>
      <c r="AN629" s="403" t="str">
        <f>AJ629</f>
        <v/>
      </c>
      <c r="AO629" s="337"/>
      <c r="AP629" s="337"/>
      <c r="AQ629" s="355" t="str">
        <f>EUconst_CNTR_ActivityData&amp;EUconst_Value</f>
        <v>ActivityData_Arvo</v>
      </c>
      <c r="AR629" s="343"/>
      <c r="AS629" s="343"/>
      <c r="AT629" s="339" t="b">
        <f>AND(AND(AH629&lt;&gt;"",AJ629&lt;&gt;""),AJ629=AH629)</f>
        <v>0</v>
      </c>
      <c r="AU629" s="325"/>
      <c r="AV629" s="339">
        <f>IF(Y629=EUconst_NA,0,IF(COUNT(K629:K629)=0,0,IF(K629="",#REF!,K629)))</f>
        <v>0</v>
      </c>
      <c r="AW629" s="346" t="b">
        <f>AND(AC629=TRUE,OR(K629&lt;&gt;"",AU629=""))</f>
        <v>0</v>
      </c>
      <c r="AX629" s="346" t="b">
        <f>AND(AC629=TRUE,NOT(AW629))</f>
        <v>0</v>
      </c>
      <c r="AY629" s="325"/>
      <c r="AZ629" s="325" t="s">
        <v>123</v>
      </c>
      <c r="BA629" s="325" t="s">
        <v>124</v>
      </c>
      <c r="BB629" s="346"/>
      <c r="BC629" s="325" t="s">
        <v>125</v>
      </c>
      <c r="BD629" s="325"/>
      <c r="BE629" s="325"/>
      <c r="BF629" s="400" t="str">
        <f>Translations!$B$390</f>
        <v>CO2 fossil</v>
      </c>
      <c r="BG629" s="495" t="str">
        <f>IF(COUNTIF(AO632:AO633,TRUE)=0,"",AV629*IF(AO632,1,AV631*AN633)*AV632*(1-AV633)*AV636)</f>
        <v/>
      </c>
      <c r="BH629" s="325"/>
      <c r="BI629" s="325"/>
      <c r="BJ629" s="325"/>
      <c r="BK629" s="325"/>
      <c r="BL629" s="325"/>
      <c r="BM629" s="325"/>
      <c r="BN629" s="325"/>
      <c r="BO629" s="325"/>
      <c r="BP629" s="325"/>
      <c r="BQ629" s="325"/>
      <c r="BR629" s="325"/>
      <c r="BS629" s="325"/>
      <c r="BT629" s="325"/>
      <c r="BU629" s="325"/>
      <c r="BV629" s="325"/>
      <c r="BW629" s="325"/>
      <c r="BX629" s="325"/>
      <c r="BY629" s="325"/>
      <c r="BZ629" s="325"/>
      <c r="CA629" s="325"/>
      <c r="CB629" s="325"/>
      <c r="CC629" s="325"/>
      <c r="CD629" s="325"/>
      <c r="CE629" s="325"/>
      <c r="CF629" s="325"/>
      <c r="CG629" s="346" t="b">
        <v>0</v>
      </c>
    </row>
    <row r="630" spans="1:85" ht="5.15" customHeight="1" thickBot="1" x14ac:dyDescent="0.3">
      <c r="A630" s="318"/>
      <c r="B630" s="21"/>
      <c r="C630" s="344"/>
      <c r="D630" s="188"/>
      <c r="E630" s="22"/>
      <c r="F630" s="22"/>
      <c r="G630" s="22"/>
      <c r="H630" s="22" t="str">
        <f>Translations!$B$397</f>
        <v xml:space="preserve"> </v>
      </c>
      <c r="I630" s="364"/>
      <c r="J630" s="364"/>
      <c r="K630" s="22"/>
      <c r="L630" s="22"/>
      <c r="M630" s="487"/>
      <c r="N630" s="22"/>
      <c r="O630" s="323"/>
      <c r="P630" s="301"/>
      <c r="Q630" s="23"/>
      <c r="R630" s="23"/>
      <c r="S630" s="325"/>
      <c r="T630" s="277"/>
      <c r="U630" s="23"/>
      <c r="V630" s="325"/>
      <c r="W630" s="325"/>
      <c r="X630" s="23"/>
      <c r="Y630" s="330"/>
      <c r="Z630" s="325"/>
      <c r="AA630" s="325"/>
      <c r="AB630" s="325"/>
      <c r="AC630" s="325"/>
      <c r="AD630" s="325"/>
      <c r="AE630" s="325"/>
      <c r="AF630" s="325"/>
      <c r="AG630" s="325"/>
      <c r="AH630" s="325"/>
      <c r="AI630" s="325"/>
      <c r="AJ630" s="325"/>
      <c r="AK630" s="325"/>
      <c r="AL630" s="337"/>
      <c r="AM630" s="337"/>
      <c r="AN630" s="337"/>
      <c r="AO630" s="337"/>
      <c r="AP630" s="337"/>
      <c r="AQ630" s="325"/>
      <c r="AR630" s="325"/>
      <c r="AS630" s="325"/>
      <c r="AT630" s="325"/>
      <c r="AU630" s="325"/>
      <c r="AV630" s="325"/>
      <c r="AW630" s="325"/>
      <c r="AX630" s="325"/>
      <c r="AY630" s="325"/>
      <c r="AZ630" s="325"/>
      <c r="BA630" s="325"/>
      <c r="BB630" s="325"/>
      <c r="BC630" s="325"/>
      <c r="BD630" s="325"/>
      <c r="BE630" s="325"/>
      <c r="BF630" s="325"/>
      <c r="BG630" s="496"/>
      <c r="BH630" s="325"/>
      <c r="BI630" s="325"/>
      <c r="BJ630" s="325"/>
      <c r="BK630" s="325"/>
      <c r="BL630" s="325"/>
      <c r="BM630" s="325"/>
      <c r="BN630" s="325"/>
      <c r="BO630" s="325"/>
      <c r="BP630" s="325"/>
      <c r="BQ630" s="325"/>
      <c r="BR630" s="325"/>
      <c r="BS630" s="325"/>
      <c r="BT630" s="325"/>
      <c r="BU630" s="325"/>
      <c r="BV630" s="325"/>
      <c r="BW630" s="325"/>
      <c r="BX630" s="325"/>
      <c r="BY630" s="325"/>
      <c r="BZ630" s="325"/>
      <c r="CA630" s="325"/>
      <c r="CB630" s="325"/>
      <c r="CC630" s="325"/>
      <c r="CD630" s="325"/>
      <c r="CE630" s="325"/>
      <c r="CF630" s="325"/>
      <c r="CG630" s="330"/>
    </row>
    <row r="631" spans="1:85" ht="12.75" customHeight="1" thickBot="1" x14ac:dyDescent="0.3">
      <c r="A631" s="318"/>
      <c r="B631" s="21"/>
      <c r="C631" s="344"/>
      <c r="D631" s="345" t="str">
        <f>Translations!$B$360</f>
        <v>Yksikön muuntokerroin:</v>
      </c>
      <c r="E631" s="350"/>
      <c r="F631" s="443"/>
      <c r="G631" s="1120" t="str">
        <f>IF(OR(ISBLANK(F631),F631=EUconst_NoTier),"",IF(Z631=0,EUconst_NotApplicable,IF(ISERROR(Z631),"",Z631)))</f>
        <v/>
      </c>
      <c r="H631" s="1122"/>
      <c r="I631" s="444" t="str">
        <f>IF(J631&lt;&gt;"","",AI631)</f>
        <v/>
      </c>
      <c r="J631" s="445"/>
      <c r="K631" s="632" t="str">
        <f>IF(L631="",AU631,"")</f>
        <v/>
      </c>
      <c r="L631" s="633"/>
      <c r="M631" s="486" t="str">
        <f>IF(AND(E624&lt;&gt;"",OR(F631="",COUNT(K631:L631)=0),Y631&lt;&gt;EUconst_NA),EUconst_ERR_Incomplete,IF(COUNTIF(BB631:BD631,TRUE)&gt;0,EUconst_ERR_Inconsistent,""))</f>
        <v/>
      </c>
      <c r="N631" s="752"/>
      <c r="O631" s="323"/>
      <c r="P631" s="301"/>
      <c r="Q631" s="23"/>
      <c r="R631" s="23"/>
      <c r="S631" s="325"/>
      <c r="T631" s="365" t="str">
        <f>EUconst_CNTR_UCF&amp;E624</f>
        <v>UCF_</v>
      </c>
      <c r="U631" s="23"/>
      <c r="V631" s="366" t="str">
        <f>V632</f>
        <v/>
      </c>
      <c r="W631" s="325"/>
      <c r="X631" s="23"/>
      <c r="Y631" s="448" t="str">
        <f>IF(E624="","",IF(OR(F631=EUconst_NA,W631=TRUE),EUconst_NA,INDEX(EUwideConstants!$P$153:$P$180,MATCH(T631,EUwideConstants!$S$153:$S$180,0))))</f>
        <v/>
      </c>
      <c r="Z631" s="471" t="str">
        <f>IF(ISBLANK(F631),"",IF(F631=EUconst_NA,"",INDEX(EUwideConstants!$H:$O,MATCH(T631,EUwideConstants!$S:$S,0),MATCH(F631,CNTR_TierList,0))))</f>
        <v/>
      </c>
      <c r="AA631" s="449" t="str">
        <f>IF(COUNTIF(EUconst_DefaultValues,Z631)&gt;0,MATCH(Z631,EUconst_DefaultValues,0),"")</f>
        <v/>
      </c>
      <c r="AB631" s="325"/>
      <c r="AC631" s="367" t="b">
        <f>AND(AC629,Y631&lt;&gt;EUconst_NA)</f>
        <v>0</v>
      </c>
      <c r="AD631" s="325"/>
      <c r="AE631" s="359" t="str">
        <f>EUconst_CNTR_UCF&amp;EUconst_Unit</f>
        <v>UCF_Yksikkö</v>
      </c>
      <c r="AF631" s="368" t="str">
        <f>IF(AC631=TRUE, IF(COUNTIF(MSPara_SourceStreamCategory,V631)=0,"",INDEX(MSPara_CalcFactorsMatrix,MATCH(V631,MSPara_SourceStreamCategory,0),MATCH(AE631&amp;"_"&amp;2,MSPara_CalcFactors,0))),"")</f>
        <v/>
      </c>
      <c r="AG631" s="372" t="str">
        <f>IF(AC631=TRUE, IF(COUNTIF(MSPara_SourceStreamCategory,V631)=0,"",INDEX(MSPara_CalcFactorsMatrix,MATCH(V631,MSPara_SourceStreamCategory,0),MATCH(AE631&amp;"_"&amp;1,MSPara_CalcFactors,0))),"")</f>
        <v/>
      </c>
      <c r="AH631" s="367" t="str">
        <f>IF(AA631="","",INDEX(AF631:AG631,3-AA631))</f>
        <v/>
      </c>
      <c r="AI631" s="367" t="str">
        <f>IF(AC631=TRUE,IF(OR(AH631="",AH631=EUconst_NA),EUconst_GJ&amp;"/"&amp;AJ629,AH631),"")</f>
        <v/>
      </c>
      <c r="AJ631" s="367" t="str">
        <f>IF(J631="",AI631,J631)</f>
        <v/>
      </c>
      <c r="AK631" s="366" t="b">
        <f>AND(E623&lt;&gt;"",J631&lt;&gt;"")</f>
        <v>0</v>
      </c>
      <c r="AL631" s="337"/>
      <c r="AM631" s="404" t="s">
        <v>127</v>
      </c>
      <c r="AN631" s="403" t="str">
        <f>IF(AJ631="",EUconst_NA,IF(AN629=EUconst_TJ,EUconst_TJ,INDEX(EUwideConstants!$C$124:$G$128,MATCH(AN629,RFAUnits,0),MATCH(AJ631,UCFUnits,0))))</f>
        <v>ei sovellettavissa</v>
      </c>
      <c r="AO631" s="337"/>
      <c r="AP631" s="337"/>
      <c r="AQ631" s="454" t="str">
        <f>EUconst_CNTR_UCF&amp;EUconst_Value</f>
        <v>UCF_Arvo</v>
      </c>
      <c r="AR631" s="475" t="str">
        <f>IF(AC631=TRUE,IF(COUNTIF(MSPara_SourceStreamCategory,V631)=0,"",INDEX(MSPara_CalcFactorsMatrix,MATCH(V631,MSPara_SourceStreamCategory,0),MATCH(AQ631&amp;"_"&amp;2,MSPara_CalcFactors,0))),"")</f>
        <v/>
      </c>
      <c r="AS631" s="371" t="str">
        <f>IF(AC631=TRUE,IF(COUNTIF(MSPara_SourceStreamCategory,V631)=0,"",INDEX(MSPara_CalcFactorsMatrix,MATCH(V631,MSPara_SourceStreamCategory,0),MATCH(AQ631&amp;"_"&amp;1,MSPara_CalcFactors,0))),"")</f>
        <v/>
      </c>
      <c r="AT631" s="369" t="b">
        <f>AND(AND(AH631&lt;&gt;"",AJ631&lt;&gt;""),AJ631=AH631)</f>
        <v>0</v>
      </c>
      <c r="AU631" s="381" t="str">
        <f>IF(AND(AA631&lt;&gt;"",AT631=TRUE),IF(OR(INDEX(AR631:AS631,3-AA631)=EUconst_NA,INDEX(AR631:AS631,3-AA631)=0),"",INDEX(AR631:AS631,3-AA631)),"")</f>
        <v/>
      </c>
      <c r="AV631" s="367">
        <f>IF(AC631=TRUE,IF(COUNT(K631:L631)=0,0,IF(L631="",K631,L631)),0)</f>
        <v>0</v>
      </c>
      <c r="AW631" s="366" t="b">
        <f>AND(AC631=TRUE,OR(AND(F631&lt;&gt;"",NOT(ISNUMBER(AA631))),L631&lt;&gt;"",F631="",AU631=""))</f>
        <v>0</v>
      </c>
      <c r="AX631" s="370" t="b">
        <f>AND(AC631=TRUE,NOT(AW631))</f>
        <v>0</v>
      </c>
      <c r="AY631" s="325"/>
      <c r="AZ631" s="373" t="b">
        <f>AND(ISNUMBER(AA631),AU631="")</f>
        <v>0</v>
      </c>
      <c r="BA631" s="399" t="b">
        <f>AND(ISNUMBER(AA631),AU631&lt;&gt;AV631)</f>
        <v>0</v>
      </c>
      <c r="BB631" s="366" t="b">
        <f>AND(E624&lt;&gt;"",F631&lt;&gt;EUconst_NA,AN631=EUconst_NA)</f>
        <v>0</v>
      </c>
      <c r="BC631" s="366" t="b">
        <f>AND(L631&lt;&gt;"",Y631=EUconst_NA)</f>
        <v>0</v>
      </c>
      <c r="BD631" s="325"/>
      <c r="BE631" s="325"/>
      <c r="BF631" s="373" t="s">
        <v>128</v>
      </c>
      <c r="BG631" s="497" t="str">
        <f>IF(COUNTIF(AO632:AO633,TRUE)=0,"",AV629*IF(AO632,1,AV631*AN633)*AV632*AV633*AV636)</f>
        <v/>
      </c>
      <c r="BH631" s="325"/>
      <c r="BI631" s="325"/>
      <c r="BJ631" s="325"/>
      <c r="BK631" s="325"/>
      <c r="BL631" s="325"/>
      <c r="BM631" s="325"/>
      <c r="BN631" s="325"/>
      <c r="BO631" s="325"/>
      <c r="BP631" s="325"/>
      <c r="BQ631" s="325"/>
      <c r="BR631" s="325"/>
      <c r="BS631" s="325"/>
      <c r="BT631" s="325"/>
      <c r="BU631" s="325"/>
      <c r="BV631" s="325"/>
      <c r="BW631" s="325"/>
      <c r="BX631" s="325"/>
      <c r="BY631" s="325"/>
      <c r="BZ631" s="325"/>
      <c r="CA631" s="325"/>
      <c r="CB631" s="325"/>
      <c r="CC631" s="325"/>
      <c r="CD631" s="325"/>
      <c r="CE631" s="325"/>
      <c r="CF631" s="325"/>
      <c r="CG631" s="375" t="b">
        <f>OR(CG629,Y631=EUconst_NA)</f>
        <v>0</v>
      </c>
    </row>
    <row r="632" spans="1:85" ht="12.75" customHeight="1" thickBot="1" x14ac:dyDescent="0.3">
      <c r="A632" s="318"/>
      <c r="B632" s="21"/>
      <c r="C632" s="344"/>
      <c r="D632" s="345" t="str">
        <f>Translations!$B$358</f>
        <v>Päästökerroin (alustava):</v>
      </c>
      <c r="E632" s="350"/>
      <c r="F632" s="624"/>
      <c r="G632" s="1120" t="str">
        <f>IF(OR(ISBLANK(F632),F632=EUconst_NoTier),"",IF(Z632=0,EUconst_NotApplicable,IF(ISERROR(Z632),"",Z632)))</f>
        <v/>
      </c>
      <c r="H632" s="1121"/>
      <c r="I632" s="625" t="str">
        <f>IF(J632&lt;&gt;"","",AI632)</f>
        <v/>
      </c>
      <c r="J632" s="631"/>
      <c r="K632" s="634" t="str">
        <f>IF(L632="",AU632,"")</f>
        <v/>
      </c>
      <c r="L632" s="754"/>
      <c r="M632" s="486" t="str">
        <f>IF(AND(E624&lt;&gt;"",OR(F632="",COUNT(K632:L632)=0),Y632&lt;&gt;EUconst_NA),EUconst_ERR_Incomplete,IF(COUNTIF(BB632:BD632,TRUE)&gt;0,EUconst_ERR_Inconsistent,""))</f>
        <v/>
      </c>
      <c r="N632" s="753"/>
      <c r="O632" s="323"/>
      <c r="P632" s="301"/>
      <c r="Q632" s="23"/>
      <c r="R632" s="23"/>
      <c r="S632" s="325"/>
      <c r="T632" s="374" t="str">
        <f>EUconst_CNTR_EF&amp;E624</f>
        <v>EF_</v>
      </c>
      <c r="U632" s="23"/>
      <c r="V632" s="375" t="str">
        <f>V629</f>
        <v/>
      </c>
      <c r="W632" s="325"/>
      <c r="X632" s="23"/>
      <c r="Y632" s="450" t="str">
        <f>IF(E624="","",IF(OR(F632=EUconst_NA,W632=TRUE),EUconst_NA,INDEX(EUwideConstants!$P$153:$P$180,MATCH(T632,EUwideConstants!$S$153:$S$180,0))))</f>
        <v/>
      </c>
      <c r="Z632" s="472" t="str">
        <f>IF(ISBLANK(F632),"",IF(F632=EUconst_NA,"",INDEX(EUwideConstants!$H:$O,MATCH(T632,EUwideConstants!$S:$S,0),MATCH(F632,CNTR_TierList,0))))</f>
        <v/>
      </c>
      <c r="AA632" s="451" t="str">
        <f>IF(COUNTIF(EUconst_DefaultValues,Z632)&gt;0,MATCH(Z632,EUconst_DefaultValues,0),"")</f>
        <v/>
      </c>
      <c r="AB632" s="325"/>
      <c r="AC632" s="376" t="b">
        <f>AND(AC629,Y632&lt;&gt;EUconst_NA)</f>
        <v>0</v>
      </c>
      <c r="AD632" s="325"/>
      <c r="AE632" s="377" t="str">
        <f>EUconst_CNTR_EF&amp;EUconst_Unit</f>
        <v>EF_Yksikkö</v>
      </c>
      <c r="AF632" s="378" t="str">
        <f>IF(AC632=TRUE, IF(COUNTIF(MSPara_SourceStreamCategory,V632)=0,"",INDEX(MSPara_CalcFactorsMatrix,MATCH(V632,MSPara_SourceStreamCategory,0),MATCH(AE632&amp;"_"&amp;2,MSPara_CalcFactors,0))),"")</f>
        <v/>
      </c>
      <c r="AG632" s="464" t="str">
        <f>IF(AC632=TRUE, IF(COUNTIF(MSPara_SourceStreamCategory,V632)=0,"",INDEX(MSPara_CalcFactorsMatrix,MATCH(V632,MSPara_SourceStreamCategory,0),MATCH(AE632&amp;"_"&amp;1,MSPara_CalcFactors,0))),"")</f>
        <v/>
      </c>
      <c r="AH632" s="376" t="str">
        <f>IF(AA632="","",INDEX(AF632:AG632,3-AA632))</f>
        <v/>
      </c>
      <c r="AI632" s="376" t="str">
        <f>IF(AC632=TRUE,IF(OR(AH632="",AH632=EUconst_NA),EUconst_tCO2&amp;"/"&amp;IF(AN631=EUconst_NA,AN629,IF(AN631=EUconst_GJ,EUconst_TJ,AN631)),AH632),"")</f>
        <v/>
      </c>
      <c r="AJ632" s="376" t="str">
        <f>IF(J632="",AI632,J632)</f>
        <v/>
      </c>
      <c r="AK632" s="375" t="b">
        <f>AND(E624&lt;&gt;"",J632&lt;&gt;"")</f>
        <v>0</v>
      </c>
      <c r="AL632" s="337"/>
      <c r="AM632" s="404" t="s">
        <v>130</v>
      </c>
      <c r="AN632" s="403" t="str">
        <f>IF(COUNTIF(RFAUnits,AN629)=0,EUconst_NA,INDEX(EUwideConstants!$C$139:$H$143,MATCH(AJ632,EFUnits,0),MATCH(AN629,EUwideConstants!$C$138:$H$138,0)))</f>
        <v>ei sovellettavissa</v>
      </c>
      <c r="AO632" s="403" t="b">
        <f>AN632&lt;&gt;EUconst_NA</f>
        <v>0</v>
      </c>
      <c r="AP632" s="337"/>
      <c r="AQ632" s="455" t="str">
        <f>EUconst_CNTR_EF&amp;EUconst_Value</f>
        <v>EF_Arvo</v>
      </c>
      <c r="AR632" s="476" t="str">
        <f>IF(AC632=TRUE,IF(COUNTIF(MSPara_SourceStreamCategory,V632)=0,"",INDEX(MSPara_CalcFactorsMatrix,MATCH(V632,MSPara_SourceStreamCategory,0),MATCH(AQ632&amp;"_"&amp;2,MSPara_CalcFactors,0))),"")</f>
        <v/>
      </c>
      <c r="AS632" s="383" t="str">
        <f>IF(AC632=TRUE,IF(COUNTIF(MSPara_SourceStreamCategory,V632)=0,"",INDEX(MSPara_CalcFactorsMatrix,MATCH(V632,MSPara_SourceStreamCategory,0),MATCH(AQ632&amp;"_"&amp;1,MSPara_CalcFactors,0))),"")</f>
        <v/>
      </c>
      <c r="AT632" s="456" t="b">
        <f>AND(AND(AH632&lt;&gt;"",AJ632&lt;&gt;""),AJ632=AH632)</f>
        <v>0</v>
      </c>
      <c r="AU632" s="334" t="str">
        <f>IF(AND(AA632&lt;&gt;"",AT632=TRUE),IF(OR(INDEX(AR632:AS632,3-AA632)=EUconst_NA,INDEX(AR632:AS632,3-AA632)=0),"",INDEX(AR632:AS632,3-AA632)),"")</f>
        <v/>
      </c>
      <c r="AV632" s="376">
        <f>IF(AC632=TRUE,IF(COUNT(K632:L632)=0,0,IF(L632="",K632,L632)),0)</f>
        <v>0</v>
      </c>
      <c r="AW632" s="375" t="b">
        <f>AND(AC632=TRUE,OR(AND(F632&lt;&gt;"",NOT(ISNUMBER(AA632))),L632&lt;&gt;"",F632="",AU632=""))</f>
        <v>0</v>
      </c>
      <c r="AX632" s="457" t="b">
        <f>AND(AC632=TRUE,NOT(AW632))</f>
        <v>0</v>
      </c>
      <c r="AY632" s="325"/>
      <c r="AZ632" s="379" t="b">
        <f>AND(ISNUMBER(AA632),AU632="")</f>
        <v>0</v>
      </c>
      <c r="BA632" s="380" t="b">
        <f>AND(ISNUMBER(AA632),AU632&lt;&gt;AV632)</f>
        <v>0</v>
      </c>
      <c r="BB632" s="382" t="b">
        <f>AND(E624&lt;&gt;"",COUNTIF(AO632:AO633,TRUE)=0)</f>
        <v>0</v>
      </c>
      <c r="BC632" s="375" t="b">
        <f>AND(L632&lt;&gt;"",Y632=EUconst_NA)</f>
        <v>0</v>
      </c>
      <c r="BD632" s="325"/>
      <c r="BE632" s="325"/>
      <c r="BF632" s="379" t="s">
        <v>131</v>
      </c>
      <c r="BG632" s="498" t="str">
        <f>IF(COUNTIF(AO632:AO633,TRUE)=0,"",AV629*IF(AO632,1,AV631*AN633)*AV632*AV634*AV636)</f>
        <v/>
      </c>
      <c r="BH632" s="325"/>
      <c r="BI632" s="325"/>
      <c r="BJ632" s="325"/>
      <c r="BK632" s="325"/>
      <c r="BL632" s="325"/>
      <c r="BM632" s="325"/>
      <c r="BN632" s="325"/>
      <c r="BO632" s="325"/>
      <c r="BP632" s="325"/>
      <c r="BQ632" s="325"/>
      <c r="BR632" s="325"/>
      <c r="BS632" s="325"/>
      <c r="BT632" s="325"/>
      <c r="BU632" s="325"/>
      <c r="BV632" s="325"/>
      <c r="BW632" s="325"/>
      <c r="BX632" s="325"/>
      <c r="BY632" s="325"/>
      <c r="BZ632" s="325"/>
      <c r="CA632" s="325"/>
      <c r="CB632" s="325"/>
      <c r="CC632" s="325"/>
      <c r="CD632" s="325"/>
      <c r="CE632" s="325"/>
      <c r="CF632" s="325"/>
      <c r="CG632" s="366" t="b">
        <f>OR(CG629,Y632=EUconst_NA)</f>
        <v>0</v>
      </c>
    </row>
    <row r="633" spans="1:85" ht="12.75" customHeight="1" x14ac:dyDescent="0.25">
      <c r="A633" s="318"/>
      <c r="B633" s="21"/>
      <c r="C633" s="344"/>
      <c r="D633" s="345" t="str">
        <f>Translations!$B$362</f>
        <v>Biomassaosuus:</v>
      </c>
      <c r="E633" s="350"/>
      <c r="F633" s="624"/>
      <c r="G633" s="1120" t="str">
        <f>IF(OR(ISBLANK(F633),F633=EUconst_NoTier),"",IF(Z633=0,EUconst_NotApplicable,IF(ISERROR(Z633),"",Z633)))</f>
        <v/>
      </c>
      <c r="H633" s="1122"/>
      <c r="I633" s="626" t="str">
        <f>IF(OR(AC633=FALSE,Y633=EUconst_NA),"","-")</f>
        <v/>
      </c>
      <c r="J633" s="446"/>
      <c r="K633" s="635" t="str">
        <f>IF(L633="",AU633,"")</f>
        <v/>
      </c>
      <c r="L633" s="627"/>
      <c r="M633" s="486" t="str">
        <f>IF(AND(E624&lt;&gt;"",OR(F633="",COUNT(K633:L633)=0),Y633&lt;&gt;EUconst_NA),EUconst_ERR_Incomplete,IF(COUNTIF(BB633:BD633,TRUE)&gt;0,EUconst_ERR_Inconsistent,""))</f>
        <v/>
      </c>
      <c r="O633" s="323"/>
      <c r="P633" s="612"/>
      <c r="Q633" s="354"/>
      <c r="R633" s="354"/>
      <c r="S633" s="325"/>
      <c r="T633" s="374" t="str">
        <f>EUconst_CNTR_BiomassContent&amp;E624</f>
        <v>BioC_</v>
      </c>
      <c r="U633" s="23"/>
      <c r="V633" s="375" t="str">
        <f>V631</f>
        <v/>
      </c>
      <c r="W633" s="366" t="e">
        <f>IF(COUNTIF(MSPara_SourceStreamCategory,V633)=0,"",INDEX(MSPara_IsFossil,MATCH(V633,MSPara_SourceStreamCategory,0)))</f>
        <v>#N/A</v>
      </c>
      <c r="X633" s="23"/>
      <c r="Y633" s="450" t="str">
        <f>IF(E624="","",IF(OR(F633=EUconst_NA,W633=TRUE),EUconst_NA,INDEX(EUwideConstants!$P$153:$P$180,MATCH(T633,EUwideConstants!$S$153:$S$180,0))))</f>
        <v/>
      </c>
      <c r="Z633" s="472" t="str">
        <f>IF(ISBLANK(F633),"",IF(F633=EUconst_NA,"",INDEX(EUwideConstants!$H:$O,MATCH(T633,EUwideConstants!$S:$S,0),MATCH(F633,CNTR_TierList,0))))</f>
        <v/>
      </c>
      <c r="AA633" s="681" t="str">
        <f>IF(F633=1,1,"")</f>
        <v/>
      </c>
      <c r="AB633" s="325"/>
      <c r="AC633" s="376" t="b">
        <f>AND(AC629,Y633&lt;&gt;EUconst_NA)</f>
        <v>0</v>
      </c>
      <c r="AD633" s="325"/>
      <c r="AE633" s="462"/>
      <c r="AF633" s="460"/>
      <c r="AG633" s="465"/>
      <c r="AH633" s="467"/>
      <c r="AI633" s="467"/>
      <c r="AJ633" s="467"/>
      <c r="AK633" s="469"/>
      <c r="AL633" s="337"/>
      <c r="AM633" s="404" t="s">
        <v>132</v>
      </c>
      <c r="AN633" s="403" t="str">
        <f>IF(AN631=EUconst_NA,EUconst_NA,INDEX(EUwideConstants!$C$139:$H$143,MATCH(AJ632,EFUnits,0),MATCH(AN631,EUwideConstants!$C$138:$H$138,0)))</f>
        <v>ei sovellettavissa</v>
      </c>
      <c r="AO633" s="403" t="b">
        <f>AN633&lt;&gt;EUconst_NA</f>
        <v>0</v>
      </c>
      <c r="AP633" s="337"/>
      <c r="AQ633" s="455" t="str">
        <f>EUconst_CNTR_BiomassContent&amp;EUconst_Value</f>
        <v>BioC_Arvo</v>
      </c>
      <c r="AR633" s="462"/>
      <c r="AS633" s="383" t="str">
        <f>IF(AC633=TRUE,IF(COUNTIF(MSPara_SourceStreamCategory,V633)=0,"",INDEX(MSPara_CalcFactorsMatrix,MATCH(V633,MSPara_SourceStreamCategory,0),MATCH(AQ633&amp;"_"&amp;2,MSPara_CalcFactors,0))),"")</f>
        <v/>
      </c>
      <c r="AT633" s="458"/>
      <c r="AU633" s="334" t="str">
        <f>IF(OR(AA633="",AS633=EUconst_NA),"",AS633)</f>
        <v/>
      </c>
      <c r="AV633" s="376">
        <f>IF(AC633=TRUE,IF(COUNT(K633:L633)=0,0,IF(L633="",K633,L633)),0)</f>
        <v>0</v>
      </c>
      <c r="AW633" s="375" t="b">
        <f>AND(AC633=TRUE,OR(AND(F633&lt;&gt;"",NOT(ISNUMBER(AA633))),L633&lt;&gt;"",F633="",AU633=""))</f>
        <v>0</v>
      </c>
      <c r="AX633" s="457" t="b">
        <f>AND(AC633=TRUE,NOT(AW633))</f>
        <v>0</v>
      </c>
      <c r="AY633" s="325"/>
      <c r="AZ633" s="379" t="b">
        <f>AND(ISNUMBER(AA633),AU633="")</f>
        <v>0</v>
      </c>
      <c r="BA633" s="380" t="b">
        <f>AND(ISNUMBER(AA633),AU633&lt;&gt;AV633)</f>
        <v>0</v>
      </c>
      <c r="BB633" s="325"/>
      <c r="BC633" s="375" t="b">
        <f>AND(L633&lt;&gt;"",Y633=EUconst_NA)</f>
        <v>0</v>
      </c>
      <c r="BD633" s="366" t="b">
        <f>OR(AV633&gt;100%,(AV633+AV634)&gt;100%)</f>
        <v>0</v>
      </c>
      <c r="BE633" s="325"/>
      <c r="BF633" s="379" t="s">
        <v>133</v>
      </c>
      <c r="BG633" s="498" t="str">
        <f>IF(AN629=EUconst_TJ,AV629*(1-AV633),IF(AN631=EUconst_GJ,AV629*AV631/1000*(1-AV633),""))</f>
        <v/>
      </c>
      <c r="BH633" s="325"/>
      <c r="BI633" s="325"/>
      <c r="BJ633" s="325"/>
      <c r="BK633" s="325"/>
      <c r="BL633" s="325"/>
      <c r="BM633" s="325"/>
      <c r="BN633" s="325"/>
      <c r="BO633" s="325"/>
      <c r="BP633" s="325"/>
      <c r="BQ633" s="325"/>
      <c r="BR633" s="325"/>
      <c r="BS633" s="325"/>
      <c r="BT633" s="325"/>
      <c r="BU633" s="325"/>
      <c r="BV633" s="325"/>
      <c r="BW633" s="325"/>
      <c r="BX633" s="325"/>
      <c r="BY633" s="325"/>
      <c r="BZ633" s="325"/>
      <c r="CA633" s="325"/>
      <c r="CB633" s="325"/>
      <c r="CC633" s="325"/>
      <c r="CD633" s="325"/>
      <c r="CE633" s="325"/>
      <c r="CF633" s="325"/>
      <c r="CG633" s="375" t="b">
        <f>OR(CG629,Y633=EUconst_NA)</f>
        <v>0</v>
      </c>
    </row>
    <row r="634" spans="1:85" ht="12.75" customHeight="1" thickBot="1" x14ac:dyDescent="0.3">
      <c r="A634" s="318"/>
      <c r="B634" s="21"/>
      <c r="C634" s="344"/>
      <c r="D634" s="345" t="str">
        <f>Translations!$B$368</f>
        <v>Ei kestävä biomassaosuus:</v>
      </c>
      <c r="E634" s="350"/>
      <c r="F634" s="628"/>
      <c r="G634" s="1120" t="str">
        <f>IF(OR(ISBLANK(F634),F634=EUconst_NoTier),"",IF(Z634=0,EUconst_NotApplicable,IF(ISERROR(Z634),"",Z634)))</f>
        <v/>
      </c>
      <c r="H634" s="1122"/>
      <c r="I634" s="629" t="str">
        <f>IF(OR(AC634=FALSE,Y634=EUconst_NA),"","-")</f>
        <v/>
      </c>
      <c r="J634" s="447"/>
      <c r="K634" s="636" t="str">
        <f>IF(L634="",AU634,"")</f>
        <v/>
      </c>
      <c r="L634" s="630"/>
      <c r="M634" s="486" t="str">
        <f>IF(AND(E624&lt;&gt;"",OR(F634="",COUNT(K634:L634)=0),Y634&lt;&gt;EUconst_NA),EUconst_ERR_Incomplete,IF(COUNTIF(BB634:BD634,TRUE)&gt;0,EUconst_ERR_Inconsistent,""))</f>
        <v/>
      </c>
      <c r="N634" s="22"/>
      <c r="O634" s="323"/>
      <c r="P634" s="612"/>
      <c r="Q634" s="354"/>
      <c r="R634" s="354"/>
      <c r="S634" s="325"/>
      <c r="T634" s="384" t="str">
        <f>EUconst_CNTR_BiomassContent&amp;E624</f>
        <v>BioC_</v>
      </c>
      <c r="U634" s="23"/>
      <c r="V634" s="382" t="str">
        <f>V633</f>
        <v/>
      </c>
      <c r="W634" s="382" t="e">
        <f>IF(COUNTIF(MSPara_SourceStreamCategory,V634)=0,"",INDEX(MSPara_IsFossil,MATCH(V634,MSPara_SourceStreamCategory,0)))</f>
        <v>#N/A</v>
      </c>
      <c r="X634" s="23"/>
      <c r="Y634" s="452" t="str">
        <f>IF(E624="","",IF(OR(F634=EUconst_NA,W634=TRUE),EUconst_NA,INDEX(EUwideConstants!$P$153:$P$180,MATCH(T634,EUwideConstants!$S$153:$S$180,0))))</f>
        <v/>
      </c>
      <c r="Z634" s="473" t="str">
        <f>IF(ISBLANK(F634),"",IF(F634=EUconst_NA,"",INDEX(EUwideConstants!$H:$O,MATCH(T634,EUwideConstants!$S:$S,0),MATCH(F634,CNTR_TierList,0))))</f>
        <v/>
      </c>
      <c r="AA634" s="682" t="str">
        <f>IF(F634=1,1,"")</f>
        <v/>
      </c>
      <c r="AB634" s="325"/>
      <c r="AC634" s="453" t="b">
        <f>AND(AC629,Y634&lt;&gt;EUconst_NA)</f>
        <v>0</v>
      </c>
      <c r="AD634" s="325"/>
      <c r="AE634" s="463"/>
      <c r="AF634" s="461"/>
      <c r="AG634" s="466"/>
      <c r="AH634" s="468"/>
      <c r="AI634" s="468"/>
      <c r="AJ634" s="468"/>
      <c r="AK634" s="470"/>
      <c r="AL634" s="337"/>
      <c r="AM634" s="337"/>
      <c r="AN634" s="337"/>
      <c r="AO634" s="337"/>
      <c r="AP634" s="337"/>
      <c r="AQ634" s="474" t="str">
        <f>EUconst_CNTR_BiomassContent&amp;EUconst_Value</f>
        <v>BioC_Arvo</v>
      </c>
      <c r="AR634" s="463"/>
      <c r="AS634" s="385" t="str">
        <f>IF(AC634=TRUE,IF(COUNTIF(MSPara_SourceStreamCategory,V634)=0,"",INDEX(MSPara_CalcFactorsMatrix,MATCH(V634,MSPara_SourceStreamCategory,0),MATCH(AQ634&amp;"_"&amp;2,MSPara_CalcFactors,0))),"")</f>
        <v/>
      </c>
      <c r="AT634" s="459"/>
      <c r="AU634" s="477" t="str">
        <f>IF(OR(AA634="",AS634=EUconst_NA),"",AS634)</f>
        <v/>
      </c>
      <c r="AV634" s="453">
        <f>IF(AC634=TRUE,IF(COUNT(K634:L634)=0,0,IF(L634="",K634,L634)),0)</f>
        <v>0</v>
      </c>
      <c r="AW634" s="382" t="b">
        <f>AND(AC634=TRUE,OR(AND(F634&lt;&gt;"",NOT(ISNUMBER(AA634))),L634&lt;&gt;"",F634="",AU634=""))</f>
        <v>0</v>
      </c>
      <c r="AX634" s="478" t="b">
        <f>AND(AC634=TRUE,NOT(AW634))</f>
        <v>0</v>
      </c>
      <c r="AY634" s="325"/>
      <c r="AZ634" s="386" t="b">
        <f>AND(ISNUMBER(AA634),AU634="")</f>
        <v>0</v>
      </c>
      <c r="BA634" s="387" t="b">
        <f>AND(ISNUMBER(AA634),AU634&lt;&gt;AV634)</f>
        <v>0</v>
      </c>
      <c r="BB634" s="325"/>
      <c r="BC634" s="382" t="b">
        <f>AND(L634&lt;&gt;"",Y634=EUconst_NA)</f>
        <v>0</v>
      </c>
      <c r="BD634" s="382" t="b">
        <f>OR(AV633&gt;100%,(AV633+AV634)&gt;100%)</f>
        <v>0</v>
      </c>
      <c r="BE634" s="325"/>
      <c r="BF634" s="386" t="s">
        <v>134</v>
      </c>
      <c r="BG634" s="499" t="str">
        <f>IF(AN629=EUconst_TJ,AV629*AV633,IF(AN631=EUconst_GJ,AV629*AV631/1000*AV633,""))</f>
        <v/>
      </c>
      <c r="BH634" s="325"/>
      <c r="BI634" s="325"/>
      <c r="BJ634" s="325"/>
      <c r="BK634" s="325"/>
      <c r="BL634" s="325"/>
      <c r="BM634" s="325"/>
      <c r="BN634" s="325"/>
      <c r="BO634" s="325"/>
      <c r="BP634" s="325"/>
      <c r="BQ634" s="325"/>
      <c r="BR634" s="325"/>
      <c r="BS634" s="325"/>
      <c r="BT634" s="325"/>
      <c r="BU634" s="325"/>
      <c r="BV634" s="325"/>
      <c r="BW634" s="325"/>
      <c r="BX634" s="325"/>
      <c r="BY634" s="325"/>
      <c r="BZ634" s="325"/>
      <c r="CA634" s="325"/>
      <c r="CB634" s="325"/>
      <c r="CC634" s="325"/>
      <c r="CD634" s="325"/>
      <c r="CE634" s="325"/>
      <c r="CF634" s="325"/>
      <c r="CG634" s="382" t="b">
        <f>OR(CG629,Y634=EUconst_NA)</f>
        <v>0</v>
      </c>
    </row>
    <row r="635" spans="1:85" ht="5.15" customHeight="1" thickBot="1" x14ac:dyDescent="0.3">
      <c r="A635" s="318"/>
      <c r="B635" s="21"/>
      <c r="C635" s="21"/>
      <c r="D635" s="327"/>
      <c r="E635" s="22"/>
      <c r="F635" s="22"/>
      <c r="G635" s="22"/>
      <c r="H635" s="22"/>
      <c r="I635" s="22"/>
      <c r="J635" s="22"/>
      <c r="K635" s="22"/>
      <c r="L635" s="22"/>
      <c r="M635" s="488"/>
      <c r="N635" s="22"/>
      <c r="O635" s="323"/>
      <c r="P635" s="301"/>
      <c r="Q635" s="23"/>
      <c r="R635" s="23"/>
      <c r="S635" s="325"/>
      <c r="T635" s="325"/>
      <c r="U635" s="325"/>
      <c r="V635" s="325"/>
      <c r="W635" s="325"/>
      <c r="X635" s="325"/>
      <c r="Y635" s="325"/>
      <c r="Z635" s="325"/>
      <c r="AA635" s="325"/>
      <c r="AB635" s="325"/>
      <c r="AC635" s="325"/>
      <c r="AD635" s="325"/>
      <c r="AE635" s="325"/>
      <c r="AF635" s="325"/>
      <c r="AG635" s="325"/>
      <c r="AH635" s="325"/>
      <c r="AI635" s="325"/>
      <c r="AJ635" s="325"/>
      <c r="AK635" s="325"/>
      <c r="AL635" s="325"/>
      <c r="AM635" s="325"/>
      <c r="AN635" s="325"/>
      <c r="AO635" s="325"/>
      <c r="AP635" s="325"/>
      <c r="AQ635" s="325"/>
      <c r="AR635" s="325"/>
      <c r="AS635" s="325"/>
      <c r="AT635" s="325"/>
      <c r="AU635" s="325"/>
      <c r="AV635" s="325"/>
      <c r="AW635" s="325"/>
      <c r="AX635" s="325"/>
      <c r="AY635" s="325"/>
      <c r="AZ635" s="325"/>
      <c r="BA635" s="325"/>
      <c r="BB635" s="325"/>
      <c r="BC635" s="325"/>
      <c r="BD635" s="325"/>
      <c r="BE635" s="325"/>
      <c r="BF635" s="325"/>
      <c r="BG635" s="325"/>
      <c r="BH635" s="325"/>
      <c r="BI635" s="325"/>
      <c r="BJ635" s="325"/>
      <c r="BK635" s="325"/>
      <c r="BL635" s="325"/>
      <c r="BM635" s="325"/>
      <c r="BN635" s="325"/>
      <c r="BO635" s="325"/>
      <c r="BP635" s="325"/>
      <c r="BQ635" s="325"/>
      <c r="BR635" s="325"/>
      <c r="BS635" s="325"/>
      <c r="BT635" s="325"/>
      <c r="BU635" s="325"/>
      <c r="BV635" s="325"/>
      <c r="BW635" s="325"/>
      <c r="BX635" s="325"/>
      <c r="BY635" s="325"/>
      <c r="BZ635" s="325"/>
      <c r="CA635" s="325"/>
      <c r="CB635" s="325"/>
      <c r="CC635" s="325"/>
      <c r="CD635" s="325"/>
      <c r="CE635" s="325"/>
      <c r="CF635" s="325"/>
      <c r="CG635" s="325"/>
    </row>
    <row r="636" spans="1:85" ht="12.75" customHeight="1" thickBot="1" x14ac:dyDescent="0.3">
      <c r="A636" s="318"/>
      <c r="B636" s="21"/>
      <c r="C636" s="344"/>
      <c r="D636" s="345" t="str">
        <f>Translations!$B$398</f>
        <v>Soveltamisalakerroin:</v>
      </c>
      <c r="E636" s="479"/>
      <c r="F636" s="803"/>
      <c r="G636" s="1125"/>
      <c r="H636" s="1126"/>
      <c r="I636" s="492" t="s">
        <v>52</v>
      </c>
      <c r="J636" s="480"/>
      <c r="K636" s="481" t="str">
        <f>IF(L636="",AU636,"")</f>
        <v/>
      </c>
      <c r="L636" s="607"/>
      <c r="M636" s="489" t="str">
        <f>IF(AND(E624&lt;&gt;"",OR(F636="",G636="",COUNT(K636:L636)=0)),EUconst_ERR_Incomplete,IF(COUNTIF(BB636:BD636,TRUE)&gt;0,EUconst_ERR_Inconsistent,""))</f>
        <v/>
      </c>
      <c r="N636" s="22"/>
      <c r="O636" s="323"/>
      <c r="P636" s="301"/>
      <c r="Q636" s="23"/>
      <c r="R636" s="325"/>
      <c r="S636" s="10"/>
      <c r="T636" s="48" t="str">
        <f>EUconst_CNTR_ScopeFactor&amp;E624</f>
        <v>ScopeFactor_</v>
      </c>
      <c r="U636" s="248" t="str">
        <f>IF(F636="","",INDEX(ScopeAddress,MATCH(F636,ScopeTiers,0)))</f>
        <v/>
      </c>
      <c r="V636" s="382" t="str">
        <f>V629</f>
        <v/>
      </c>
      <c r="W636" s="325"/>
      <c r="X636" s="325"/>
      <c r="Y636" s="452" t="str">
        <f>IF(E624="","",IF(F636=EUconst_NA,EUconst_NA,INDEX(EUwideConstants!$P$153:$P$180,MATCH(T636,EUwideConstants!$S$153:$S$180,0))))</f>
        <v/>
      </c>
      <c r="Z636" s="473" t="str">
        <f>IF(ISBLANK(F636),"",IF(F636=EUconst_NA,"",INDEX(EUwideConstants!$H:$O,MATCH(T636,EUwideConstants!$S:$S,0),MATCH(F636,CNTR_TierList,0))))</f>
        <v/>
      </c>
      <c r="AA636" s="339" t="str">
        <f>IF(G636=EUwideConstants!$A$88,1,"")</f>
        <v/>
      </c>
      <c r="AB636" s="325"/>
      <c r="AC636" s="376" t="b">
        <f>AND(AC629,Y636&lt;&gt;EUconst_NA)</f>
        <v>0</v>
      </c>
      <c r="AD636" s="325"/>
      <c r="AE636" s="325"/>
      <c r="AF636" s="325"/>
      <c r="AG636" s="330"/>
      <c r="AH636" s="325"/>
      <c r="AI636" s="325"/>
      <c r="AJ636" s="325"/>
      <c r="AK636" s="325"/>
      <c r="AL636" s="325"/>
      <c r="AM636" s="325"/>
      <c r="AN636" s="325"/>
      <c r="AO636" s="325"/>
      <c r="AP636" s="325"/>
      <c r="AQ636" s="325"/>
      <c r="AR636" s="325"/>
      <c r="AS636" s="338">
        <v>1</v>
      </c>
      <c r="AT636" s="325"/>
      <c r="AU636" s="330" t="str">
        <f>IF(G636=EUwideConstants!$A$88,AS636,"")</f>
        <v/>
      </c>
      <c r="AV636" s="376">
        <f>IF(AC636=TRUE,IF(COUNT(K636:L636)=0,0,IF(L636="",K636,L636)),0)</f>
        <v>0</v>
      </c>
      <c r="AW636" s="375" t="b">
        <f>AND(AC636=TRUE,OR(AND(F636&lt;&gt;"",NOT(ISNUMBER(AA636))),L636&lt;&gt;"",F636="",AU636=""))</f>
        <v>0</v>
      </c>
      <c r="AX636" s="457" t="b">
        <f>AND(AC636=TRUE,NOT(AW636))</f>
        <v>0</v>
      </c>
      <c r="AY636" s="325"/>
      <c r="AZ636" s="379" t="b">
        <f>AND(ISNUMBER(AA636),AU636="")</f>
        <v>0</v>
      </c>
      <c r="BA636" s="380" t="b">
        <f>AND(ISNUMBER(AA636),AU636&lt;&gt;AV636)</f>
        <v>0</v>
      </c>
      <c r="BB636" s="325"/>
      <c r="BC636" s="33" t="b">
        <f>AND(F636&lt;&gt;"",OR(COUNTIF(INDEX(ScopeMethods,F636,),G636)=0,AND(AA636&lt;&gt;"",AU636&lt;&gt;AV636)))</f>
        <v>0</v>
      </c>
      <c r="BD636" s="325"/>
      <c r="BE636" s="325"/>
      <c r="BF636" s="325"/>
      <c r="BG636" s="325"/>
      <c r="BH636" s="325"/>
      <c r="BI636" s="325"/>
      <c r="BJ636" s="325"/>
      <c r="BK636" s="325"/>
      <c r="BL636" s="325"/>
      <c r="BM636" s="325"/>
      <c r="BN636" s="325"/>
      <c r="BO636" s="325"/>
      <c r="BP636" s="325"/>
      <c r="BQ636" s="325"/>
      <c r="BR636" s="325"/>
      <c r="BS636" s="325"/>
      <c r="BT636" s="325"/>
      <c r="BU636" s="325"/>
      <c r="BV636" s="325"/>
      <c r="BW636" s="325"/>
      <c r="BX636" s="325"/>
      <c r="BY636" s="325"/>
      <c r="BZ636" s="325"/>
      <c r="CA636" s="325"/>
      <c r="CB636" s="325"/>
      <c r="CC636" s="325"/>
      <c r="CD636" s="325"/>
      <c r="CE636" s="325"/>
      <c r="CF636" s="325"/>
      <c r="CG636" s="325"/>
    </row>
    <row r="637" spans="1:85" ht="12.75" customHeight="1" x14ac:dyDescent="0.25">
      <c r="A637" s="318"/>
      <c r="B637" s="21"/>
      <c r="C637" s="21"/>
      <c r="D637" s="21"/>
      <c r="E637" s="21"/>
      <c r="F637" s="21"/>
      <c r="G637" s="1130" t="str">
        <f>IF(G636="","",INDEX(ScopeMethodsDetails,MATCH(G636,INDEX(ScopeMethodsDetails,,1),0),2))</f>
        <v/>
      </c>
      <c r="H637" s="1131"/>
      <c r="I637" s="1131"/>
      <c r="J637" s="1131"/>
      <c r="K637" s="1131"/>
      <c r="L637" s="1131"/>
      <c r="M637" s="1132"/>
      <c r="N637" s="22"/>
      <c r="O637" s="323"/>
      <c r="P637" s="301"/>
      <c r="Q637" s="23"/>
      <c r="R637" s="23"/>
      <c r="S637" s="325"/>
      <c r="T637" s="325"/>
      <c r="U637" s="325"/>
      <c r="V637" s="325"/>
      <c r="W637" s="325"/>
      <c r="X637" s="325"/>
      <c r="Y637" s="325"/>
      <c r="Z637" s="325"/>
      <c r="AA637" s="325"/>
      <c r="AB637" s="325"/>
      <c r="AC637" s="325"/>
      <c r="AD637" s="325"/>
      <c r="AE637" s="325"/>
      <c r="AF637" s="325"/>
      <c r="AG637" s="325"/>
      <c r="AH637" s="325"/>
      <c r="AI637" s="325"/>
      <c r="AJ637" s="325"/>
      <c r="AK637" s="325"/>
      <c r="AL637" s="325"/>
      <c r="AM637" s="325"/>
      <c r="AN637" s="325"/>
      <c r="AO637" s="325"/>
      <c r="AP637" s="325"/>
      <c r="AQ637" s="325"/>
      <c r="AR637" s="325"/>
      <c r="AS637" s="325"/>
      <c r="AT637" s="325"/>
      <c r="AU637" s="325"/>
      <c r="AV637" s="325"/>
      <c r="AW637" s="325"/>
      <c r="AX637" s="325"/>
      <c r="AY637" s="325"/>
      <c r="AZ637" s="325"/>
      <c r="BA637" s="325"/>
      <c r="BB637" s="325"/>
      <c r="BC637" s="325"/>
      <c r="BD637" s="325"/>
      <c r="BE637" s="325"/>
      <c r="BF637" s="325"/>
      <c r="BG637" s="325"/>
      <c r="BH637" s="325"/>
      <c r="BI637" s="325"/>
      <c r="BJ637" s="325"/>
      <c r="BK637" s="325"/>
      <c r="BL637" s="325"/>
      <c r="BM637" s="325"/>
      <c r="BN637" s="325"/>
      <c r="BO637" s="325"/>
      <c r="BP637" s="325"/>
      <c r="BQ637" s="325"/>
      <c r="BR637" s="325"/>
      <c r="BS637" s="325"/>
      <c r="BT637" s="325"/>
      <c r="BU637" s="325"/>
      <c r="BV637" s="325"/>
      <c r="BW637" s="325"/>
      <c r="BX637" s="325"/>
      <c r="BY637" s="325"/>
      <c r="BZ637" s="325"/>
      <c r="CA637" s="325"/>
      <c r="CB637" s="325"/>
      <c r="CC637" s="325"/>
      <c r="CD637" s="325"/>
      <c r="CE637" s="325"/>
      <c r="CF637" s="325"/>
      <c r="CG637" s="325"/>
    </row>
    <row r="638" spans="1:85" ht="5.15" customHeight="1" x14ac:dyDescent="0.25">
      <c r="A638" s="318"/>
      <c r="C638" s="22"/>
      <c r="D638" s="22"/>
      <c r="E638" s="22"/>
      <c r="F638" s="22"/>
      <c r="G638" s="22"/>
      <c r="H638" s="22"/>
      <c r="I638" s="22"/>
      <c r="J638" s="22"/>
      <c r="K638" s="22"/>
      <c r="L638" s="22"/>
      <c r="O638" s="323"/>
      <c r="P638" s="301"/>
      <c r="Q638" s="23"/>
      <c r="R638" s="23"/>
      <c r="S638" s="325"/>
      <c r="T638" s="325"/>
      <c r="U638" s="325"/>
      <c r="V638" s="325"/>
      <c r="W638" s="325"/>
      <c r="X638" s="325"/>
      <c r="Y638" s="325"/>
      <c r="Z638" s="325"/>
      <c r="AA638" s="325"/>
      <c r="AB638" s="325"/>
      <c r="AC638" s="325"/>
      <c r="AD638" s="325"/>
      <c r="AE638" s="325"/>
      <c r="AF638" s="325"/>
      <c r="AG638" s="325"/>
      <c r="AH638" s="325"/>
      <c r="AI638" s="325"/>
      <c r="AJ638" s="325"/>
      <c r="AK638" s="325"/>
      <c r="AL638" s="325"/>
      <c r="AM638" s="325"/>
      <c r="AN638" s="325"/>
      <c r="AO638" s="325"/>
      <c r="AP638" s="325"/>
      <c r="AQ638" s="325"/>
      <c r="AR638" s="325"/>
      <c r="AS638" s="325"/>
      <c r="AT638" s="325"/>
      <c r="AU638" s="325"/>
      <c r="AV638" s="325"/>
      <c r="AW638" s="325"/>
      <c r="AX638" s="325"/>
      <c r="AY638" s="325"/>
      <c r="AZ638" s="325"/>
      <c r="BA638" s="325"/>
      <c r="BB638" s="325"/>
      <c r="BC638" s="325"/>
      <c r="BD638" s="325"/>
      <c r="BE638" s="325"/>
      <c r="BF638" s="325"/>
      <c r="BG638" s="325"/>
      <c r="BH638" s="325"/>
      <c r="BI638" s="325"/>
      <c r="BJ638" s="325"/>
      <c r="BK638" s="325"/>
      <c r="BL638" s="325"/>
      <c r="BM638" s="325"/>
      <c r="BN638" s="325"/>
      <c r="BO638" s="325"/>
      <c r="BP638" s="325"/>
      <c r="BQ638" s="325"/>
      <c r="BR638" s="325"/>
      <c r="BS638" s="325"/>
      <c r="BT638" s="325"/>
      <c r="BU638" s="325"/>
      <c r="BV638" s="325"/>
      <c r="BW638" s="325"/>
      <c r="BX638" s="325"/>
      <c r="BY638" s="325"/>
      <c r="BZ638" s="325"/>
      <c r="CA638" s="325"/>
      <c r="CB638" s="325"/>
      <c r="CC638" s="325"/>
      <c r="CD638" s="325"/>
      <c r="CE638" s="325"/>
      <c r="CF638" s="325"/>
      <c r="CG638" s="325"/>
    </row>
    <row r="639" spans="1:85" ht="12.75" customHeight="1" x14ac:dyDescent="0.25">
      <c r="A639" s="318"/>
      <c r="C639" s="22"/>
      <c r="D639" s="22"/>
      <c r="E639" s="22"/>
      <c r="F639" s="22"/>
      <c r="G639" s="1133">
        <v>1</v>
      </c>
      <c r="H639" s="1133"/>
      <c r="I639" s="1133">
        <v>2</v>
      </c>
      <c r="J639" s="1133"/>
      <c r="K639" s="1133">
        <v>3</v>
      </c>
      <c r="L639" s="1133"/>
      <c r="O639" s="323"/>
      <c r="P639" s="301"/>
      <c r="Q639" s="23"/>
      <c r="R639" s="23"/>
      <c r="S639" s="325"/>
      <c r="T639" s="325"/>
      <c r="U639" s="325"/>
      <c r="V639" s="325"/>
      <c r="W639" s="325"/>
      <c r="X639" s="325"/>
      <c r="Y639" s="325"/>
      <c r="Z639" s="325"/>
      <c r="AA639" s="325"/>
      <c r="AB639" s="325"/>
      <c r="AC639" s="325"/>
      <c r="AD639" s="325"/>
      <c r="AE639" s="325"/>
      <c r="AF639" s="325"/>
      <c r="AG639" s="325"/>
      <c r="AH639" s="325"/>
      <c r="AI639" s="325"/>
      <c r="AJ639" s="325"/>
      <c r="AK639" s="325"/>
      <c r="AL639" s="325"/>
      <c r="AM639" s="325"/>
      <c r="AN639" s="325"/>
      <c r="AO639" s="325"/>
      <c r="AP639" s="325"/>
      <c r="AQ639" s="325"/>
      <c r="AR639" s="325"/>
      <c r="AS639" s="325"/>
      <c r="AT639" s="325"/>
      <c r="AU639" s="325"/>
      <c r="AV639" s="325"/>
      <c r="AW639" s="325"/>
      <c r="AX639" s="325"/>
      <c r="AY639" s="325"/>
      <c r="AZ639" s="325"/>
      <c r="BA639" s="325"/>
      <c r="BB639" s="325"/>
      <c r="BC639" s="325"/>
      <c r="BD639" s="325"/>
      <c r="BE639" s="325"/>
      <c r="BF639" s="325"/>
      <c r="BG639" s="325"/>
      <c r="BH639" s="325"/>
      <c r="BI639" s="325"/>
      <c r="BJ639" s="325"/>
      <c r="BK639" s="325"/>
      <c r="BL639" s="325"/>
      <c r="BM639" s="325"/>
      <c r="BN639" s="325"/>
      <c r="BO639" s="325"/>
      <c r="BP639" s="325"/>
      <c r="BQ639" s="325"/>
      <c r="BR639" s="325"/>
      <c r="BS639" s="325"/>
      <c r="BT639" s="325"/>
      <c r="BU639" s="325"/>
      <c r="BV639" s="325"/>
      <c r="BW639" s="325"/>
      <c r="BX639" s="325"/>
      <c r="BY639" s="325"/>
      <c r="BZ639" s="325"/>
      <c r="CA639" s="325"/>
      <c r="CB639" s="325"/>
      <c r="CC639" s="325"/>
      <c r="CD639" s="325"/>
      <c r="CE639" s="325"/>
      <c r="CF639" s="325"/>
      <c r="CG639" s="325"/>
    </row>
    <row r="640" spans="1:85" ht="12.75" customHeight="1" x14ac:dyDescent="0.25">
      <c r="A640" s="389"/>
      <c r="B640" s="22"/>
      <c r="C640" s="22"/>
      <c r="D640" s="1134" t="str">
        <f>Translations!$B$372</f>
        <v>CRF-luokka</v>
      </c>
      <c r="E640" s="1134"/>
      <c r="F640" s="1135"/>
      <c r="G640" s="1123"/>
      <c r="H640" s="1124"/>
      <c r="I640" s="1123"/>
      <c r="J640" s="1124"/>
      <c r="K640" s="1123"/>
      <c r="L640" s="1124"/>
      <c r="M640" s="623" t="str">
        <f>IF(AND(E623&lt;&gt;"",COUNTA(G640:L640)=0,AX640=FALSE),EUconst_ERR_Incomplete,"")</f>
        <v/>
      </c>
      <c r="N640" s="22"/>
      <c r="O640" s="323"/>
      <c r="P640" s="301"/>
      <c r="Q640" s="23"/>
      <c r="R640" s="23"/>
      <c r="S640" s="325"/>
      <c r="T640" s="325"/>
      <c r="U640" s="325"/>
      <c r="V640" s="325"/>
      <c r="W640" s="325"/>
      <c r="X640" s="325"/>
      <c r="Y640" s="325"/>
      <c r="Z640" s="325"/>
      <c r="AA640" s="325"/>
      <c r="AB640" s="325"/>
      <c r="AC640" s="325"/>
      <c r="AD640" s="325"/>
      <c r="AE640" s="325"/>
      <c r="AF640" s="325"/>
      <c r="AG640" s="325"/>
      <c r="AH640" s="325"/>
      <c r="AI640" s="325"/>
      <c r="AJ640" s="325"/>
      <c r="AK640" s="325"/>
      <c r="AL640" s="325"/>
      <c r="AM640" s="325"/>
      <c r="AN640" s="325"/>
      <c r="AO640" s="325"/>
      <c r="AP640" s="325"/>
      <c r="AQ640" s="325"/>
      <c r="AR640" s="325"/>
      <c r="AS640" s="325"/>
      <c r="AT640" s="325"/>
      <c r="AU640" s="325"/>
      <c r="AV640" s="325"/>
      <c r="AW640" s="325"/>
      <c r="AX640" s="33" t="b">
        <f>AND(AV636&lt;&gt;"",SUM(AV636=1))</f>
        <v>0</v>
      </c>
      <c r="AY640" s="325"/>
      <c r="AZ640" s="325"/>
      <c r="BA640" s="325"/>
      <c r="BB640" s="325"/>
      <c r="BC640" s="325"/>
      <c r="BD640" s="325"/>
      <c r="BE640" s="325"/>
      <c r="BF640" s="325"/>
      <c r="BG640" s="325"/>
      <c r="BH640" s="325"/>
      <c r="BI640" s="325"/>
      <c r="BJ640" s="325"/>
      <c r="BK640" s="325"/>
      <c r="BL640" s="325"/>
      <c r="BM640" s="325"/>
      <c r="BN640" s="325"/>
      <c r="BO640" s="325"/>
      <c r="BP640" s="325"/>
      <c r="BQ640" s="325"/>
      <c r="BR640" s="325"/>
      <c r="BS640" s="325"/>
      <c r="BT640" s="325"/>
      <c r="BU640" s="325"/>
      <c r="BV640" s="325"/>
      <c r="BW640" s="325"/>
      <c r="BX640" s="325"/>
      <c r="BY640" s="325"/>
      <c r="BZ640" s="325"/>
      <c r="CA640" s="325"/>
      <c r="CB640" s="325"/>
      <c r="CC640" s="325"/>
      <c r="CD640" s="325"/>
      <c r="CE640" s="325"/>
      <c r="CF640" s="325"/>
      <c r="CG640" s="325"/>
    </row>
    <row r="641" spans="1:85" ht="5.15" customHeight="1" x14ac:dyDescent="0.25">
      <c r="A641" s="318"/>
      <c r="B641" s="21"/>
      <c r="C641" s="21"/>
      <c r="D641" s="21"/>
      <c r="E641" s="21"/>
      <c r="F641" s="21"/>
      <c r="G641" s="22"/>
      <c r="H641" s="22"/>
      <c r="I641" s="22"/>
      <c r="J641" s="22"/>
      <c r="K641" s="22"/>
      <c r="L641" s="22"/>
      <c r="M641" s="22"/>
      <c r="N641" s="22"/>
      <c r="O641" s="323"/>
      <c r="P641" s="301"/>
      <c r="Q641" s="23"/>
      <c r="R641" s="23"/>
      <c r="S641" s="325"/>
      <c r="T641" s="325"/>
      <c r="U641" s="325"/>
      <c r="V641" s="325"/>
      <c r="W641" s="325"/>
      <c r="X641" s="325"/>
      <c r="Y641" s="325"/>
      <c r="Z641" s="325"/>
      <c r="AA641" s="325"/>
      <c r="AB641" s="325"/>
      <c r="AC641" s="325"/>
      <c r="AD641" s="325"/>
      <c r="AE641" s="325"/>
      <c r="AF641" s="325"/>
      <c r="AG641" s="325"/>
      <c r="AH641" s="325"/>
      <c r="AI641" s="325"/>
      <c r="AJ641" s="325"/>
      <c r="AK641" s="325"/>
      <c r="AL641" s="325"/>
      <c r="AM641" s="325"/>
      <c r="AN641" s="325"/>
      <c r="AO641" s="325"/>
      <c r="AP641" s="325"/>
      <c r="AQ641" s="325"/>
      <c r="AR641" s="325"/>
      <c r="AS641" s="325"/>
      <c r="AT641" s="325"/>
      <c r="AU641" s="325"/>
      <c r="AV641" s="325"/>
      <c r="AW641" s="325"/>
      <c r="AX641" s="325"/>
      <c r="AY641" s="325"/>
      <c r="AZ641" s="325"/>
      <c r="BA641" s="325"/>
      <c r="BB641" s="325"/>
      <c r="BC641" s="325"/>
      <c r="BD641" s="325"/>
      <c r="BE641" s="325"/>
      <c r="BF641" s="325"/>
      <c r="BG641" s="325"/>
      <c r="BH641" s="325"/>
      <c r="BI641" s="325"/>
      <c r="BJ641" s="325"/>
      <c r="BK641" s="325"/>
      <c r="BL641" s="325"/>
      <c r="BM641" s="325"/>
      <c r="BN641" s="325"/>
      <c r="BO641" s="325"/>
      <c r="BP641" s="325"/>
      <c r="BQ641" s="325"/>
      <c r="BR641" s="325"/>
      <c r="BS641" s="325"/>
      <c r="BT641" s="325"/>
      <c r="BU641" s="325"/>
      <c r="BV641" s="325"/>
      <c r="BW641" s="325"/>
      <c r="BX641" s="325"/>
      <c r="BY641" s="325"/>
      <c r="BZ641" s="325"/>
      <c r="CA641" s="325"/>
      <c r="CB641" s="325"/>
      <c r="CC641" s="325"/>
      <c r="CD641" s="325"/>
      <c r="CE641" s="325"/>
      <c r="CF641" s="325"/>
      <c r="CG641" s="325"/>
    </row>
    <row r="642" spans="1:85" ht="6.65" customHeight="1" x14ac:dyDescent="0.25">
      <c r="A642" s="318"/>
      <c r="B642" s="21"/>
      <c r="C642" s="21"/>
      <c r="D642" s="1145"/>
      <c r="E642" s="1145"/>
      <c r="F642" s="1145"/>
      <c r="G642" s="806"/>
      <c r="H642" s="807"/>
      <c r="I642" s="806"/>
      <c r="J642" s="236"/>
      <c r="K642" s="236"/>
      <c r="L642" s="236"/>
      <c r="M642" s="807"/>
      <c r="N642" s="808"/>
      <c r="O642" s="323"/>
      <c r="P642" s="301"/>
      <c r="Q642" s="23"/>
      <c r="R642" s="23"/>
      <c r="S642" s="388"/>
      <c r="T642" s="325"/>
      <c r="U642" s="325"/>
      <c r="V642" s="325"/>
      <c r="W642" s="325"/>
      <c r="X642" s="325"/>
      <c r="Y642" s="325"/>
      <c r="Z642" s="325"/>
      <c r="AA642" s="325"/>
      <c r="AB642" s="325"/>
      <c r="AC642" s="325"/>
      <c r="AD642" s="325"/>
      <c r="AE642" s="325"/>
      <c r="AF642" s="325"/>
      <c r="AG642" s="325"/>
      <c r="AH642" s="325"/>
      <c r="AI642" s="325"/>
      <c r="AJ642" s="325"/>
      <c r="AK642" s="325"/>
      <c r="AL642" s="325"/>
      <c r="AM642" s="325"/>
      <c r="AN642" s="325"/>
      <c r="AO642" s="325"/>
      <c r="AP642" s="325"/>
      <c r="AQ642" s="325"/>
      <c r="AR642" s="325"/>
      <c r="AS642" s="325"/>
      <c r="AT642" s="325"/>
      <c r="AU642" s="325"/>
      <c r="AV642" s="325"/>
      <c r="AW642" s="325"/>
      <c r="AX642" s="325"/>
      <c r="AY642" s="325"/>
      <c r="AZ642" s="325"/>
      <c r="BA642" s="325"/>
      <c r="BB642" s="325"/>
      <c r="BC642" s="325"/>
      <c r="BD642" s="325"/>
      <c r="BE642" s="325"/>
      <c r="BF642" s="325"/>
      <c r="BG642" s="325"/>
      <c r="BH642" s="325"/>
      <c r="BI642" s="325"/>
      <c r="BJ642" s="325"/>
      <c r="BK642" s="325"/>
      <c r="BL642" s="325"/>
      <c r="BM642" s="325"/>
      <c r="BN642" s="325"/>
      <c r="BO642" s="325"/>
      <c r="BP642" s="325"/>
      <c r="BQ642" s="325"/>
      <c r="BR642" s="325"/>
      <c r="BS642" s="325"/>
      <c r="BT642" s="325"/>
      <c r="BU642" s="325"/>
      <c r="BV642" s="325"/>
      <c r="BW642" s="325"/>
      <c r="BX642" s="325"/>
      <c r="BY642" s="325"/>
      <c r="BZ642" s="325"/>
      <c r="CA642" s="325"/>
      <c r="CB642" s="325"/>
      <c r="CC642" s="325"/>
      <c r="CD642" s="325"/>
      <c r="CE642" s="325"/>
      <c r="CF642" s="325"/>
      <c r="CG642" s="33" t="b">
        <f>CG629</f>
        <v>0</v>
      </c>
    </row>
    <row r="643" spans="1:85" ht="5.15" customHeight="1" x14ac:dyDescent="0.25">
      <c r="A643" s="389"/>
      <c r="B643" s="22"/>
      <c r="C643" s="22"/>
      <c r="D643" s="22"/>
      <c r="E643" s="1116" t="str">
        <f>Translations!$B$304</f>
        <v xml:space="preserve">Lisätiedot: 
tapa, jolla biomassan kestävyys on osoitettu; 
muut polttoainevirtaa koskevat lisätiedot. </v>
      </c>
      <c r="F643" s="1116"/>
      <c r="G643" s="22"/>
      <c r="H643" s="22"/>
      <c r="I643" s="22"/>
      <c r="J643" s="22"/>
      <c r="K643" s="22"/>
      <c r="L643" s="22"/>
      <c r="M643" s="22"/>
      <c r="N643" s="22"/>
      <c r="O643" s="323"/>
      <c r="P643" s="301"/>
      <c r="Q643" s="23"/>
      <c r="R643" s="23"/>
      <c r="S643" s="325"/>
      <c r="T643" s="325"/>
      <c r="U643" s="325"/>
      <c r="V643" s="325"/>
      <c r="W643" s="325"/>
      <c r="X643" s="325"/>
      <c r="Y643" s="325"/>
      <c r="Z643" s="325"/>
      <c r="AA643" s="325"/>
      <c r="AB643" s="325"/>
      <c r="AC643" s="325"/>
      <c r="AD643" s="325"/>
      <c r="AE643" s="325"/>
      <c r="AF643" s="325"/>
      <c r="AG643" s="325"/>
      <c r="AH643" s="325"/>
      <c r="AI643" s="325"/>
      <c r="AJ643" s="325"/>
      <c r="AK643" s="325"/>
      <c r="AL643" s="325"/>
      <c r="AM643" s="325"/>
      <c r="AN643" s="325"/>
      <c r="AO643" s="325"/>
      <c r="AP643" s="325"/>
      <c r="AQ643" s="325"/>
      <c r="AR643" s="325"/>
      <c r="AS643" s="325"/>
      <c r="AT643" s="325"/>
      <c r="AU643" s="325"/>
      <c r="AV643" s="325"/>
      <c r="AW643" s="325"/>
      <c r="AX643" s="325"/>
      <c r="AY643" s="325"/>
      <c r="AZ643" s="325"/>
      <c r="BA643" s="325"/>
      <c r="BB643" s="325"/>
      <c r="BC643" s="325"/>
      <c r="BD643" s="325"/>
      <c r="BE643" s="325"/>
      <c r="BF643" s="325"/>
      <c r="BG643" s="325"/>
      <c r="BH643" s="325"/>
      <c r="BI643" s="325"/>
      <c r="BJ643" s="325"/>
      <c r="BK643" s="325"/>
      <c r="BL643" s="325"/>
      <c r="BM643" s="325"/>
      <c r="BN643" s="325"/>
      <c r="BO643" s="325"/>
      <c r="BP643" s="325"/>
      <c r="BQ643" s="325"/>
      <c r="BR643" s="325"/>
      <c r="BS643" s="325"/>
      <c r="BT643" s="325"/>
      <c r="BU643" s="325"/>
      <c r="BV643" s="325"/>
      <c r="BW643" s="325"/>
      <c r="BX643" s="325"/>
      <c r="BY643" s="325"/>
      <c r="BZ643" s="325"/>
      <c r="CA643" s="325"/>
      <c r="CB643" s="325"/>
      <c r="CC643" s="325"/>
      <c r="CD643" s="325"/>
      <c r="CE643" s="325"/>
      <c r="CF643" s="325"/>
      <c r="CG643" s="325"/>
    </row>
    <row r="644" spans="1:85" ht="36.5" customHeight="1" x14ac:dyDescent="0.25">
      <c r="A644" s="389"/>
      <c r="B644" s="22"/>
      <c r="C644" s="22"/>
      <c r="D644" s="4"/>
      <c r="E644" s="1116"/>
      <c r="F644" s="1116"/>
      <c r="G644" s="1146"/>
      <c r="H644" s="1147"/>
      <c r="I644" s="1147"/>
      <c r="J644" s="1147"/>
      <c r="K644" s="1147"/>
      <c r="L644" s="1147"/>
      <c r="M644" s="1147"/>
      <c r="N644" s="1148"/>
      <c r="O644" s="323"/>
      <c r="P644" s="301"/>
      <c r="Q644" s="23"/>
      <c r="R644" s="23"/>
      <c r="S644" s="325"/>
      <c r="T644" s="325"/>
      <c r="U644" s="325"/>
      <c r="V644" s="325"/>
      <c r="W644" s="325"/>
      <c r="X644" s="325"/>
      <c r="Y644" s="325"/>
      <c r="Z644" s="325"/>
      <c r="AA644" s="325"/>
      <c r="AB644" s="325"/>
      <c r="AC644" s="325"/>
      <c r="AD644" s="325"/>
      <c r="AE644" s="325"/>
      <c r="AF644" s="325"/>
      <c r="AG644" s="325"/>
      <c r="AH644" s="325"/>
      <c r="AI644" s="325"/>
      <c r="AJ644" s="325"/>
      <c r="AK644" s="325"/>
      <c r="AL644" s="325"/>
      <c r="AM644" s="325"/>
      <c r="AN644" s="325"/>
      <c r="AO644" s="325"/>
      <c r="AP644" s="325"/>
      <c r="AQ644" s="325"/>
      <c r="AR644" s="325"/>
      <c r="AS644" s="325"/>
      <c r="AT644" s="325"/>
      <c r="AU644" s="325"/>
      <c r="AV644" s="325"/>
      <c r="AW644" s="325"/>
      <c r="AX644" s="325"/>
      <c r="AY644" s="325"/>
      <c r="AZ644" s="325"/>
      <c r="BA644" s="325"/>
      <c r="BB644" s="325"/>
      <c r="BC644" s="325"/>
      <c r="BD644" s="325"/>
      <c r="BE644" s="325"/>
      <c r="BF644" s="325"/>
      <c r="BG644" s="325"/>
      <c r="BH644" s="325"/>
      <c r="BI644" s="325"/>
      <c r="BJ644" s="325"/>
      <c r="BK644" s="325"/>
      <c r="BL644" s="325"/>
      <c r="BM644" s="325"/>
      <c r="BN644" s="325"/>
      <c r="BO644" s="325"/>
      <c r="BP644" s="325"/>
      <c r="BQ644" s="325"/>
      <c r="BR644" s="325"/>
      <c r="BS644" s="325"/>
      <c r="BT644" s="325"/>
      <c r="BU644" s="325"/>
      <c r="BV644" s="325"/>
      <c r="BW644" s="325"/>
      <c r="BX644" s="325"/>
      <c r="BY644" s="325"/>
      <c r="BZ644" s="325"/>
      <c r="CA644" s="325"/>
      <c r="CB644" s="325"/>
      <c r="CC644" s="325"/>
      <c r="CD644" s="325"/>
      <c r="CE644" s="325"/>
      <c r="CF644" s="325"/>
      <c r="CG644" s="33" t="b">
        <f>CG642</f>
        <v>0</v>
      </c>
    </row>
    <row r="645" spans="1:85" ht="12.75" customHeight="1" thickBot="1" x14ac:dyDescent="0.3">
      <c r="A645" s="318"/>
      <c r="B645" s="22"/>
      <c r="C645" s="319"/>
      <c r="D645" s="320"/>
      <c r="E645" s="321"/>
      <c r="F645" s="319"/>
      <c r="G645" s="322"/>
      <c r="H645" s="322"/>
      <c r="I645" s="322"/>
      <c r="J645" s="322"/>
      <c r="K645" s="322"/>
      <c r="L645" s="322"/>
      <c r="M645" s="322"/>
      <c r="N645" s="322"/>
      <c r="O645" s="323"/>
      <c r="P645" s="301"/>
      <c r="Q645" s="23"/>
      <c r="R645" s="23"/>
      <c r="S645" s="41"/>
      <c r="T645" s="41"/>
      <c r="U645" s="324"/>
      <c r="V645" s="41"/>
      <c r="W645" s="41"/>
      <c r="X645" s="324"/>
      <c r="Y645" s="41"/>
      <c r="Z645" s="41"/>
      <c r="AA645" s="41"/>
      <c r="AB645" s="41"/>
      <c r="AC645" s="41"/>
      <c r="AD645" s="41"/>
      <c r="AE645" s="41"/>
      <c r="AF645" s="41"/>
      <c r="AG645" s="41"/>
      <c r="AH645" s="41"/>
      <c r="AI645" s="41"/>
      <c r="AJ645" s="41"/>
      <c r="AK645" s="41"/>
      <c r="AL645" s="41"/>
      <c r="AM645" s="41"/>
      <c r="AN645" s="41"/>
      <c r="AO645" s="41"/>
      <c r="AP645" s="41"/>
      <c r="AQ645" s="41"/>
      <c r="AR645" s="41"/>
      <c r="AS645" s="41"/>
      <c r="AT645" s="41"/>
      <c r="AU645" s="41"/>
      <c r="AV645" s="41"/>
      <c r="AW645" s="41"/>
      <c r="AX645" s="41"/>
      <c r="AY645" s="41"/>
      <c r="AZ645" s="41"/>
      <c r="BA645" s="41"/>
      <c r="BB645" s="41"/>
      <c r="BC645" s="41"/>
      <c r="BD645" s="41"/>
      <c r="BE645" s="41"/>
      <c r="BF645" s="41"/>
      <c r="BG645" s="41"/>
      <c r="BH645" s="41"/>
      <c r="BI645" s="41"/>
      <c r="BJ645" s="41"/>
      <c r="BK645" s="41"/>
      <c r="BL645" s="41"/>
      <c r="BM645" s="325"/>
      <c r="BN645" s="325"/>
      <c r="BO645" s="325"/>
      <c r="BP645" s="325"/>
      <c r="BQ645" s="325"/>
      <c r="BR645" s="325"/>
      <c r="BS645" s="325"/>
      <c r="BT645" s="325"/>
      <c r="BU645" s="41"/>
      <c r="BV645" s="41"/>
      <c r="BW645" s="41"/>
      <c r="BX645" s="41"/>
      <c r="BY645" s="41"/>
      <c r="BZ645" s="41"/>
      <c r="CA645" s="41"/>
      <c r="CB645" s="41"/>
      <c r="CC645" s="41"/>
      <c r="CD645" s="41"/>
      <c r="CE645" s="41"/>
      <c r="CF645" s="41"/>
      <c r="CG645" s="41"/>
    </row>
    <row r="646" spans="1:85" ht="13" hidden="1" x14ac:dyDescent="0.25">
      <c r="A646" s="12"/>
      <c r="C646" s="25"/>
      <c r="D646" s="26"/>
      <c r="E646" s="27"/>
      <c r="F646" s="29"/>
      <c r="G646" s="28"/>
      <c r="H646" s="28"/>
      <c r="I646" s="28"/>
      <c r="J646" s="28"/>
      <c r="K646" s="28"/>
      <c r="L646" s="28"/>
      <c r="M646" s="28"/>
      <c r="N646" s="28"/>
      <c r="O646" s="292"/>
      <c r="P646" s="254"/>
      <c r="Q646" s="10"/>
      <c r="R646" s="37"/>
      <c r="S646" s="37"/>
      <c r="T646" s="40"/>
      <c r="U646" s="37"/>
      <c r="V646" s="37"/>
      <c r="W646" s="37"/>
      <c r="X646" s="37"/>
    </row>
    <row r="647" spans="1:85" s="254" customFormat="1" hidden="1" x14ac:dyDescent="0.25">
      <c r="A647" s="232" t="s">
        <v>0</v>
      </c>
      <c r="B647" s="232" t="s">
        <v>21</v>
      </c>
      <c r="C647" s="232" t="s">
        <v>21</v>
      </c>
      <c r="D647" s="232" t="s">
        <v>21</v>
      </c>
      <c r="E647" s="232" t="s">
        <v>21</v>
      </c>
      <c r="F647" s="232" t="s">
        <v>21</v>
      </c>
      <c r="G647" s="232" t="s">
        <v>21</v>
      </c>
      <c r="H647" s="232" t="s">
        <v>21</v>
      </c>
      <c r="I647" s="232" t="s">
        <v>21</v>
      </c>
      <c r="J647" s="232" t="s">
        <v>21</v>
      </c>
      <c r="K647" s="232" t="s">
        <v>21</v>
      </c>
      <c r="L647" s="232" t="s">
        <v>21</v>
      </c>
      <c r="M647" s="232" t="s">
        <v>21</v>
      </c>
      <c r="N647" s="232" t="s">
        <v>21</v>
      </c>
      <c r="O647" s="299" t="s">
        <v>21</v>
      </c>
      <c r="P647" s="232" t="s">
        <v>21</v>
      </c>
      <c r="Q647" s="232" t="s">
        <v>21</v>
      </c>
      <c r="R647" s="232" t="s">
        <v>21</v>
      </c>
      <c r="S647" s="232" t="s">
        <v>21</v>
      </c>
      <c r="T647" s="232" t="s">
        <v>21</v>
      </c>
      <c r="U647" s="232" t="s">
        <v>21</v>
      </c>
      <c r="V647" s="232" t="s">
        <v>21</v>
      </c>
      <c r="W647" s="232" t="s">
        <v>21</v>
      </c>
      <c r="X647" s="232" t="s">
        <v>21</v>
      </c>
      <c r="Y647" s="232" t="s">
        <v>21</v>
      </c>
      <c r="Z647" s="232" t="s">
        <v>21</v>
      </c>
      <c r="AA647" s="232" t="s">
        <v>21</v>
      </c>
      <c r="AB647" s="232" t="s">
        <v>21</v>
      </c>
      <c r="AC647" s="232" t="s">
        <v>21</v>
      </c>
      <c r="AD647" s="232" t="s">
        <v>21</v>
      </c>
      <c r="AE647" s="232" t="s">
        <v>21</v>
      </c>
      <c r="AF647" s="232" t="s">
        <v>21</v>
      </c>
      <c r="AG647" s="232" t="s">
        <v>21</v>
      </c>
      <c r="AH647" s="232" t="s">
        <v>21</v>
      </c>
      <c r="AI647" s="232" t="s">
        <v>21</v>
      </c>
      <c r="AJ647" s="232" t="s">
        <v>21</v>
      </c>
      <c r="AK647" s="232" t="s">
        <v>21</v>
      </c>
      <c r="AL647" s="232" t="s">
        <v>21</v>
      </c>
      <c r="AM647" s="232" t="s">
        <v>21</v>
      </c>
      <c r="AN647" s="232" t="s">
        <v>21</v>
      </c>
      <c r="AO647" s="232" t="s">
        <v>21</v>
      </c>
      <c r="AP647" s="232" t="s">
        <v>21</v>
      </c>
      <c r="AQ647" s="232" t="s">
        <v>21</v>
      </c>
      <c r="AR647" s="232" t="s">
        <v>21</v>
      </c>
      <c r="AS647" s="232" t="s">
        <v>21</v>
      </c>
      <c r="AT647" s="232" t="s">
        <v>21</v>
      </c>
      <c r="AU647" s="232" t="s">
        <v>21</v>
      </c>
      <c r="AV647" s="232" t="s">
        <v>21</v>
      </c>
      <c r="AW647" s="232" t="s">
        <v>21</v>
      </c>
      <c r="AX647" s="232" t="s">
        <v>21</v>
      </c>
      <c r="AY647" s="232" t="s">
        <v>21</v>
      </c>
      <c r="AZ647" s="232" t="s">
        <v>21</v>
      </c>
      <c r="BA647" s="232" t="s">
        <v>21</v>
      </c>
      <c r="BB647" s="232" t="s">
        <v>21</v>
      </c>
      <c r="BC647" s="232" t="s">
        <v>21</v>
      </c>
      <c r="BD647" s="232" t="s">
        <v>21</v>
      </c>
      <c r="BE647" s="232" t="s">
        <v>21</v>
      </c>
      <c r="BF647" s="232" t="s">
        <v>21</v>
      </c>
      <c r="BG647" s="232" t="s">
        <v>21</v>
      </c>
      <c r="BH647" s="232" t="s">
        <v>21</v>
      </c>
      <c r="BI647" s="232" t="s">
        <v>21</v>
      </c>
      <c r="BJ647" s="232" t="s">
        <v>21</v>
      </c>
      <c r="BK647" s="232" t="s">
        <v>21</v>
      </c>
      <c r="BL647" s="232" t="s">
        <v>21</v>
      </c>
      <c r="BM647" s="232" t="s">
        <v>21</v>
      </c>
      <c r="BN647" s="232" t="s">
        <v>21</v>
      </c>
      <c r="BO647" s="232" t="s">
        <v>21</v>
      </c>
      <c r="BP647" s="232" t="s">
        <v>21</v>
      </c>
      <c r="BQ647" s="232" t="s">
        <v>21</v>
      </c>
      <c r="BR647" s="232" t="s">
        <v>21</v>
      </c>
      <c r="BS647" s="232" t="s">
        <v>21</v>
      </c>
      <c r="BT647" s="232" t="s">
        <v>21</v>
      </c>
      <c r="BU647" s="232" t="s">
        <v>21</v>
      </c>
      <c r="BV647" s="232" t="s">
        <v>21</v>
      </c>
      <c r="BW647" s="232" t="s">
        <v>21</v>
      </c>
      <c r="BX647" s="232" t="s">
        <v>21</v>
      </c>
      <c r="BY647" s="232" t="s">
        <v>21</v>
      </c>
      <c r="BZ647" s="232" t="s">
        <v>21</v>
      </c>
      <c r="CA647" s="232" t="s">
        <v>21</v>
      </c>
      <c r="CB647" s="232" t="s">
        <v>21</v>
      </c>
      <c r="CC647" s="232" t="s">
        <v>21</v>
      </c>
      <c r="CD647" s="232" t="s">
        <v>21</v>
      </c>
      <c r="CE647" s="232" t="s">
        <v>21</v>
      </c>
      <c r="CF647" s="232" t="s">
        <v>21</v>
      </c>
      <c r="CG647" s="232" t="s">
        <v>21</v>
      </c>
    </row>
    <row r="648" spans="1:85" s="254" customFormat="1" hidden="1" x14ac:dyDescent="0.25">
      <c r="A648" s="232" t="s">
        <v>0</v>
      </c>
      <c r="B648" s="259"/>
      <c r="C648" s="259"/>
      <c r="D648" s="279"/>
      <c r="E648" s="259"/>
      <c r="F648" s="259"/>
      <c r="G648" s="259"/>
      <c r="H648" s="259"/>
      <c r="I648" s="259"/>
      <c r="J648" s="259"/>
      <c r="K648" s="259"/>
      <c r="L648" s="259"/>
      <c r="M648" s="259"/>
      <c r="N648" s="259"/>
      <c r="O648" s="289"/>
      <c r="P648" s="259" t="s">
        <v>12</v>
      </c>
      <c r="Q648" s="259"/>
    </row>
    <row r="649" spans="1:85" hidden="1" x14ac:dyDescent="0.25">
      <c r="A649" s="232" t="s">
        <v>0</v>
      </c>
      <c r="O649" s="291"/>
      <c r="P649" s="259"/>
    </row>
    <row r="650" spans="1:85" ht="13" hidden="1" thickBot="1" x14ac:dyDescent="0.3">
      <c r="A650" s="232" t="s">
        <v>0</v>
      </c>
      <c r="O650" s="291"/>
      <c r="P650" s="259"/>
    </row>
    <row r="651" spans="1:85" ht="13.5" hidden="1" thickBot="1" x14ac:dyDescent="0.3">
      <c r="A651" s="232" t="s">
        <v>0</v>
      </c>
      <c r="F651" s="391"/>
      <c r="G651" s="392"/>
      <c r="H651" s="392"/>
      <c r="I651" s="392" t="str">
        <f>Translations!$B$235</f>
        <v>Polttoainevirta</v>
      </c>
      <c r="J651" s="392"/>
      <c r="K651" s="392"/>
      <c r="L651" s="392"/>
      <c r="M651" s="393" t="str">
        <f>Translations!$B$402</f>
        <v>Vaihteluväli</v>
      </c>
      <c r="O651" s="291"/>
      <c r="P651" s="259"/>
    </row>
    <row r="652" spans="1:85" hidden="1" x14ac:dyDescent="0.25">
      <c r="A652" s="232" t="s">
        <v>0</v>
      </c>
      <c r="F652" s="394">
        <v>1</v>
      </c>
      <c r="G652" s="172" t="str">
        <f>INDEX(CNTR_SourceStreamNames,F652)</f>
        <v>ei sovellettavissa</v>
      </c>
      <c r="H652" s="172" t="str">
        <f>IF(G652=EUconst_NA,"",MAX($H651:H$651)+1)</f>
        <v/>
      </c>
      <c r="I652" s="13" t="str">
        <f>IF(COUNTIF($H$652:$H$676,F652)=0,"",INDEX($G$652:$G$676,MATCH(F652,$H$652:$H$676,0)))</f>
        <v/>
      </c>
      <c r="J652" s="172"/>
      <c r="K652" s="172"/>
      <c r="L652" s="172"/>
      <c r="M652" s="395" t="str">
        <f ca="1">ADDRESS(ROW(I652),COLUMN(I652),,,T2)&amp;":"&amp;ADDRESS(ROW(I652)+COUNTIF(G652:G676,"&lt;&gt;"&amp;EUconst_NA)-1,COLUMN(I652))</f>
        <v>C_Päästölaskenta!$I$652:$I$651</v>
      </c>
      <c r="O652" s="291"/>
      <c r="P652" s="259"/>
    </row>
    <row r="653" spans="1:85" hidden="1" x14ac:dyDescent="0.25">
      <c r="A653" s="232" t="s">
        <v>0</v>
      </c>
      <c r="F653" s="396">
        <v>2</v>
      </c>
      <c r="G653" s="175" t="str">
        <f t="shared" ref="G653:G676" si="0">INDEX(CNTR_SourceStreamNames,F653)</f>
        <v>ei sovellettavissa</v>
      </c>
      <c r="H653" s="175" t="str">
        <f>IF(G653=EUconst_NA,"",MAX($H$651:H652)+1)</f>
        <v/>
      </c>
      <c r="I653" s="14" t="str">
        <f t="shared" ref="I653:I676" si="1">IF(COUNTIF($H$652:$H$676,F653)=0,"",INDEX($G$652:$G$676,MATCH(F653,$H$652:$H$676,0)))</f>
        <v/>
      </c>
      <c r="J653" s="175"/>
      <c r="K653" s="175"/>
      <c r="L653" s="175"/>
      <c r="M653" s="176"/>
      <c r="O653" s="291"/>
      <c r="P653" s="259"/>
    </row>
    <row r="654" spans="1:85" hidden="1" x14ac:dyDescent="0.25">
      <c r="A654" s="232" t="s">
        <v>0</v>
      </c>
      <c r="F654" s="396">
        <v>3</v>
      </c>
      <c r="G654" s="175" t="str">
        <f t="shared" si="0"/>
        <v>ei sovellettavissa</v>
      </c>
      <c r="H654" s="175" t="str">
        <f>IF(G654=EUconst_NA,"",MAX($H$651:H653)+1)</f>
        <v/>
      </c>
      <c r="I654" s="14" t="str">
        <f t="shared" si="1"/>
        <v/>
      </c>
      <c r="J654" s="175"/>
      <c r="K654" s="175"/>
      <c r="L654" s="175"/>
      <c r="M654" s="176"/>
      <c r="O654" s="291"/>
      <c r="P654" s="259"/>
    </row>
    <row r="655" spans="1:85" hidden="1" x14ac:dyDescent="0.25">
      <c r="A655" s="232" t="s">
        <v>0</v>
      </c>
      <c r="F655" s="396">
        <v>4</v>
      </c>
      <c r="G655" s="175" t="str">
        <f t="shared" si="0"/>
        <v>ei sovellettavissa</v>
      </c>
      <c r="H655" s="175" t="str">
        <f>IF(G655=EUconst_NA,"",MAX($H$651:H654)+1)</f>
        <v/>
      </c>
      <c r="I655" s="14" t="str">
        <f t="shared" si="1"/>
        <v/>
      </c>
      <c r="J655" s="175"/>
      <c r="K655" s="175"/>
      <c r="L655" s="175"/>
      <c r="M655" s="176"/>
      <c r="O655" s="291"/>
      <c r="P655" s="259"/>
    </row>
    <row r="656" spans="1:85" hidden="1" x14ac:dyDescent="0.25">
      <c r="A656" s="232" t="s">
        <v>0</v>
      </c>
      <c r="F656" s="396">
        <v>5</v>
      </c>
      <c r="G656" s="175" t="str">
        <f t="shared" si="0"/>
        <v>ei sovellettavissa</v>
      </c>
      <c r="H656" s="175" t="str">
        <f>IF(G656=EUconst_NA,"",MAX($H$651:H655)+1)</f>
        <v/>
      </c>
      <c r="I656" s="14" t="str">
        <f t="shared" si="1"/>
        <v/>
      </c>
      <c r="J656" s="175"/>
      <c r="K656" s="175"/>
      <c r="L656" s="175"/>
      <c r="M656" s="176"/>
      <c r="O656" s="291"/>
      <c r="P656" s="259"/>
    </row>
    <row r="657" spans="1:13" hidden="1" x14ac:dyDescent="0.25">
      <c r="A657" s="232" t="s">
        <v>0</v>
      </c>
      <c r="F657" s="396">
        <v>6</v>
      </c>
      <c r="G657" s="175" t="str">
        <f t="shared" si="0"/>
        <v>ei sovellettavissa</v>
      </c>
      <c r="H657" s="175" t="str">
        <f>IF(G657=EUconst_NA,"",MAX($H$651:H656)+1)</f>
        <v/>
      </c>
      <c r="I657" s="14" t="str">
        <f t="shared" si="1"/>
        <v/>
      </c>
      <c r="J657" s="175"/>
      <c r="K657" s="175"/>
      <c r="L657" s="175"/>
      <c r="M657" s="176"/>
    </row>
    <row r="658" spans="1:13" hidden="1" x14ac:dyDescent="0.25">
      <c r="A658" s="232" t="s">
        <v>0</v>
      </c>
      <c r="F658" s="396">
        <v>7</v>
      </c>
      <c r="G658" s="175" t="str">
        <f t="shared" si="0"/>
        <v>ei sovellettavissa</v>
      </c>
      <c r="H658" s="175" t="str">
        <f>IF(G658=EUconst_NA,"",MAX($H$651:H657)+1)</f>
        <v/>
      </c>
      <c r="I658" s="14" t="str">
        <f t="shared" si="1"/>
        <v/>
      </c>
      <c r="J658" s="175"/>
      <c r="K658" s="175"/>
      <c r="L658" s="175"/>
      <c r="M658" s="176"/>
    </row>
    <row r="659" spans="1:13" hidden="1" x14ac:dyDescent="0.25">
      <c r="A659" s="232" t="s">
        <v>0</v>
      </c>
      <c r="F659" s="396">
        <v>8</v>
      </c>
      <c r="G659" s="175" t="str">
        <f t="shared" si="0"/>
        <v>ei sovellettavissa</v>
      </c>
      <c r="H659" s="175" t="str">
        <f>IF(G659=EUconst_NA,"",MAX($H$651:H658)+1)</f>
        <v/>
      </c>
      <c r="I659" s="14" t="str">
        <f t="shared" si="1"/>
        <v/>
      </c>
      <c r="J659" s="175"/>
      <c r="K659" s="175"/>
      <c r="L659" s="175"/>
      <c r="M659" s="176"/>
    </row>
    <row r="660" spans="1:13" hidden="1" x14ac:dyDescent="0.25">
      <c r="A660" s="232" t="s">
        <v>0</v>
      </c>
      <c r="F660" s="396">
        <v>9</v>
      </c>
      <c r="G660" s="175" t="str">
        <f t="shared" si="0"/>
        <v>ei sovellettavissa</v>
      </c>
      <c r="H660" s="175" t="str">
        <f>IF(G660=EUconst_NA,"",MAX($H$651:H659)+1)</f>
        <v/>
      </c>
      <c r="I660" s="14" t="str">
        <f t="shared" si="1"/>
        <v/>
      </c>
      <c r="J660" s="175"/>
      <c r="K660" s="175"/>
      <c r="L660" s="175"/>
      <c r="M660" s="176"/>
    </row>
    <row r="661" spans="1:13" hidden="1" x14ac:dyDescent="0.25">
      <c r="A661" s="232" t="s">
        <v>0</v>
      </c>
      <c r="F661" s="396">
        <v>10</v>
      </c>
      <c r="G661" s="175" t="str">
        <f t="shared" si="0"/>
        <v>ei sovellettavissa</v>
      </c>
      <c r="H661" s="175" t="str">
        <f>IF(G661=EUconst_NA,"",MAX($H$651:H660)+1)</f>
        <v/>
      </c>
      <c r="I661" s="14" t="str">
        <f t="shared" si="1"/>
        <v/>
      </c>
      <c r="J661" s="175"/>
      <c r="K661" s="175"/>
      <c r="L661" s="175"/>
      <c r="M661" s="176"/>
    </row>
    <row r="662" spans="1:13" hidden="1" x14ac:dyDescent="0.25">
      <c r="A662" s="232" t="s">
        <v>0</v>
      </c>
      <c r="F662" s="396">
        <v>11</v>
      </c>
      <c r="G662" s="175" t="str">
        <f t="shared" si="0"/>
        <v>ei sovellettavissa</v>
      </c>
      <c r="H662" s="175" t="str">
        <f>IF(G662=EUconst_NA,"",MAX($H$651:H661)+1)</f>
        <v/>
      </c>
      <c r="I662" s="14" t="str">
        <f t="shared" si="1"/>
        <v/>
      </c>
      <c r="J662" s="175"/>
      <c r="K662" s="175"/>
      <c r="L662" s="175"/>
      <c r="M662" s="176"/>
    </row>
    <row r="663" spans="1:13" hidden="1" x14ac:dyDescent="0.25">
      <c r="A663" s="232" t="s">
        <v>0</v>
      </c>
      <c r="F663" s="396">
        <v>12</v>
      </c>
      <c r="G663" s="175" t="str">
        <f t="shared" si="0"/>
        <v>ei sovellettavissa</v>
      </c>
      <c r="H663" s="175" t="str">
        <f>IF(G663=EUconst_NA,"",MAX($H$651:H662)+1)</f>
        <v/>
      </c>
      <c r="I663" s="14" t="str">
        <f t="shared" si="1"/>
        <v/>
      </c>
      <c r="J663" s="175"/>
      <c r="K663" s="175"/>
      <c r="L663" s="175"/>
      <c r="M663" s="176"/>
    </row>
    <row r="664" spans="1:13" hidden="1" x14ac:dyDescent="0.25">
      <c r="A664" s="232" t="s">
        <v>0</v>
      </c>
      <c r="F664" s="396">
        <v>13</v>
      </c>
      <c r="G664" s="175" t="str">
        <f t="shared" si="0"/>
        <v>ei sovellettavissa</v>
      </c>
      <c r="H664" s="175" t="str">
        <f>IF(G664=EUconst_NA,"",MAX($H$651:H663)+1)</f>
        <v/>
      </c>
      <c r="I664" s="14" t="str">
        <f t="shared" si="1"/>
        <v/>
      </c>
      <c r="J664" s="175"/>
      <c r="K664" s="175"/>
      <c r="L664" s="175"/>
      <c r="M664" s="176"/>
    </row>
    <row r="665" spans="1:13" hidden="1" x14ac:dyDescent="0.25">
      <c r="A665" s="232" t="s">
        <v>0</v>
      </c>
      <c r="F665" s="396">
        <v>14</v>
      </c>
      <c r="G665" s="175" t="str">
        <f t="shared" si="0"/>
        <v>ei sovellettavissa</v>
      </c>
      <c r="H665" s="175" t="str">
        <f>IF(G665=EUconst_NA,"",MAX($H$651:H664)+1)</f>
        <v/>
      </c>
      <c r="I665" s="14" t="str">
        <f t="shared" si="1"/>
        <v/>
      </c>
      <c r="J665" s="175"/>
      <c r="K665" s="175"/>
      <c r="L665" s="175"/>
      <c r="M665" s="176"/>
    </row>
    <row r="666" spans="1:13" hidden="1" x14ac:dyDescent="0.25">
      <c r="A666" s="232" t="s">
        <v>0</v>
      </c>
      <c r="F666" s="396">
        <v>15</v>
      </c>
      <c r="G666" s="175" t="str">
        <f t="shared" si="0"/>
        <v>ei sovellettavissa</v>
      </c>
      <c r="H666" s="175" t="str">
        <f>IF(G666=EUconst_NA,"",MAX($H$651:H665)+1)</f>
        <v/>
      </c>
      <c r="I666" s="14" t="str">
        <f t="shared" si="1"/>
        <v/>
      </c>
      <c r="J666" s="175"/>
      <c r="K666" s="175"/>
      <c r="L666" s="175"/>
      <c r="M666" s="176"/>
    </row>
    <row r="667" spans="1:13" hidden="1" x14ac:dyDescent="0.25">
      <c r="A667" s="232" t="s">
        <v>0</v>
      </c>
      <c r="F667" s="396">
        <v>16</v>
      </c>
      <c r="G667" s="175" t="str">
        <f t="shared" si="0"/>
        <v>ei sovellettavissa</v>
      </c>
      <c r="H667" s="175" t="str">
        <f>IF(G667=EUconst_NA,"",MAX($H$651:H666)+1)</f>
        <v/>
      </c>
      <c r="I667" s="14" t="str">
        <f t="shared" si="1"/>
        <v/>
      </c>
      <c r="J667" s="175"/>
      <c r="K667" s="175"/>
      <c r="L667" s="175"/>
      <c r="M667" s="176"/>
    </row>
    <row r="668" spans="1:13" hidden="1" x14ac:dyDescent="0.25">
      <c r="A668" s="232" t="s">
        <v>0</v>
      </c>
      <c r="F668" s="396">
        <v>17</v>
      </c>
      <c r="G668" s="175" t="str">
        <f t="shared" si="0"/>
        <v>ei sovellettavissa</v>
      </c>
      <c r="H668" s="175" t="str">
        <f>IF(G668=EUconst_NA,"",MAX($H$651:H667)+1)</f>
        <v/>
      </c>
      <c r="I668" s="14" t="str">
        <f t="shared" si="1"/>
        <v/>
      </c>
      <c r="J668" s="175"/>
      <c r="K668" s="175"/>
      <c r="L668" s="175"/>
      <c r="M668" s="176"/>
    </row>
    <row r="669" spans="1:13" hidden="1" x14ac:dyDescent="0.25">
      <c r="A669" s="232" t="s">
        <v>0</v>
      </c>
      <c r="F669" s="396">
        <v>18</v>
      </c>
      <c r="G669" s="175" t="str">
        <f t="shared" si="0"/>
        <v>ei sovellettavissa</v>
      </c>
      <c r="H669" s="175" t="str">
        <f>IF(G669=EUconst_NA,"",MAX($H$651:H668)+1)</f>
        <v/>
      </c>
      <c r="I669" s="14" t="str">
        <f t="shared" si="1"/>
        <v/>
      </c>
      <c r="J669" s="175"/>
      <c r="K669" s="175"/>
      <c r="L669" s="175"/>
      <c r="M669" s="176"/>
    </row>
    <row r="670" spans="1:13" hidden="1" x14ac:dyDescent="0.25">
      <c r="A670" s="232" t="s">
        <v>0</v>
      </c>
      <c r="F670" s="396">
        <v>19</v>
      </c>
      <c r="G670" s="175" t="str">
        <f t="shared" si="0"/>
        <v>ei sovellettavissa</v>
      </c>
      <c r="H670" s="175" t="str">
        <f>IF(G670=EUconst_NA,"",MAX($H$651:H669)+1)</f>
        <v/>
      </c>
      <c r="I670" s="14" t="str">
        <f t="shared" si="1"/>
        <v/>
      </c>
      <c r="J670" s="175"/>
      <c r="K670" s="175"/>
      <c r="L670" s="175"/>
      <c r="M670" s="176"/>
    </row>
    <row r="671" spans="1:13" hidden="1" x14ac:dyDescent="0.25">
      <c r="A671" s="232" t="s">
        <v>0</v>
      </c>
      <c r="F671" s="396">
        <v>20</v>
      </c>
      <c r="G671" s="175" t="str">
        <f t="shared" si="0"/>
        <v>ei sovellettavissa</v>
      </c>
      <c r="H671" s="175" t="str">
        <f>IF(G671=EUconst_NA,"",MAX($H$651:H670)+1)</f>
        <v/>
      </c>
      <c r="I671" s="14" t="str">
        <f t="shared" si="1"/>
        <v/>
      </c>
      <c r="J671" s="175"/>
      <c r="K671" s="175"/>
      <c r="L671" s="175"/>
      <c r="M671" s="176"/>
    </row>
    <row r="672" spans="1:13" hidden="1" x14ac:dyDescent="0.25">
      <c r="A672" s="232" t="s">
        <v>0</v>
      </c>
      <c r="F672" s="396">
        <v>21</v>
      </c>
      <c r="G672" s="175" t="str">
        <f t="shared" si="0"/>
        <v>ei sovellettavissa</v>
      </c>
      <c r="H672" s="175" t="str">
        <f>IF(G672=EUconst_NA,"",MAX($H$651:H671)+1)</f>
        <v/>
      </c>
      <c r="I672" s="14" t="str">
        <f t="shared" si="1"/>
        <v/>
      </c>
      <c r="J672" s="175"/>
      <c r="K672" s="175"/>
      <c r="L672" s="175"/>
      <c r="M672" s="176"/>
    </row>
    <row r="673" spans="1:13" hidden="1" x14ac:dyDescent="0.25">
      <c r="A673" s="232" t="s">
        <v>0</v>
      </c>
      <c r="F673" s="396">
        <v>22</v>
      </c>
      <c r="G673" s="175" t="str">
        <f t="shared" si="0"/>
        <v>ei sovellettavissa</v>
      </c>
      <c r="H673" s="175" t="str">
        <f>IF(G673=EUconst_NA,"",MAX($H$651:H672)+1)</f>
        <v/>
      </c>
      <c r="I673" s="14" t="str">
        <f t="shared" si="1"/>
        <v/>
      </c>
      <c r="J673" s="175"/>
      <c r="K673" s="175"/>
      <c r="L673" s="175"/>
      <c r="M673" s="176"/>
    </row>
    <row r="674" spans="1:13" hidden="1" x14ac:dyDescent="0.25">
      <c r="A674" s="232" t="s">
        <v>0</v>
      </c>
      <c r="F674" s="396">
        <v>23</v>
      </c>
      <c r="G674" s="175" t="str">
        <f t="shared" si="0"/>
        <v>ei sovellettavissa</v>
      </c>
      <c r="H674" s="175" t="str">
        <f>IF(G674=EUconst_NA,"",MAX($H$651:H673)+1)</f>
        <v/>
      </c>
      <c r="I674" s="14" t="str">
        <f t="shared" si="1"/>
        <v/>
      </c>
      <c r="J674" s="175"/>
      <c r="K674" s="175"/>
      <c r="L674" s="175"/>
      <c r="M674" s="176"/>
    </row>
    <row r="675" spans="1:13" hidden="1" x14ac:dyDescent="0.25">
      <c r="A675" s="232" t="s">
        <v>0</v>
      </c>
      <c r="F675" s="396">
        <v>24</v>
      </c>
      <c r="G675" s="175" t="str">
        <f t="shared" si="0"/>
        <v>ei sovellettavissa</v>
      </c>
      <c r="H675" s="175" t="str">
        <f>IF(G675=EUconst_NA,"",MAX($H$651:H674)+1)</f>
        <v/>
      </c>
      <c r="I675" s="14" t="str">
        <f t="shared" si="1"/>
        <v/>
      </c>
      <c r="J675" s="175"/>
      <c r="K675" s="175"/>
      <c r="L675" s="175"/>
      <c r="M675" s="176"/>
    </row>
    <row r="676" spans="1:13" ht="13" hidden="1" thickBot="1" x14ac:dyDescent="0.3">
      <c r="A676" s="232" t="s">
        <v>0</v>
      </c>
      <c r="F676" s="397">
        <v>25</v>
      </c>
      <c r="G676" s="178" t="str">
        <f t="shared" si="0"/>
        <v>ei sovellettavissa</v>
      </c>
      <c r="H676" s="178" t="str">
        <f>IF(G676=EUconst_NA,"",MAX($H$651:H675)+1)</f>
        <v/>
      </c>
      <c r="I676" s="15" t="str">
        <f t="shared" si="1"/>
        <v/>
      </c>
      <c r="J676" s="178"/>
      <c r="K676" s="178"/>
      <c r="L676" s="178"/>
      <c r="M676" s="179"/>
    </row>
    <row r="677" spans="1:13" hidden="1" x14ac:dyDescent="0.25">
      <c r="A677" s="232" t="s">
        <v>0</v>
      </c>
    </row>
    <row r="678" spans="1:13" hidden="1" x14ac:dyDescent="0.25"/>
    <row r="679" spans="1:13" hidden="1" x14ac:dyDescent="0.25"/>
    <row r="680" spans="1:13" hidden="1" x14ac:dyDescent="0.25"/>
  </sheetData>
  <sheetProtection sheet="1" formatCells="0" formatColumns="0" formatRows="0"/>
  <mergeCells count="709">
    <mergeCell ref="E623:J623"/>
    <mergeCell ref="K623:L623"/>
    <mergeCell ref="D616:F616"/>
    <mergeCell ref="D618:F618"/>
    <mergeCell ref="G620:N620"/>
    <mergeCell ref="E578:M578"/>
    <mergeCell ref="D642:F642"/>
    <mergeCell ref="G644:N644"/>
    <mergeCell ref="G629:H629"/>
    <mergeCell ref="K629:L629"/>
    <mergeCell ref="G631:H631"/>
    <mergeCell ref="G632:H632"/>
    <mergeCell ref="G633:H633"/>
    <mergeCell ref="G636:H636"/>
    <mergeCell ref="G637:M637"/>
    <mergeCell ref="D640:F640"/>
    <mergeCell ref="G640:H640"/>
    <mergeCell ref="I640:J640"/>
    <mergeCell ref="K640:L640"/>
    <mergeCell ref="G634:H634"/>
    <mergeCell ref="G615:H615"/>
    <mergeCell ref="I615:J615"/>
    <mergeCell ref="K615:L615"/>
    <mergeCell ref="D592:F592"/>
    <mergeCell ref="D594:F594"/>
    <mergeCell ref="G581:H581"/>
    <mergeCell ref="K581:L581"/>
    <mergeCell ref="G596:N596"/>
    <mergeCell ref="E599:J599"/>
    <mergeCell ref="K599:L599"/>
    <mergeCell ref="G609:H609"/>
    <mergeCell ref="G610:H610"/>
    <mergeCell ref="G605:H605"/>
    <mergeCell ref="K605:L605"/>
    <mergeCell ref="G607:H607"/>
    <mergeCell ref="G608:H608"/>
    <mergeCell ref="E595:F596"/>
    <mergeCell ref="E602:M602"/>
    <mergeCell ref="G604:H604"/>
    <mergeCell ref="E600:J600"/>
    <mergeCell ref="K600:L600"/>
    <mergeCell ref="G583:H583"/>
    <mergeCell ref="G585:H585"/>
    <mergeCell ref="G586:H586"/>
    <mergeCell ref="G588:H588"/>
    <mergeCell ref="G584:H584"/>
    <mergeCell ref="G591:H591"/>
    <mergeCell ref="I591:J591"/>
    <mergeCell ref="G612:H612"/>
    <mergeCell ref="G613:M613"/>
    <mergeCell ref="G461:H461"/>
    <mergeCell ref="K461:L461"/>
    <mergeCell ref="G463:H463"/>
    <mergeCell ref="G464:H464"/>
    <mergeCell ref="G465:H465"/>
    <mergeCell ref="D448:F448"/>
    <mergeCell ref="G452:N452"/>
    <mergeCell ref="K484:L484"/>
    <mergeCell ref="K460:L460"/>
    <mergeCell ref="G460:H460"/>
    <mergeCell ref="I460:J460"/>
    <mergeCell ref="I471:J471"/>
    <mergeCell ref="K471:L471"/>
    <mergeCell ref="G472:H472"/>
    <mergeCell ref="I484:J484"/>
    <mergeCell ref="G468:H468"/>
    <mergeCell ref="G469:M469"/>
    <mergeCell ref="G466:H466"/>
    <mergeCell ref="G471:H471"/>
    <mergeCell ref="E475:F476"/>
    <mergeCell ref="I472:J472"/>
    <mergeCell ref="K472:L472"/>
    <mergeCell ref="G445:M445"/>
    <mergeCell ref="G444:H444"/>
    <mergeCell ref="G442:H442"/>
    <mergeCell ref="G447:H447"/>
    <mergeCell ref="K455:L455"/>
    <mergeCell ref="E456:J456"/>
    <mergeCell ref="K456:L456"/>
    <mergeCell ref="I448:J448"/>
    <mergeCell ref="K448:L448"/>
    <mergeCell ref="G448:H448"/>
    <mergeCell ref="E455:J455"/>
    <mergeCell ref="I447:J447"/>
    <mergeCell ref="K447:L447"/>
    <mergeCell ref="K436:L436"/>
    <mergeCell ref="G437:H437"/>
    <mergeCell ref="K437:L437"/>
    <mergeCell ref="E434:M434"/>
    <mergeCell ref="G436:H436"/>
    <mergeCell ref="I436:J436"/>
    <mergeCell ref="G439:H439"/>
    <mergeCell ref="G440:H440"/>
    <mergeCell ref="G441:H441"/>
    <mergeCell ref="D426:F426"/>
    <mergeCell ref="G428:N428"/>
    <mergeCell ref="E431:J431"/>
    <mergeCell ref="K431:L431"/>
    <mergeCell ref="G418:H418"/>
    <mergeCell ref="G420:H420"/>
    <mergeCell ref="G421:M421"/>
    <mergeCell ref="E432:J432"/>
    <mergeCell ref="K432:L432"/>
    <mergeCell ref="I424:J424"/>
    <mergeCell ref="K424:L424"/>
    <mergeCell ref="E408:J408"/>
    <mergeCell ref="K408:L408"/>
    <mergeCell ref="K412:L412"/>
    <mergeCell ref="G413:H413"/>
    <mergeCell ref="K413:L413"/>
    <mergeCell ref="G415:H415"/>
    <mergeCell ref="G416:H416"/>
    <mergeCell ref="G417:H417"/>
    <mergeCell ref="D424:F424"/>
    <mergeCell ref="E410:M410"/>
    <mergeCell ref="G412:H412"/>
    <mergeCell ref="G397:M397"/>
    <mergeCell ref="D400:F400"/>
    <mergeCell ref="G404:N404"/>
    <mergeCell ref="E407:J407"/>
    <mergeCell ref="K407:L407"/>
    <mergeCell ref="G399:H399"/>
    <mergeCell ref="I399:J399"/>
    <mergeCell ref="K399:L399"/>
    <mergeCell ref="G400:H400"/>
    <mergeCell ref="I400:J400"/>
    <mergeCell ref="K400:L400"/>
    <mergeCell ref="G380:N380"/>
    <mergeCell ref="G375:H375"/>
    <mergeCell ref="I375:J375"/>
    <mergeCell ref="K375:L375"/>
    <mergeCell ref="G376:H376"/>
    <mergeCell ref="G393:H393"/>
    <mergeCell ref="K383:L383"/>
    <mergeCell ref="G394:H394"/>
    <mergeCell ref="G396:H396"/>
    <mergeCell ref="E362:M362"/>
    <mergeCell ref="G364:H364"/>
    <mergeCell ref="I364:J364"/>
    <mergeCell ref="G368:H368"/>
    <mergeCell ref="G369:H369"/>
    <mergeCell ref="G370:H370"/>
    <mergeCell ref="G372:H372"/>
    <mergeCell ref="G373:M373"/>
    <mergeCell ref="D376:F376"/>
    <mergeCell ref="G308:N308"/>
    <mergeCell ref="G304:H304"/>
    <mergeCell ref="I304:J304"/>
    <mergeCell ref="K304:L304"/>
    <mergeCell ref="G325:M325"/>
    <mergeCell ref="D328:F328"/>
    <mergeCell ref="D330:F330"/>
    <mergeCell ref="G332:N332"/>
    <mergeCell ref="I327:J327"/>
    <mergeCell ref="K327:L327"/>
    <mergeCell ref="G328:H328"/>
    <mergeCell ref="I328:J328"/>
    <mergeCell ref="G327:H327"/>
    <mergeCell ref="K328:L328"/>
    <mergeCell ref="G319:H319"/>
    <mergeCell ref="G320:H320"/>
    <mergeCell ref="E311:J311"/>
    <mergeCell ref="K311:L311"/>
    <mergeCell ref="E312:J312"/>
    <mergeCell ref="K312:L312"/>
    <mergeCell ref="K316:L316"/>
    <mergeCell ref="E314:M314"/>
    <mergeCell ref="G316:H316"/>
    <mergeCell ref="I316:J316"/>
    <mergeCell ref="D256:F256"/>
    <mergeCell ref="D258:F258"/>
    <mergeCell ref="G256:H256"/>
    <mergeCell ref="I256:J256"/>
    <mergeCell ref="K256:L256"/>
    <mergeCell ref="G249:H249"/>
    <mergeCell ref="G250:H250"/>
    <mergeCell ref="G252:H252"/>
    <mergeCell ref="G255:H255"/>
    <mergeCell ref="I255:J255"/>
    <mergeCell ref="K255:L255"/>
    <mergeCell ref="G244:H244"/>
    <mergeCell ref="I244:J244"/>
    <mergeCell ref="K244:L244"/>
    <mergeCell ref="K245:L245"/>
    <mergeCell ref="G247:H247"/>
    <mergeCell ref="G248:H248"/>
    <mergeCell ref="G253:M253"/>
    <mergeCell ref="G245:H245"/>
    <mergeCell ref="E239:J239"/>
    <mergeCell ref="K239:L239"/>
    <mergeCell ref="G6:H6"/>
    <mergeCell ref="I6:J6"/>
    <mergeCell ref="K6:L6"/>
    <mergeCell ref="M6:N6"/>
    <mergeCell ref="I3:J3"/>
    <mergeCell ref="G77:H77"/>
    <mergeCell ref="G84:H84"/>
    <mergeCell ref="G85:M85"/>
    <mergeCell ref="D88:F88"/>
    <mergeCell ref="G88:H88"/>
    <mergeCell ref="I88:J88"/>
    <mergeCell ref="K88:L88"/>
    <mergeCell ref="G68:N68"/>
    <mergeCell ref="E74:M74"/>
    <mergeCell ref="G76:H76"/>
    <mergeCell ref="I76:J76"/>
    <mergeCell ref="K76:L76"/>
    <mergeCell ref="I63:J63"/>
    <mergeCell ref="G63:H63"/>
    <mergeCell ref="F13:N13"/>
    <mergeCell ref="E12:N12"/>
    <mergeCell ref="F14:N14"/>
    <mergeCell ref="F15:N15"/>
    <mergeCell ref="F16:N16"/>
    <mergeCell ref="G589:M589"/>
    <mergeCell ref="I604:J604"/>
    <mergeCell ref="K604:L604"/>
    <mergeCell ref="G567:H567"/>
    <mergeCell ref="I567:J567"/>
    <mergeCell ref="K567:L567"/>
    <mergeCell ref="K591:L591"/>
    <mergeCell ref="G592:H592"/>
    <mergeCell ref="I592:J592"/>
    <mergeCell ref="K592:L592"/>
    <mergeCell ref="G580:H580"/>
    <mergeCell ref="I580:J580"/>
    <mergeCell ref="K580:L580"/>
    <mergeCell ref="D570:F570"/>
    <mergeCell ref="D568:F568"/>
    <mergeCell ref="I568:J568"/>
    <mergeCell ref="K568:L568"/>
    <mergeCell ref="E571:F572"/>
    <mergeCell ref="G572:N572"/>
    <mergeCell ref="E575:J575"/>
    <mergeCell ref="K575:L575"/>
    <mergeCell ref="E576:J576"/>
    <mergeCell ref="K576:L576"/>
    <mergeCell ref="I544:J544"/>
    <mergeCell ref="K544:L544"/>
    <mergeCell ref="G560:H560"/>
    <mergeCell ref="G562:H562"/>
    <mergeCell ref="G564:H564"/>
    <mergeCell ref="K552:L552"/>
    <mergeCell ref="E554:M554"/>
    <mergeCell ref="G556:H556"/>
    <mergeCell ref="I556:J556"/>
    <mergeCell ref="K556:L556"/>
    <mergeCell ref="G561:H561"/>
    <mergeCell ref="G557:H557"/>
    <mergeCell ref="K557:L557"/>
    <mergeCell ref="E547:F548"/>
    <mergeCell ref="D546:F546"/>
    <mergeCell ref="G548:N548"/>
    <mergeCell ref="G565:M565"/>
    <mergeCell ref="G511:H511"/>
    <mergeCell ref="G512:H512"/>
    <mergeCell ref="K543:L543"/>
    <mergeCell ref="K503:L503"/>
    <mergeCell ref="E504:J504"/>
    <mergeCell ref="K504:L504"/>
    <mergeCell ref="E528:J528"/>
    <mergeCell ref="K528:L528"/>
    <mergeCell ref="K509:L509"/>
    <mergeCell ref="G513:H513"/>
    <mergeCell ref="G509:H509"/>
    <mergeCell ref="E523:F524"/>
    <mergeCell ref="E551:J551"/>
    <mergeCell ref="K551:L551"/>
    <mergeCell ref="D544:F544"/>
    <mergeCell ref="G544:H544"/>
    <mergeCell ref="G538:H538"/>
    <mergeCell ref="K533:L533"/>
    <mergeCell ref="G537:H537"/>
    <mergeCell ref="E530:M530"/>
    <mergeCell ref="G514:H514"/>
    <mergeCell ref="G516:H516"/>
    <mergeCell ref="G517:M517"/>
    <mergeCell ref="G520:H520"/>
    <mergeCell ref="I520:J520"/>
    <mergeCell ref="K520:L520"/>
    <mergeCell ref="K532:L532"/>
    <mergeCell ref="G536:H536"/>
    <mergeCell ref="G532:H532"/>
    <mergeCell ref="I532:J532"/>
    <mergeCell ref="G533:H533"/>
    <mergeCell ref="G535:H535"/>
    <mergeCell ref="D520:F520"/>
    <mergeCell ref="D522:F522"/>
    <mergeCell ref="G524:N524"/>
    <mergeCell ref="E527:J527"/>
    <mergeCell ref="K527:L527"/>
    <mergeCell ref="G321:H321"/>
    <mergeCell ref="G322:H322"/>
    <mergeCell ref="G324:H324"/>
    <mergeCell ref="E384:J384"/>
    <mergeCell ref="K384:L384"/>
    <mergeCell ref="E386:M386"/>
    <mergeCell ref="G388:H388"/>
    <mergeCell ref="I388:J388"/>
    <mergeCell ref="G423:H423"/>
    <mergeCell ref="K389:L389"/>
    <mergeCell ref="G391:H391"/>
    <mergeCell ref="G392:H392"/>
    <mergeCell ref="K388:L388"/>
    <mergeCell ref="I340:J340"/>
    <mergeCell ref="K340:L340"/>
    <mergeCell ref="G344:H344"/>
    <mergeCell ref="G345:H345"/>
    <mergeCell ref="G346:H346"/>
    <mergeCell ref="G348:H348"/>
    <mergeCell ref="I352:J352"/>
    <mergeCell ref="K364:L364"/>
    <mergeCell ref="K352:L352"/>
    <mergeCell ref="E335:J335"/>
    <mergeCell ref="K335:L335"/>
    <mergeCell ref="G269:H269"/>
    <mergeCell ref="G279:H279"/>
    <mergeCell ref="K269:L269"/>
    <mergeCell ref="G271:H271"/>
    <mergeCell ref="G272:H272"/>
    <mergeCell ref="G273:H273"/>
    <mergeCell ref="G274:H274"/>
    <mergeCell ref="G317:H317"/>
    <mergeCell ref="K317:L317"/>
    <mergeCell ref="G276:H276"/>
    <mergeCell ref="G277:M277"/>
    <mergeCell ref="E290:M290"/>
    <mergeCell ref="G292:H292"/>
    <mergeCell ref="I292:J292"/>
    <mergeCell ref="K292:L292"/>
    <mergeCell ref="G293:H293"/>
    <mergeCell ref="K293:L293"/>
    <mergeCell ref="E288:J288"/>
    <mergeCell ref="K288:L288"/>
    <mergeCell ref="G298:H298"/>
    <mergeCell ref="G300:H300"/>
    <mergeCell ref="G301:M301"/>
    <mergeCell ref="D304:F304"/>
    <mergeCell ref="D306:F306"/>
    <mergeCell ref="G268:H268"/>
    <mergeCell ref="I268:J268"/>
    <mergeCell ref="K268:L268"/>
    <mergeCell ref="G260:N260"/>
    <mergeCell ref="E263:J263"/>
    <mergeCell ref="K263:L263"/>
    <mergeCell ref="D280:F280"/>
    <mergeCell ref="D282:F282"/>
    <mergeCell ref="G284:N284"/>
    <mergeCell ref="E287:J287"/>
    <mergeCell ref="K287:L287"/>
    <mergeCell ref="I279:J279"/>
    <mergeCell ref="K279:L279"/>
    <mergeCell ref="G280:H280"/>
    <mergeCell ref="I280:J280"/>
    <mergeCell ref="K264:L264"/>
    <mergeCell ref="E266:M266"/>
    <mergeCell ref="G224:H224"/>
    <mergeCell ref="G229:M229"/>
    <mergeCell ref="D232:F232"/>
    <mergeCell ref="K215:L215"/>
    <mergeCell ref="D234:F234"/>
    <mergeCell ref="E216:J216"/>
    <mergeCell ref="K216:L216"/>
    <mergeCell ref="E218:M218"/>
    <mergeCell ref="G236:N236"/>
    <mergeCell ref="I232:J232"/>
    <mergeCell ref="I220:J220"/>
    <mergeCell ref="K220:L220"/>
    <mergeCell ref="G220:H220"/>
    <mergeCell ref="E215:J215"/>
    <mergeCell ref="G221:H221"/>
    <mergeCell ref="K221:L221"/>
    <mergeCell ref="G223:H223"/>
    <mergeCell ref="K232:L232"/>
    <mergeCell ref="E235:F236"/>
    <mergeCell ref="K191:L191"/>
    <mergeCell ref="G188:N188"/>
    <mergeCell ref="E191:J191"/>
    <mergeCell ref="G175:H175"/>
    <mergeCell ref="G177:H177"/>
    <mergeCell ref="G178:H178"/>
    <mergeCell ref="G176:H176"/>
    <mergeCell ref="E170:M170"/>
    <mergeCell ref="K168:L168"/>
    <mergeCell ref="G180:H180"/>
    <mergeCell ref="D186:F186"/>
    <mergeCell ref="E187:F188"/>
    <mergeCell ref="K173:L173"/>
    <mergeCell ref="G181:M181"/>
    <mergeCell ref="D184:F184"/>
    <mergeCell ref="I184:J184"/>
    <mergeCell ref="K184:L184"/>
    <mergeCell ref="G183:H183"/>
    <mergeCell ref="I183:J183"/>
    <mergeCell ref="K183:L183"/>
    <mergeCell ref="G184:H184"/>
    <mergeCell ref="G172:H172"/>
    <mergeCell ref="G173:H173"/>
    <mergeCell ref="I172:J172"/>
    <mergeCell ref="K192:L192"/>
    <mergeCell ref="G196:H196"/>
    <mergeCell ref="G197:H197"/>
    <mergeCell ref="E192:J192"/>
    <mergeCell ref="G200:H200"/>
    <mergeCell ref="D210:F210"/>
    <mergeCell ref="G212:N212"/>
    <mergeCell ref="G199:H199"/>
    <mergeCell ref="D208:F208"/>
    <mergeCell ref="G207:H207"/>
    <mergeCell ref="I207:J207"/>
    <mergeCell ref="K207:L207"/>
    <mergeCell ref="G202:H202"/>
    <mergeCell ref="G201:H201"/>
    <mergeCell ref="E211:F212"/>
    <mergeCell ref="E194:M194"/>
    <mergeCell ref="I196:J196"/>
    <mergeCell ref="K196:L196"/>
    <mergeCell ref="K197:L197"/>
    <mergeCell ref="G204:H204"/>
    <mergeCell ref="G205:M205"/>
    <mergeCell ref="K159:L159"/>
    <mergeCell ref="G160:H160"/>
    <mergeCell ref="G164:N164"/>
    <mergeCell ref="G153:H153"/>
    <mergeCell ref="G154:H154"/>
    <mergeCell ref="G156:H156"/>
    <mergeCell ref="G157:M157"/>
    <mergeCell ref="D160:F160"/>
    <mergeCell ref="I160:J160"/>
    <mergeCell ref="K160:L160"/>
    <mergeCell ref="I124:J124"/>
    <mergeCell ref="K172:L172"/>
    <mergeCell ref="G130:H130"/>
    <mergeCell ref="K136:L136"/>
    <mergeCell ref="E146:M146"/>
    <mergeCell ref="E167:J167"/>
    <mergeCell ref="K167:L167"/>
    <mergeCell ref="G152:H152"/>
    <mergeCell ref="G148:H148"/>
    <mergeCell ref="G149:H149"/>
    <mergeCell ref="G151:H151"/>
    <mergeCell ref="E143:J143"/>
    <mergeCell ref="K143:L143"/>
    <mergeCell ref="G133:M133"/>
    <mergeCell ref="D136:F136"/>
    <mergeCell ref="G140:N140"/>
    <mergeCell ref="G135:H135"/>
    <mergeCell ref="I135:J135"/>
    <mergeCell ref="K135:L135"/>
    <mergeCell ref="K148:L148"/>
    <mergeCell ref="K149:L149"/>
    <mergeCell ref="E144:J144"/>
    <mergeCell ref="K144:L144"/>
    <mergeCell ref="E168:J168"/>
    <mergeCell ref="D138:F140"/>
    <mergeCell ref="D162:F164"/>
    <mergeCell ref="G125:H125"/>
    <mergeCell ref="G127:H127"/>
    <mergeCell ref="G128:H128"/>
    <mergeCell ref="G136:H136"/>
    <mergeCell ref="I136:J136"/>
    <mergeCell ref="G129:H129"/>
    <mergeCell ref="G132:H132"/>
    <mergeCell ref="I148:J148"/>
    <mergeCell ref="G159:H159"/>
    <mergeCell ref="I159:J159"/>
    <mergeCell ref="E120:J120"/>
    <mergeCell ref="K120:L120"/>
    <mergeCell ref="E122:M122"/>
    <mergeCell ref="G106:H106"/>
    <mergeCell ref="G108:H108"/>
    <mergeCell ref="G109:M109"/>
    <mergeCell ref="D114:F114"/>
    <mergeCell ref="G116:N116"/>
    <mergeCell ref="E119:J119"/>
    <mergeCell ref="K119:L119"/>
    <mergeCell ref="D112:F112"/>
    <mergeCell ref="G111:H111"/>
    <mergeCell ref="I111:J111"/>
    <mergeCell ref="E116:F116"/>
    <mergeCell ref="E95:J95"/>
    <mergeCell ref="K95:L95"/>
    <mergeCell ref="E96:J96"/>
    <mergeCell ref="K96:L96"/>
    <mergeCell ref="E98:M98"/>
    <mergeCell ref="K111:L111"/>
    <mergeCell ref="G112:H112"/>
    <mergeCell ref="I112:J112"/>
    <mergeCell ref="K112:L112"/>
    <mergeCell ref="G100:H100"/>
    <mergeCell ref="K100:L100"/>
    <mergeCell ref="G103:H103"/>
    <mergeCell ref="G104:H104"/>
    <mergeCell ref="G105:H105"/>
    <mergeCell ref="I100:J100"/>
    <mergeCell ref="G101:H101"/>
    <mergeCell ref="K101:L101"/>
    <mergeCell ref="D90:F90"/>
    <mergeCell ref="G92:N92"/>
    <mergeCell ref="K77:L77"/>
    <mergeCell ref="G79:H79"/>
    <mergeCell ref="G80:H80"/>
    <mergeCell ref="G81:H81"/>
    <mergeCell ref="G82:H82"/>
    <mergeCell ref="E71:J71"/>
    <mergeCell ref="K71:L71"/>
    <mergeCell ref="E72:J72"/>
    <mergeCell ref="K72:L72"/>
    <mergeCell ref="G87:H87"/>
    <mergeCell ref="I87:J87"/>
    <mergeCell ref="K87:L87"/>
    <mergeCell ref="E92:F92"/>
    <mergeCell ref="F17:N17"/>
    <mergeCell ref="F24:N24"/>
    <mergeCell ref="F25:N25"/>
    <mergeCell ref="G18:N18"/>
    <mergeCell ref="G19:N19"/>
    <mergeCell ref="F20:N20"/>
    <mergeCell ref="F21:N21"/>
    <mergeCell ref="F22:N22"/>
    <mergeCell ref="F23:N23"/>
    <mergeCell ref="E2:F2"/>
    <mergeCell ref="M2:N2"/>
    <mergeCell ref="I4:J4"/>
    <mergeCell ref="G2:H2"/>
    <mergeCell ref="I2:J2"/>
    <mergeCell ref="K2:L2"/>
    <mergeCell ref="K3:L3"/>
    <mergeCell ref="G4:H4"/>
    <mergeCell ref="E26:E28"/>
    <mergeCell ref="M3:N3"/>
    <mergeCell ref="E3:F3"/>
    <mergeCell ref="G3:H3"/>
    <mergeCell ref="M4:N4"/>
    <mergeCell ref="C8:K8"/>
    <mergeCell ref="E4:F4"/>
    <mergeCell ref="K4:L4"/>
    <mergeCell ref="E5:F5"/>
    <mergeCell ref="G5:H5"/>
    <mergeCell ref="D10:N10"/>
    <mergeCell ref="B2:D6"/>
    <mergeCell ref="I5:J5"/>
    <mergeCell ref="K5:L5"/>
    <mergeCell ref="M5:N5"/>
    <mergeCell ref="E6:F6"/>
    <mergeCell ref="E29:E31"/>
    <mergeCell ref="F44:N44"/>
    <mergeCell ref="E47:J47"/>
    <mergeCell ref="K47:L47"/>
    <mergeCell ref="F26:N26"/>
    <mergeCell ref="F33:N33"/>
    <mergeCell ref="F42:N42"/>
    <mergeCell ref="G28:N28"/>
    <mergeCell ref="G31:N31"/>
    <mergeCell ref="F29:N29"/>
    <mergeCell ref="F32:N32"/>
    <mergeCell ref="F35:N35"/>
    <mergeCell ref="F41:N41"/>
    <mergeCell ref="F36:N36"/>
    <mergeCell ref="E36:E40"/>
    <mergeCell ref="F34:N34"/>
    <mergeCell ref="G27:N27"/>
    <mergeCell ref="F43:N43"/>
    <mergeCell ref="F40:N40"/>
    <mergeCell ref="F37:N37"/>
    <mergeCell ref="F39:N39"/>
    <mergeCell ref="F38:N38"/>
    <mergeCell ref="F30:N30"/>
    <mergeCell ref="G53:H53"/>
    <mergeCell ref="K48:L48"/>
    <mergeCell ref="G57:H57"/>
    <mergeCell ref="G58:H58"/>
    <mergeCell ref="D66:F66"/>
    <mergeCell ref="G60:H60"/>
    <mergeCell ref="G56:H56"/>
    <mergeCell ref="G55:H55"/>
    <mergeCell ref="E48:J48"/>
    <mergeCell ref="E50:M50"/>
    <mergeCell ref="G52:H52"/>
    <mergeCell ref="I52:J52"/>
    <mergeCell ref="K52:L52"/>
    <mergeCell ref="K53:L53"/>
    <mergeCell ref="G61:M61"/>
    <mergeCell ref="D64:F64"/>
    <mergeCell ref="G64:H64"/>
    <mergeCell ref="I64:J64"/>
    <mergeCell ref="K64:L64"/>
    <mergeCell ref="K63:L63"/>
    <mergeCell ref="K124:L124"/>
    <mergeCell ref="G208:H208"/>
    <mergeCell ref="I208:J208"/>
    <mergeCell ref="K208:L208"/>
    <mergeCell ref="K280:L280"/>
    <mergeCell ref="G303:H303"/>
    <mergeCell ref="I303:J303"/>
    <mergeCell ref="K303:L303"/>
    <mergeCell ref="G295:H295"/>
    <mergeCell ref="G296:H296"/>
    <mergeCell ref="G297:H297"/>
    <mergeCell ref="E240:J240"/>
    <mergeCell ref="K240:L240"/>
    <mergeCell ref="E242:M242"/>
    <mergeCell ref="G225:H225"/>
    <mergeCell ref="G226:H226"/>
    <mergeCell ref="G228:H228"/>
    <mergeCell ref="G231:H231"/>
    <mergeCell ref="I231:J231"/>
    <mergeCell ref="K231:L231"/>
    <mergeCell ref="G232:H232"/>
    <mergeCell ref="E264:J264"/>
    <mergeCell ref="K125:L125"/>
    <mergeCell ref="G124:H124"/>
    <mergeCell ref="G340:H340"/>
    <mergeCell ref="I376:J376"/>
    <mergeCell ref="K376:L376"/>
    <mergeCell ref="E336:J336"/>
    <mergeCell ref="K336:L336"/>
    <mergeCell ref="E338:M338"/>
    <mergeCell ref="G341:H341"/>
    <mergeCell ref="K341:L341"/>
    <mergeCell ref="G343:H343"/>
    <mergeCell ref="G349:M349"/>
    <mergeCell ref="D352:F352"/>
    <mergeCell ref="D354:F354"/>
    <mergeCell ref="G356:N356"/>
    <mergeCell ref="E359:J359"/>
    <mergeCell ref="K359:L359"/>
    <mergeCell ref="G351:H351"/>
    <mergeCell ref="I351:J351"/>
    <mergeCell ref="K351:L351"/>
    <mergeCell ref="G352:H352"/>
    <mergeCell ref="E360:J360"/>
    <mergeCell ref="K360:L360"/>
    <mergeCell ref="G365:H365"/>
    <mergeCell ref="K365:L365"/>
    <mergeCell ref="G367:H367"/>
    <mergeCell ref="K508:L508"/>
    <mergeCell ref="E506:M506"/>
    <mergeCell ref="G508:H508"/>
    <mergeCell ref="I508:J508"/>
    <mergeCell ref="G493:M493"/>
    <mergeCell ref="G490:H490"/>
    <mergeCell ref="G495:H495"/>
    <mergeCell ref="I495:J495"/>
    <mergeCell ref="K495:L495"/>
    <mergeCell ref="G496:H496"/>
    <mergeCell ref="K496:L496"/>
    <mergeCell ref="D498:F498"/>
    <mergeCell ref="G500:N500"/>
    <mergeCell ref="E503:J503"/>
    <mergeCell ref="E499:F500"/>
    <mergeCell ref="G492:H492"/>
    <mergeCell ref="K485:L485"/>
    <mergeCell ref="D474:F474"/>
    <mergeCell ref="G476:N476"/>
    <mergeCell ref="E479:J479"/>
    <mergeCell ref="K479:L479"/>
    <mergeCell ref="E480:J480"/>
    <mergeCell ref="K480:L480"/>
    <mergeCell ref="G485:H485"/>
    <mergeCell ref="G487:H487"/>
    <mergeCell ref="E68:F68"/>
    <mergeCell ref="E624:J624"/>
    <mergeCell ref="K624:L624"/>
    <mergeCell ref="E626:M626"/>
    <mergeCell ref="G628:H628"/>
    <mergeCell ref="I628:J628"/>
    <mergeCell ref="K628:L628"/>
    <mergeCell ref="G639:H639"/>
    <mergeCell ref="I639:J639"/>
    <mergeCell ref="K639:L639"/>
    <mergeCell ref="G616:H616"/>
    <mergeCell ref="I616:J616"/>
    <mergeCell ref="G389:H389"/>
    <mergeCell ref="G519:H519"/>
    <mergeCell ref="I519:J519"/>
    <mergeCell ref="K519:L519"/>
    <mergeCell ref="G424:H424"/>
    <mergeCell ref="I412:J412"/>
    <mergeCell ref="E458:M458"/>
    <mergeCell ref="I423:J423"/>
    <mergeCell ref="K423:L423"/>
    <mergeCell ref="E482:M482"/>
    <mergeCell ref="D496:F496"/>
    <mergeCell ref="G484:H484"/>
    <mergeCell ref="E619:F620"/>
    <mergeCell ref="E643:F644"/>
    <mergeCell ref="E259:F260"/>
    <mergeCell ref="E283:F284"/>
    <mergeCell ref="E307:F308"/>
    <mergeCell ref="E331:F332"/>
    <mergeCell ref="E355:F356"/>
    <mergeCell ref="D378:F380"/>
    <mergeCell ref="D402:F404"/>
    <mergeCell ref="D427:F428"/>
    <mergeCell ref="D450:F452"/>
    <mergeCell ref="E383:J383"/>
    <mergeCell ref="G488:H488"/>
    <mergeCell ref="G489:H489"/>
    <mergeCell ref="I496:J496"/>
    <mergeCell ref="G568:H568"/>
    <mergeCell ref="G540:H540"/>
    <mergeCell ref="G559:H559"/>
    <mergeCell ref="E552:J552"/>
    <mergeCell ref="G541:M541"/>
    <mergeCell ref="G543:H543"/>
    <mergeCell ref="I543:J543"/>
    <mergeCell ref="K616:L616"/>
    <mergeCell ref="D472:F472"/>
  </mergeCells>
  <phoneticPr fontId="45" type="noConversion"/>
  <conditionalFormatting sqref="E47:J47">
    <cfRule type="expression" dxfId="432" priority="1888" stopIfTrue="1">
      <formula>$CG47=TRUE</formula>
    </cfRule>
  </conditionalFormatting>
  <conditionalFormatting sqref="E71:J71">
    <cfRule type="expression" dxfId="431" priority="401" stopIfTrue="1">
      <formula>$CG71=TRUE</formula>
    </cfRule>
  </conditionalFormatting>
  <conditionalFormatting sqref="E95:J95">
    <cfRule type="expression" dxfId="430" priority="384" stopIfTrue="1">
      <formula>$CG95=TRUE</formula>
    </cfRule>
  </conditionalFormatting>
  <conditionalFormatting sqref="E119:J119">
    <cfRule type="expression" dxfId="429" priority="367" stopIfTrue="1">
      <formula>$CG119=TRUE</formula>
    </cfRule>
  </conditionalFormatting>
  <conditionalFormatting sqref="E143:J143">
    <cfRule type="expression" dxfId="428" priority="350" stopIfTrue="1">
      <formula>$CG143=TRUE</formula>
    </cfRule>
  </conditionalFormatting>
  <conditionalFormatting sqref="E167:J167">
    <cfRule type="expression" dxfId="427" priority="333" stopIfTrue="1">
      <formula>$CG167=TRUE</formula>
    </cfRule>
  </conditionalFormatting>
  <conditionalFormatting sqref="E191:J191">
    <cfRule type="expression" dxfId="426" priority="316" stopIfTrue="1">
      <formula>$CG191=TRUE</formula>
    </cfRule>
  </conditionalFormatting>
  <conditionalFormatting sqref="E215:J215">
    <cfRule type="expression" dxfId="425" priority="299" stopIfTrue="1">
      <formula>$CG215=TRUE</formula>
    </cfRule>
  </conditionalFormatting>
  <conditionalFormatting sqref="E239:J239">
    <cfRule type="expression" dxfId="424" priority="282" stopIfTrue="1">
      <formula>$CG239=TRUE</formula>
    </cfRule>
  </conditionalFormatting>
  <conditionalFormatting sqref="E263:J263">
    <cfRule type="expression" dxfId="423" priority="265" stopIfTrue="1">
      <formula>$CG263=TRUE</formula>
    </cfRule>
  </conditionalFormatting>
  <conditionalFormatting sqref="E287:J287">
    <cfRule type="expression" dxfId="422" priority="248" stopIfTrue="1">
      <formula>$CG287=TRUE</formula>
    </cfRule>
  </conditionalFormatting>
  <conditionalFormatting sqref="E311:J311">
    <cfRule type="expression" dxfId="421" priority="231" stopIfTrue="1">
      <formula>$CG311=TRUE</formula>
    </cfRule>
  </conditionalFormatting>
  <conditionalFormatting sqref="E335:J335">
    <cfRule type="expression" dxfId="420" priority="214" stopIfTrue="1">
      <formula>$CG335=TRUE</formula>
    </cfRule>
  </conditionalFormatting>
  <conditionalFormatting sqref="E359:J359">
    <cfRule type="expression" dxfId="419" priority="197" stopIfTrue="1">
      <formula>$CG359=TRUE</formula>
    </cfRule>
  </conditionalFormatting>
  <conditionalFormatting sqref="E383:J383">
    <cfRule type="expression" dxfId="418" priority="180" stopIfTrue="1">
      <formula>$CG383=TRUE</formula>
    </cfRule>
  </conditionalFormatting>
  <conditionalFormatting sqref="E407:J407">
    <cfRule type="expression" dxfId="417" priority="163" stopIfTrue="1">
      <formula>$CG407=TRUE</formula>
    </cfRule>
  </conditionalFormatting>
  <conditionalFormatting sqref="E431:J431">
    <cfRule type="expression" dxfId="416" priority="146" stopIfTrue="1">
      <formula>$CG431=TRUE</formula>
    </cfRule>
  </conditionalFormatting>
  <conditionalFormatting sqref="E455:J455">
    <cfRule type="expression" dxfId="415" priority="129" stopIfTrue="1">
      <formula>$CG455=TRUE</formula>
    </cfRule>
  </conditionalFormatting>
  <conditionalFormatting sqref="E479:J479">
    <cfRule type="expression" dxfId="414" priority="112" stopIfTrue="1">
      <formula>$CG479=TRUE</formula>
    </cfRule>
  </conditionalFormatting>
  <conditionalFormatting sqref="E503:J503">
    <cfRule type="expression" dxfId="413" priority="95" stopIfTrue="1">
      <formula>$CG503=TRUE</formula>
    </cfRule>
  </conditionalFormatting>
  <conditionalFormatting sqref="E527:J527">
    <cfRule type="expression" dxfId="412" priority="78" stopIfTrue="1">
      <formula>$CG527=TRUE</formula>
    </cfRule>
  </conditionalFormatting>
  <conditionalFormatting sqref="E551:J551">
    <cfRule type="expression" dxfId="411" priority="61" stopIfTrue="1">
      <formula>$CG551=TRUE</formula>
    </cfRule>
  </conditionalFormatting>
  <conditionalFormatting sqref="E575:J575">
    <cfRule type="expression" dxfId="410" priority="44" stopIfTrue="1">
      <formula>$CG575=TRUE</formula>
    </cfRule>
  </conditionalFormatting>
  <conditionalFormatting sqref="E599:J599">
    <cfRule type="expression" dxfId="409" priority="27" stopIfTrue="1">
      <formula>$CG599=TRUE</formula>
    </cfRule>
  </conditionalFormatting>
  <conditionalFormatting sqref="E623:J623">
    <cfRule type="expression" dxfId="408" priority="10" stopIfTrue="1">
      <formula>$CG623=TRUE</formula>
    </cfRule>
  </conditionalFormatting>
  <conditionalFormatting sqref="F53 I53:K53 F55:F58 I55:I58 G66 I66 G68">
    <cfRule type="expression" dxfId="407" priority="1885" stopIfTrue="1">
      <formula>$CG53=TRUE</formula>
    </cfRule>
  </conditionalFormatting>
  <conditionalFormatting sqref="F77 I77:K77 F79:F82 I79:I82 G90 I90">
    <cfRule type="expression" dxfId="406" priority="400" stopIfTrue="1">
      <formula>$CG77=TRUE</formula>
    </cfRule>
  </conditionalFormatting>
  <conditionalFormatting sqref="F101 I101:K101 F103:F106 I103:I106 G114 I114">
    <cfRule type="expression" dxfId="405" priority="383" stopIfTrue="1">
      <formula>$CG101=TRUE</formula>
    </cfRule>
  </conditionalFormatting>
  <conditionalFormatting sqref="F125 I125:K125 F127:F130 I127:I130 G138 I138">
    <cfRule type="expression" dxfId="404" priority="366" stopIfTrue="1">
      <formula>$CG125=TRUE</formula>
    </cfRule>
  </conditionalFormatting>
  <conditionalFormatting sqref="F149 I149:K149 F151:F154 I151:I154 G162 I162">
    <cfRule type="expression" dxfId="403" priority="349" stopIfTrue="1">
      <formula>$CG149=TRUE</formula>
    </cfRule>
  </conditionalFormatting>
  <conditionalFormatting sqref="F173 I173:K173 F175:F178 I175:I178 G186 I186">
    <cfRule type="expression" dxfId="402" priority="332" stopIfTrue="1">
      <formula>$CG173=TRUE</formula>
    </cfRule>
  </conditionalFormatting>
  <conditionalFormatting sqref="F197 I197:K197 F199:F202 I199:I202 G210 I210">
    <cfRule type="expression" dxfId="401" priority="315" stopIfTrue="1">
      <formula>$CG197=TRUE</formula>
    </cfRule>
  </conditionalFormatting>
  <conditionalFormatting sqref="F221 I221:K221 F223:F226 I223:I226 G234 I234">
    <cfRule type="expression" dxfId="400" priority="298" stopIfTrue="1">
      <formula>$CG221=TRUE</formula>
    </cfRule>
  </conditionalFormatting>
  <conditionalFormatting sqref="F245 I245:K245 F247:F250 I247:I250 G258 I258">
    <cfRule type="expression" dxfId="399" priority="281" stopIfTrue="1">
      <formula>$CG245=TRUE</formula>
    </cfRule>
  </conditionalFormatting>
  <conditionalFormatting sqref="F269 I269:K269 F271:F274 I271:I274 G282 I282">
    <cfRule type="expression" dxfId="398" priority="264" stopIfTrue="1">
      <formula>$CG269=TRUE</formula>
    </cfRule>
  </conditionalFormatting>
  <conditionalFormatting sqref="F293 I293:K293 F295:F298 I295:I298 G306 I306">
    <cfRule type="expression" dxfId="397" priority="247" stopIfTrue="1">
      <formula>$CG293=TRUE</formula>
    </cfRule>
  </conditionalFormatting>
  <conditionalFormatting sqref="F317 I317:K317 F319:F322 I319:I322 G330 I330">
    <cfRule type="expression" dxfId="396" priority="230" stopIfTrue="1">
      <formula>$CG317=TRUE</formula>
    </cfRule>
  </conditionalFormatting>
  <conditionalFormatting sqref="F341 I341:K341 F343:F346 I343:I346 G354 I354">
    <cfRule type="expression" dxfId="395" priority="213" stopIfTrue="1">
      <formula>$CG341=TRUE</formula>
    </cfRule>
  </conditionalFormatting>
  <conditionalFormatting sqref="F365 I365:K365 F367:F370 I367:I370 G378 I378">
    <cfRule type="expression" dxfId="394" priority="196" stopIfTrue="1">
      <formula>$CG365=TRUE</formula>
    </cfRule>
  </conditionalFormatting>
  <conditionalFormatting sqref="F389 I389:K389 F391:F394 I391:I394 G402 I402">
    <cfRule type="expression" dxfId="393" priority="179" stopIfTrue="1">
      <formula>$CG389=TRUE</formula>
    </cfRule>
  </conditionalFormatting>
  <conditionalFormatting sqref="F413 I413:K413 F415:F418 I415:I418 G426 I426">
    <cfRule type="expression" dxfId="392" priority="162" stopIfTrue="1">
      <formula>$CG413=TRUE</formula>
    </cfRule>
  </conditionalFormatting>
  <conditionalFormatting sqref="F437 I437:K437 F439:F442 I439:I442 G450 I450">
    <cfRule type="expression" dxfId="391" priority="145" stopIfTrue="1">
      <formula>$CG437=TRUE</formula>
    </cfRule>
  </conditionalFormatting>
  <conditionalFormatting sqref="F461 I461:K461 F463:F466 I463:I466 G474 I474">
    <cfRule type="expression" dxfId="390" priority="128" stopIfTrue="1">
      <formula>$CG461=TRUE</formula>
    </cfRule>
  </conditionalFormatting>
  <conditionalFormatting sqref="F485 I485:K485 F487:F490 I487:I490 G498 I498">
    <cfRule type="expression" dxfId="389" priority="111" stopIfTrue="1">
      <formula>$CG485=TRUE</formula>
    </cfRule>
  </conditionalFormatting>
  <conditionalFormatting sqref="F509 I509:K509 F511:F514 I511:I514 G522 I522">
    <cfRule type="expression" dxfId="388" priority="94" stopIfTrue="1">
      <formula>$CG509=TRUE</formula>
    </cfRule>
  </conditionalFormatting>
  <conditionalFormatting sqref="F533 I533:K533 F535:F538 I535:I538 G546 I546">
    <cfRule type="expression" dxfId="387" priority="77" stopIfTrue="1">
      <formula>$CG533=TRUE</formula>
    </cfRule>
  </conditionalFormatting>
  <conditionalFormatting sqref="F557 I557:K557 F559:F562 I559:I562 G570 I570">
    <cfRule type="expression" dxfId="386" priority="60" stopIfTrue="1">
      <formula>$CG557=TRUE</formula>
    </cfRule>
  </conditionalFormatting>
  <conditionalFormatting sqref="F581 I581:K581 F583:F586 I583:I586 G594 I594">
    <cfRule type="expression" dxfId="385" priority="43" stopIfTrue="1">
      <formula>$CG581=TRUE</formula>
    </cfRule>
  </conditionalFormatting>
  <conditionalFormatting sqref="F605 I605:K605 F607:F610 I607:I610 G618 I618">
    <cfRule type="expression" dxfId="384" priority="26" stopIfTrue="1">
      <formula>$CG605=TRUE</formula>
    </cfRule>
  </conditionalFormatting>
  <conditionalFormatting sqref="F629 I629:K629 F631:F634 I631:I634 G642 I642">
    <cfRule type="expression" dxfId="383" priority="9" stopIfTrue="1">
      <formula>$CG629=TRUE</formula>
    </cfRule>
  </conditionalFormatting>
  <conditionalFormatting sqref="G64">
    <cfRule type="expression" dxfId="382" priority="1214" stopIfTrue="1">
      <formula>$AX64</formula>
    </cfRule>
  </conditionalFormatting>
  <conditionalFormatting sqref="G88">
    <cfRule type="expression" dxfId="381" priority="396" stopIfTrue="1">
      <formula>$AX88</formula>
    </cfRule>
  </conditionalFormatting>
  <conditionalFormatting sqref="G92">
    <cfRule type="expression" dxfId="380" priority="417" stopIfTrue="1">
      <formula>$CG92=TRUE</formula>
    </cfRule>
  </conditionalFormatting>
  <conditionalFormatting sqref="G112">
    <cfRule type="expression" dxfId="379" priority="379" stopIfTrue="1">
      <formula>$AX112</formula>
    </cfRule>
  </conditionalFormatting>
  <conditionalFormatting sqref="G116">
    <cfRule type="expression" dxfId="378" priority="1188" stopIfTrue="1">
      <formula>$CG116=TRUE</formula>
    </cfRule>
  </conditionalFormatting>
  <conditionalFormatting sqref="G136">
    <cfRule type="expression" dxfId="377" priority="362" stopIfTrue="1">
      <formula>$AX136</formula>
    </cfRule>
  </conditionalFormatting>
  <conditionalFormatting sqref="G140">
    <cfRule type="expression" dxfId="376" priority="1173" stopIfTrue="1">
      <formula>$CG140=TRUE</formula>
    </cfRule>
  </conditionalFormatting>
  <conditionalFormatting sqref="G160">
    <cfRule type="expression" dxfId="375" priority="345" stopIfTrue="1">
      <formula>$AX160</formula>
    </cfRule>
  </conditionalFormatting>
  <conditionalFormatting sqref="G164">
    <cfRule type="expression" dxfId="374" priority="1158" stopIfTrue="1">
      <formula>$CG164=TRUE</formula>
    </cfRule>
  </conditionalFormatting>
  <conditionalFormatting sqref="G184">
    <cfRule type="expression" dxfId="373" priority="328" stopIfTrue="1">
      <formula>$AX184</formula>
    </cfRule>
  </conditionalFormatting>
  <conditionalFormatting sqref="G188">
    <cfRule type="expression" dxfId="372" priority="1143" stopIfTrue="1">
      <formula>$CG188=TRUE</formula>
    </cfRule>
  </conditionalFormatting>
  <conditionalFormatting sqref="G208">
    <cfRule type="expression" dxfId="371" priority="311" stopIfTrue="1">
      <formula>$AX208</formula>
    </cfRule>
  </conditionalFormatting>
  <conditionalFormatting sqref="G212">
    <cfRule type="expression" dxfId="370" priority="1128" stopIfTrue="1">
      <formula>$CG212=TRUE</formula>
    </cfRule>
  </conditionalFormatting>
  <conditionalFormatting sqref="G232">
    <cfRule type="expression" dxfId="369" priority="294" stopIfTrue="1">
      <formula>$AX232</formula>
    </cfRule>
  </conditionalFormatting>
  <conditionalFormatting sqref="G236">
    <cfRule type="expression" dxfId="368" priority="1113" stopIfTrue="1">
      <formula>$CG236=TRUE</formula>
    </cfRule>
  </conditionalFormatting>
  <conditionalFormatting sqref="G256">
    <cfRule type="expression" dxfId="367" priority="277" stopIfTrue="1">
      <formula>$AX256</formula>
    </cfRule>
  </conditionalFormatting>
  <conditionalFormatting sqref="G260">
    <cfRule type="expression" dxfId="366" priority="1098" stopIfTrue="1">
      <formula>$CG260=TRUE</formula>
    </cfRule>
  </conditionalFormatting>
  <conditionalFormatting sqref="G280">
    <cfRule type="expression" dxfId="365" priority="260" stopIfTrue="1">
      <formula>$AX280</formula>
    </cfRule>
  </conditionalFormatting>
  <conditionalFormatting sqref="G284">
    <cfRule type="expression" dxfId="364" priority="1083" stopIfTrue="1">
      <formula>$CG284=TRUE</formula>
    </cfRule>
  </conditionalFormatting>
  <conditionalFormatting sqref="G304">
    <cfRule type="expression" dxfId="363" priority="243" stopIfTrue="1">
      <formula>$AX304</formula>
    </cfRule>
  </conditionalFormatting>
  <conditionalFormatting sqref="G308">
    <cfRule type="expression" dxfId="362" priority="1068" stopIfTrue="1">
      <formula>$CG308=TRUE</formula>
    </cfRule>
  </conditionalFormatting>
  <conditionalFormatting sqref="G328">
    <cfRule type="expression" dxfId="361" priority="226" stopIfTrue="1">
      <formula>$AX328</formula>
    </cfRule>
  </conditionalFormatting>
  <conditionalFormatting sqref="G332">
    <cfRule type="expression" dxfId="360" priority="1053" stopIfTrue="1">
      <formula>$CG332=TRUE</formula>
    </cfRule>
  </conditionalFormatting>
  <conditionalFormatting sqref="G352">
    <cfRule type="expression" dxfId="359" priority="209" stopIfTrue="1">
      <formula>$AX352</formula>
    </cfRule>
  </conditionalFormatting>
  <conditionalFormatting sqref="G356">
    <cfRule type="expression" dxfId="358" priority="1038" stopIfTrue="1">
      <formula>$CG356=TRUE</formula>
    </cfRule>
  </conditionalFormatting>
  <conditionalFormatting sqref="G376">
    <cfRule type="expression" dxfId="357" priority="192" stopIfTrue="1">
      <formula>$AX376</formula>
    </cfRule>
  </conditionalFormatting>
  <conditionalFormatting sqref="G380">
    <cfRule type="expression" dxfId="356" priority="1023" stopIfTrue="1">
      <formula>$CG380=TRUE</formula>
    </cfRule>
  </conditionalFormatting>
  <conditionalFormatting sqref="G400">
    <cfRule type="expression" dxfId="355" priority="175" stopIfTrue="1">
      <formula>$AX400</formula>
    </cfRule>
  </conditionalFormatting>
  <conditionalFormatting sqref="G404">
    <cfRule type="expression" dxfId="354" priority="1008" stopIfTrue="1">
      <formula>$CG404=TRUE</formula>
    </cfRule>
  </conditionalFormatting>
  <conditionalFormatting sqref="G424">
    <cfRule type="expression" dxfId="353" priority="158" stopIfTrue="1">
      <formula>$AX424</formula>
    </cfRule>
  </conditionalFormatting>
  <conditionalFormatting sqref="G428">
    <cfRule type="expression" dxfId="352" priority="993" stopIfTrue="1">
      <formula>$CG428=TRUE</formula>
    </cfRule>
  </conditionalFormatting>
  <conditionalFormatting sqref="G448">
    <cfRule type="expression" dxfId="351" priority="141" stopIfTrue="1">
      <formula>$AX448</formula>
    </cfRule>
  </conditionalFormatting>
  <conditionalFormatting sqref="G452">
    <cfRule type="expression" dxfId="350" priority="978" stopIfTrue="1">
      <formula>$CG452=TRUE</formula>
    </cfRule>
  </conditionalFormatting>
  <conditionalFormatting sqref="G472">
    <cfRule type="expression" dxfId="349" priority="124" stopIfTrue="1">
      <formula>$AX472</formula>
    </cfRule>
  </conditionalFormatting>
  <conditionalFormatting sqref="G476">
    <cfRule type="expression" dxfId="348" priority="963" stopIfTrue="1">
      <formula>$CG476=TRUE</formula>
    </cfRule>
  </conditionalFormatting>
  <conditionalFormatting sqref="G496">
    <cfRule type="expression" dxfId="347" priority="107" stopIfTrue="1">
      <formula>$AX496</formula>
    </cfRule>
  </conditionalFormatting>
  <conditionalFormatting sqref="G500">
    <cfRule type="expression" dxfId="346" priority="948" stopIfTrue="1">
      <formula>$CG500=TRUE</formula>
    </cfRule>
  </conditionalFormatting>
  <conditionalFormatting sqref="G520">
    <cfRule type="expression" dxfId="345" priority="90" stopIfTrue="1">
      <formula>$AX520</formula>
    </cfRule>
  </conditionalFormatting>
  <conditionalFormatting sqref="G524">
    <cfRule type="expression" dxfId="344" priority="933" stopIfTrue="1">
      <formula>$CG524=TRUE</formula>
    </cfRule>
  </conditionalFormatting>
  <conditionalFormatting sqref="G544">
    <cfRule type="expression" dxfId="343" priority="73" stopIfTrue="1">
      <formula>$AX544</formula>
    </cfRule>
  </conditionalFormatting>
  <conditionalFormatting sqref="G548">
    <cfRule type="expression" dxfId="342" priority="918" stopIfTrue="1">
      <formula>$CG548=TRUE</formula>
    </cfRule>
  </conditionalFormatting>
  <conditionalFormatting sqref="G568">
    <cfRule type="expression" dxfId="341" priority="56" stopIfTrue="1">
      <formula>$AX568</formula>
    </cfRule>
  </conditionalFormatting>
  <conditionalFormatting sqref="G572">
    <cfRule type="expression" dxfId="340" priority="903" stopIfTrue="1">
      <formula>$CG572=TRUE</formula>
    </cfRule>
  </conditionalFormatting>
  <conditionalFormatting sqref="G592">
    <cfRule type="expression" dxfId="339" priority="39" stopIfTrue="1">
      <formula>$AX592</formula>
    </cfRule>
  </conditionalFormatting>
  <conditionalFormatting sqref="G596">
    <cfRule type="expression" dxfId="338" priority="888" stopIfTrue="1">
      <formula>$CG596=TRUE</formula>
    </cfRule>
  </conditionalFormatting>
  <conditionalFormatting sqref="G616">
    <cfRule type="expression" dxfId="337" priority="22" stopIfTrue="1">
      <formula>$AX616</formula>
    </cfRule>
  </conditionalFormatting>
  <conditionalFormatting sqref="G620">
    <cfRule type="expression" dxfId="336" priority="873" stopIfTrue="1">
      <formula>$CG620=TRUE</formula>
    </cfRule>
  </conditionalFormatting>
  <conditionalFormatting sqref="G640">
    <cfRule type="expression" dxfId="335" priority="5" stopIfTrue="1">
      <formula>$AX640</formula>
    </cfRule>
  </conditionalFormatting>
  <conditionalFormatting sqref="G644">
    <cfRule type="expression" dxfId="334" priority="858" stopIfTrue="1">
      <formula>$CG644=TRUE</formula>
    </cfRule>
  </conditionalFormatting>
  <conditionalFormatting sqref="G53:H53 G55:H58">
    <cfRule type="containsText" dxfId="333" priority="1879" stopIfTrue="1" operator="containsText" text="!">
      <formula>NOT(ISERROR(SEARCH("!",G53)))</formula>
    </cfRule>
  </conditionalFormatting>
  <conditionalFormatting sqref="G77:H77 G79:H82">
    <cfRule type="containsText" dxfId="332" priority="399" stopIfTrue="1" operator="containsText" text="!">
      <formula>NOT(ISERROR(SEARCH("!",G77)))</formula>
    </cfRule>
  </conditionalFormatting>
  <conditionalFormatting sqref="G101:H101 G103:H106">
    <cfRule type="containsText" dxfId="331" priority="382" stopIfTrue="1" operator="containsText" text="!">
      <formula>NOT(ISERROR(SEARCH("!",G101)))</formula>
    </cfRule>
  </conditionalFormatting>
  <conditionalFormatting sqref="G125:H125 G127:H130">
    <cfRule type="containsText" dxfId="330" priority="365" stopIfTrue="1" operator="containsText" text="!">
      <formula>NOT(ISERROR(SEARCH("!",G125)))</formula>
    </cfRule>
  </conditionalFormatting>
  <conditionalFormatting sqref="G149:H149 G151:H154">
    <cfRule type="containsText" dxfId="329" priority="348" stopIfTrue="1" operator="containsText" text="!">
      <formula>NOT(ISERROR(SEARCH("!",G149)))</formula>
    </cfRule>
  </conditionalFormatting>
  <conditionalFormatting sqref="G173:H173 G175:H178">
    <cfRule type="containsText" dxfId="328" priority="331" stopIfTrue="1" operator="containsText" text="!">
      <formula>NOT(ISERROR(SEARCH("!",G173)))</formula>
    </cfRule>
  </conditionalFormatting>
  <conditionalFormatting sqref="G197:H197 G199:H202">
    <cfRule type="containsText" dxfId="327" priority="314" stopIfTrue="1" operator="containsText" text="!">
      <formula>NOT(ISERROR(SEARCH("!",G197)))</formula>
    </cfRule>
  </conditionalFormatting>
  <conditionalFormatting sqref="G221:H221 G223:H226">
    <cfRule type="containsText" dxfId="326" priority="297" stopIfTrue="1" operator="containsText" text="!">
      <formula>NOT(ISERROR(SEARCH("!",G221)))</formula>
    </cfRule>
  </conditionalFormatting>
  <conditionalFormatting sqref="G245:H245 G247:H250">
    <cfRule type="containsText" dxfId="325" priority="280" stopIfTrue="1" operator="containsText" text="!">
      <formula>NOT(ISERROR(SEARCH("!",G245)))</formula>
    </cfRule>
  </conditionalFormatting>
  <conditionalFormatting sqref="G269:H269 G271:H274">
    <cfRule type="containsText" dxfId="324" priority="263" stopIfTrue="1" operator="containsText" text="!">
      <formula>NOT(ISERROR(SEARCH("!",G269)))</formula>
    </cfRule>
  </conditionalFormatting>
  <conditionalFormatting sqref="G293:H293 G295:H298">
    <cfRule type="containsText" dxfId="323" priority="246" stopIfTrue="1" operator="containsText" text="!">
      <formula>NOT(ISERROR(SEARCH("!",G293)))</formula>
    </cfRule>
  </conditionalFormatting>
  <conditionalFormatting sqref="G317:H317 G319:H322">
    <cfRule type="containsText" dxfId="322" priority="229" stopIfTrue="1" operator="containsText" text="!">
      <formula>NOT(ISERROR(SEARCH("!",G317)))</formula>
    </cfRule>
  </conditionalFormatting>
  <conditionalFormatting sqref="G341:H341 G343:H346">
    <cfRule type="containsText" dxfId="321" priority="212" stopIfTrue="1" operator="containsText" text="!">
      <formula>NOT(ISERROR(SEARCH("!",G341)))</formula>
    </cfRule>
  </conditionalFormatting>
  <conditionalFormatting sqref="G365:H365 G367:H370">
    <cfRule type="containsText" dxfId="320" priority="195" stopIfTrue="1" operator="containsText" text="!">
      <formula>NOT(ISERROR(SEARCH("!",G365)))</formula>
    </cfRule>
  </conditionalFormatting>
  <conditionalFormatting sqref="G389:H389 G391:H394">
    <cfRule type="containsText" dxfId="319" priority="178" stopIfTrue="1" operator="containsText" text="!">
      <formula>NOT(ISERROR(SEARCH("!",G389)))</formula>
    </cfRule>
  </conditionalFormatting>
  <conditionalFormatting sqref="G413:H413 G415:H418">
    <cfRule type="containsText" dxfId="318" priority="161" stopIfTrue="1" operator="containsText" text="!">
      <formula>NOT(ISERROR(SEARCH("!",G413)))</formula>
    </cfRule>
  </conditionalFormatting>
  <conditionalFormatting sqref="G437:H437 G439:H442">
    <cfRule type="containsText" dxfId="317" priority="144" stopIfTrue="1" operator="containsText" text="!">
      <formula>NOT(ISERROR(SEARCH("!",G437)))</formula>
    </cfRule>
  </conditionalFormatting>
  <conditionalFormatting sqref="G461:H461 G463:H466">
    <cfRule type="containsText" dxfId="316" priority="127" stopIfTrue="1" operator="containsText" text="!">
      <formula>NOT(ISERROR(SEARCH("!",G461)))</formula>
    </cfRule>
  </conditionalFormatting>
  <conditionalFormatting sqref="G485:H485 G487:H490">
    <cfRule type="containsText" dxfId="315" priority="110" stopIfTrue="1" operator="containsText" text="!">
      <formula>NOT(ISERROR(SEARCH("!",G485)))</formula>
    </cfRule>
  </conditionalFormatting>
  <conditionalFormatting sqref="G509:H509 G511:H514">
    <cfRule type="containsText" dxfId="314" priority="93" stopIfTrue="1" operator="containsText" text="!">
      <formula>NOT(ISERROR(SEARCH("!",G509)))</formula>
    </cfRule>
  </conditionalFormatting>
  <conditionalFormatting sqref="G533:H533 G535:H538">
    <cfRule type="containsText" dxfId="313" priority="76" stopIfTrue="1" operator="containsText" text="!">
      <formula>NOT(ISERROR(SEARCH("!",G533)))</formula>
    </cfRule>
  </conditionalFormatting>
  <conditionalFormatting sqref="G557:H557 G559:H562">
    <cfRule type="containsText" dxfId="312" priority="59" stopIfTrue="1" operator="containsText" text="!">
      <formula>NOT(ISERROR(SEARCH("!",G557)))</formula>
    </cfRule>
  </conditionalFormatting>
  <conditionalFormatting sqref="G581:H581 G583:H586">
    <cfRule type="containsText" dxfId="311" priority="42" stopIfTrue="1" operator="containsText" text="!">
      <formula>NOT(ISERROR(SEARCH("!",G581)))</formula>
    </cfRule>
  </conditionalFormatting>
  <conditionalFormatting sqref="G605:H605 G607:H610">
    <cfRule type="containsText" dxfId="310" priority="25" stopIfTrue="1" operator="containsText" text="!">
      <formula>NOT(ISERROR(SEARCH("!",G605)))</formula>
    </cfRule>
  </conditionalFormatting>
  <conditionalFormatting sqref="G629:H629 G631:H634">
    <cfRule type="containsText" dxfId="309" priority="8" stopIfTrue="1" operator="containsText" text="!">
      <formula>NOT(ISERROR(SEARCH("!",G629)))</formula>
    </cfRule>
  </conditionalFormatting>
  <conditionalFormatting sqref="I53 I55:I56">
    <cfRule type="expression" dxfId="308" priority="2394" stopIfTrue="1">
      <formula>$AK53=TRUE</formula>
    </cfRule>
  </conditionalFormatting>
  <conditionalFormatting sqref="I60">
    <cfRule type="expression" dxfId="307" priority="1869" stopIfTrue="1">
      <formula>$CG60=TRUE</formula>
    </cfRule>
  </conditionalFormatting>
  <conditionalFormatting sqref="I64">
    <cfRule type="expression" dxfId="306" priority="853" stopIfTrue="1">
      <formula>$AX64</formula>
    </cfRule>
  </conditionalFormatting>
  <conditionalFormatting sqref="I77 I79:I80">
    <cfRule type="expression" dxfId="305" priority="409" stopIfTrue="1">
      <formula>$AK77=TRUE</formula>
    </cfRule>
  </conditionalFormatting>
  <conditionalFormatting sqref="I84">
    <cfRule type="expression" dxfId="304" priority="397" stopIfTrue="1">
      <formula>$CG84=TRUE</formula>
    </cfRule>
  </conditionalFormatting>
  <conditionalFormatting sqref="I88">
    <cfRule type="expression" dxfId="303" priority="395" stopIfTrue="1">
      <formula>$AX88</formula>
    </cfRule>
  </conditionalFormatting>
  <conditionalFormatting sqref="I101 I103:I104">
    <cfRule type="expression" dxfId="302" priority="392" stopIfTrue="1">
      <formula>$AK101=TRUE</formula>
    </cfRule>
  </conditionalFormatting>
  <conditionalFormatting sqref="I108">
    <cfRule type="expression" dxfId="301" priority="380" stopIfTrue="1">
      <formula>$CG108=TRUE</formula>
    </cfRule>
  </conditionalFormatting>
  <conditionalFormatting sqref="I112">
    <cfRule type="expression" dxfId="300" priority="378" stopIfTrue="1">
      <formula>$AX112</formula>
    </cfRule>
  </conditionalFormatting>
  <conditionalFormatting sqref="I125 I127:I128">
    <cfRule type="expression" dxfId="299" priority="375" stopIfTrue="1">
      <formula>$AK125=TRUE</formula>
    </cfRule>
  </conditionalFormatting>
  <conditionalFormatting sqref="I132">
    <cfRule type="expression" dxfId="298" priority="363" stopIfTrue="1">
      <formula>$CG132=TRUE</formula>
    </cfRule>
  </conditionalFormatting>
  <conditionalFormatting sqref="I136">
    <cfRule type="expression" dxfId="297" priority="361" stopIfTrue="1">
      <formula>$AX136</formula>
    </cfRule>
  </conditionalFormatting>
  <conditionalFormatting sqref="I149 I151:I152">
    <cfRule type="expression" dxfId="296" priority="358" stopIfTrue="1">
      <formula>$AK149=TRUE</formula>
    </cfRule>
  </conditionalFormatting>
  <conditionalFormatting sqref="I156">
    <cfRule type="expression" dxfId="295" priority="346" stopIfTrue="1">
      <formula>$CG156=TRUE</formula>
    </cfRule>
  </conditionalFormatting>
  <conditionalFormatting sqref="I160">
    <cfRule type="expression" dxfId="294" priority="344" stopIfTrue="1">
      <formula>$AX160</formula>
    </cfRule>
  </conditionalFormatting>
  <conditionalFormatting sqref="I173 I175:I176">
    <cfRule type="expression" dxfId="293" priority="341" stopIfTrue="1">
      <formula>$AK173=TRUE</formula>
    </cfRule>
  </conditionalFormatting>
  <conditionalFormatting sqref="I180">
    <cfRule type="expression" dxfId="292" priority="329" stopIfTrue="1">
      <formula>$CG180=TRUE</formula>
    </cfRule>
  </conditionalFormatting>
  <conditionalFormatting sqref="I184">
    <cfRule type="expression" dxfId="291" priority="327" stopIfTrue="1">
      <formula>$AX184</formula>
    </cfRule>
  </conditionalFormatting>
  <conditionalFormatting sqref="I197 I199:I200">
    <cfRule type="expression" dxfId="290" priority="324" stopIfTrue="1">
      <formula>$AK197=TRUE</formula>
    </cfRule>
  </conditionalFormatting>
  <conditionalFormatting sqref="I204">
    <cfRule type="expression" dxfId="289" priority="312" stopIfTrue="1">
      <formula>$CG204=TRUE</formula>
    </cfRule>
  </conditionalFormatting>
  <conditionalFormatting sqref="I208">
    <cfRule type="expression" dxfId="288" priority="310" stopIfTrue="1">
      <formula>$AX208</formula>
    </cfRule>
  </conditionalFormatting>
  <conditionalFormatting sqref="I221 I223:I224">
    <cfRule type="expression" dxfId="287" priority="307" stopIfTrue="1">
      <formula>$AK221=TRUE</formula>
    </cfRule>
  </conditionalFormatting>
  <conditionalFormatting sqref="I228">
    <cfRule type="expression" dxfId="286" priority="295" stopIfTrue="1">
      <formula>$CG228=TRUE</formula>
    </cfRule>
  </conditionalFormatting>
  <conditionalFormatting sqref="I232">
    <cfRule type="expression" dxfId="285" priority="293" stopIfTrue="1">
      <formula>$AX232</formula>
    </cfRule>
  </conditionalFormatting>
  <conditionalFormatting sqref="I245 I247:I248">
    <cfRule type="expression" dxfId="284" priority="290" stopIfTrue="1">
      <formula>$AK245=TRUE</formula>
    </cfRule>
  </conditionalFormatting>
  <conditionalFormatting sqref="I252">
    <cfRule type="expression" dxfId="283" priority="278" stopIfTrue="1">
      <formula>$CG252=TRUE</formula>
    </cfRule>
  </conditionalFormatting>
  <conditionalFormatting sqref="I256">
    <cfRule type="expression" dxfId="282" priority="276" stopIfTrue="1">
      <formula>$AX256</formula>
    </cfRule>
  </conditionalFormatting>
  <conditionalFormatting sqref="I269 I271:I272">
    <cfRule type="expression" dxfId="281" priority="273" stopIfTrue="1">
      <formula>$AK269=TRUE</formula>
    </cfRule>
  </conditionalFormatting>
  <conditionalFormatting sqref="I276">
    <cfRule type="expression" dxfId="280" priority="261" stopIfTrue="1">
      <formula>$CG276=TRUE</formula>
    </cfRule>
  </conditionalFormatting>
  <conditionalFormatting sqref="I280">
    <cfRule type="expression" dxfId="279" priority="259" stopIfTrue="1">
      <formula>$AX280</formula>
    </cfRule>
  </conditionalFormatting>
  <conditionalFormatting sqref="I293 I295:I296">
    <cfRule type="expression" dxfId="278" priority="256" stopIfTrue="1">
      <formula>$AK293=TRUE</formula>
    </cfRule>
  </conditionalFormatting>
  <conditionalFormatting sqref="I300">
    <cfRule type="expression" dxfId="277" priority="244" stopIfTrue="1">
      <formula>$CG300=TRUE</formula>
    </cfRule>
  </conditionalFormatting>
  <conditionalFormatting sqref="I304">
    <cfRule type="expression" dxfId="276" priority="242" stopIfTrue="1">
      <formula>$AX304</formula>
    </cfRule>
  </conditionalFormatting>
  <conditionalFormatting sqref="I317 I319:I320">
    <cfRule type="expression" dxfId="275" priority="239" stopIfTrue="1">
      <formula>$AK317=TRUE</formula>
    </cfRule>
  </conditionalFormatting>
  <conditionalFormatting sqref="I324">
    <cfRule type="expression" dxfId="274" priority="227" stopIfTrue="1">
      <formula>$CG324=TRUE</formula>
    </cfRule>
  </conditionalFormatting>
  <conditionalFormatting sqref="I328">
    <cfRule type="expression" dxfId="273" priority="225" stopIfTrue="1">
      <formula>$AX328</formula>
    </cfRule>
  </conditionalFormatting>
  <conditionalFormatting sqref="I341 I343:I344">
    <cfRule type="expression" dxfId="272" priority="222" stopIfTrue="1">
      <formula>$AK341=TRUE</formula>
    </cfRule>
  </conditionalFormatting>
  <conditionalFormatting sqref="I348">
    <cfRule type="expression" dxfId="271" priority="210" stopIfTrue="1">
      <formula>$CG348=TRUE</formula>
    </cfRule>
  </conditionalFormatting>
  <conditionalFormatting sqref="I352">
    <cfRule type="expression" dxfId="270" priority="208" stopIfTrue="1">
      <formula>$AX352</formula>
    </cfRule>
  </conditionalFormatting>
  <conditionalFormatting sqref="I365 I367:I368">
    <cfRule type="expression" dxfId="269" priority="205" stopIfTrue="1">
      <formula>$AK365=TRUE</formula>
    </cfRule>
  </conditionalFormatting>
  <conditionalFormatting sqref="I372">
    <cfRule type="expression" dxfId="268" priority="193" stopIfTrue="1">
      <formula>$CG372=TRUE</formula>
    </cfRule>
  </conditionalFormatting>
  <conditionalFormatting sqref="I376">
    <cfRule type="expression" dxfId="267" priority="191" stopIfTrue="1">
      <formula>$AX376</formula>
    </cfRule>
  </conditionalFormatting>
  <conditionalFormatting sqref="I389 I391:I392">
    <cfRule type="expression" dxfId="266" priority="188" stopIfTrue="1">
      <formula>$AK389=TRUE</formula>
    </cfRule>
  </conditionalFormatting>
  <conditionalFormatting sqref="I396">
    <cfRule type="expression" dxfId="265" priority="176" stopIfTrue="1">
      <formula>$CG396=TRUE</formula>
    </cfRule>
  </conditionalFormatting>
  <conditionalFormatting sqref="I400">
    <cfRule type="expression" dxfId="264" priority="174" stopIfTrue="1">
      <formula>$AX400</formula>
    </cfRule>
  </conditionalFormatting>
  <conditionalFormatting sqref="I413 I415:I416">
    <cfRule type="expression" dxfId="263" priority="171" stopIfTrue="1">
      <formula>$AK413=TRUE</formula>
    </cfRule>
  </conditionalFormatting>
  <conditionalFormatting sqref="I420">
    <cfRule type="expression" dxfId="262" priority="159" stopIfTrue="1">
      <formula>$CG420=TRUE</formula>
    </cfRule>
  </conditionalFormatting>
  <conditionalFormatting sqref="I424">
    <cfRule type="expression" dxfId="261" priority="157" stopIfTrue="1">
      <formula>$AX424</formula>
    </cfRule>
  </conditionalFormatting>
  <conditionalFormatting sqref="I437 I439:I440">
    <cfRule type="expression" dxfId="260" priority="154" stopIfTrue="1">
      <formula>$AK437=TRUE</formula>
    </cfRule>
  </conditionalFormatting>
  <conditionalFormatting sqref="I444">
    <cfRule type="expression" dxfId="259" priority="142" stopIfTrue="1">
      <formula>$CG444=TRUE</formula>
    </cfRule>
  </conditionalFormatting>
  <conditionalFormatting sqref="I448">
    <cfRule type="expression" dxfId="258" priority="140" stopIfTrue="1">
      <formula>$AX448</formula>
    </cfRule>
  </conditionalFormatting>
  <conditionalFormatting sqref="I461 I463:I464">
    <cfRule type="expression" dxfId="257" priority="137" stopIfTrue="1">
      <formula>$AK461=TRUE</formula>
    </cfRule>
  </conditionalFormatting>
  <conditionalFormatting sqref="I468">
    <cfRule type="expression" dxfId="256" priority="125" stopIfTrue="1">
      <formula>$CG468=TRUE</formula>
    </cfRule>
  </conditionalFormatting>
  <conditionalFormatting sqref="I472">
    <cfRule type="expression" dxfId="255" priority="123" stopIfTrue="1">
      <formula>$AX472</formula>
    </cfRule>
  </conditionalFormatting>
  <conditionalFormatting sqref="I485 I487:I488">
    <cfRule type="expression" dxfId="254" priority="120" stopIfTrue="1">
      <formula>$AK485=TRUE</formula>
    </cfRule>
  </conditionalFormatting>
  <conditionalFormatting sqref="I492">
    <cfRule type="expression" dxfId="253" priority="108" stopIfTrue="1">
      <formula>$CG492=TRUE</formula>
    </cfRule>
  </conditionalFormatting>
  <conditionalFormatting sqref="I496">
    <cfRule type="expression" dxfId="252" priority="106" stopIfTrue="1">
      <formula>$AX496</formula>
    </cfRule>
  </conditionalFormatting>
  <conditionalFormatting sqref="I509 I511:I512">
    <cfRule type="expression" dxfId="251" priority="103" stopIfTrue="1">
      <formula>$AK509=TRUE</formula>
    </cfRule>
  </conditionalFormatting>
  <conditionalFormatting sqref="I516">
    <cfRule type="expression" dxfId="250" priority="91" stopIfTrue="1">
      <formula>$CG516=TRUE</formula>
    </cfRule>
  </conditionalFormatting>
  <conditionalFormatting sqref="I520">
    <cfRule type="expression" dxfId="249" priority="89" stopIfTrue="1">
      <formula>$AX520</formula>
    </cfRule>
  </conditionalFormatting>
  <conditionalFormatting sqref="I533 I535:I536">
    <cfRule type="expression" dxfId="248" priority="86" stopIfTrue="1">
      <formula>$AK533=TRUE</formula>
    </cfRule>
  </conditionalFormatting>
  <conditionalFormatting sqref="I540">
    <cfRule type="expression" dxfId="247" priority="74" stopIfTrue="1">
      <formula>$CG540=TRUE</formula>
    </cfRule>
  </conditionalFormatting>
  <conditionalFormatting sqref="I544">
    <cfRule type="expression" dxfId="246" priority="72" stopIfTrue="1">
      <formula>$AX544</formula>
    </cfRule>
  </conditionalFormatting>
  <conditionalFormatting sqref="I557 I559:I560">
    <cfRule type="expression" dxfId="245" priority="69" stopIfTrue="1">
      <formula>$AK557=TRUE</formula>
    </cfRule>
  </conditionalFormatting>
  <conditionalFormatting sqref="I564">
    <cfRule type="expression" dxfId="244" priority="57" stopIfTrue="1">
      <formula>$CG564=TRUE</formula>
    </cfRule>
  </conditionalFormatting>
  <conditionalFormatting sqref="I568">
    <cfRule type="expression" dxfId="243" priority="55" stopIfTrue="1">
      <formula>$AX568</formula>
    </cfRule>
  </conditionalFormatting>
  <conditionalFormatting sqref="I581 I583:I584">
    <cfRule type="expression" dxfId="242" priority="52" stopIfTrue="1">
      <formula>$AK581=TRUE</formula>
    </cfRule>
  </conditionalFormatting>
  <conditionalFormatting sqref="I588">
    <cfRule type="expression" dxfId="241" priority="40" stopIfTrue="1">
      <formula>$CG588=TRUE</formula>
    </cfRule>
  </conditionalFormatting>
  <conditionalFormatting sqref="I592">
    <cfRule type="expression" dxfId="240" priority="38" stopIfTrue="1">
      <formula>$AX592</formula>
    </cfRule>
  </conditionalFormatting>
  <conditionalFormatting sqref="I605 I607:I608">
    <cfRule type="expression" dxfId="239" priority="35" stopIfTrue="1">
      <formula>$AK605=TRUE</formula>
    </cfRule>
  </conditionalFormatting>
  <conditionalFormatting sqref="I612">
    <cfRule type="expression" dxfId="238" priority="23" stopIfTrue="1">
      <formula>$CG612=TRUE</formula>
    </cfRule>
  </conditionalFormatting>
  <conditionalFormatting sqref="I616">
    <cfRule type="expression" dxfId="237" priority="21" stopIfTrue="1">
      <formula>$AX616</formula>
    </cfRule>
  </conditionalFormatting>
  <conditionalFormatting sqref="I629 I631:I632">
    <cfRule type="expression" dxfId="236" priority="18" stopIfTrue="1">
      <formula>$AK629=TRUE</formula>
    </cfRule>
  </conditionalFormatting>
  <conditionalFormatting sqref="I636">
    <cfRule type="expression" dxfId="235" priority="6" stopIfTrue="1">
      <formula>$CG636=TRUE</formula>
    </cfRule>
  </conditionalFormatting>
  <conditionalFormatting sqref="I640">
    <cfRule type="expression" dxfId="234" priority="4" stopIfTrue="1">
      <formula>$AX640</formula>
    </cfRule>
  </conditionalFormatting>
  <conditionalFormatting sqref="J79:J80">
    <cfRule type="expression" dxfId="233" priority="398" stopIfTrue="1">
      <formula>$CG79=TRUE</formula>
    </cfRule>
  </conditionalFormatting>
  <conditionalFormatting sqref="J103:J104">
    <cfRule type="expression" dxfId="232" priority="381" stopIfTrue="1">
      <formula>$CG103=TRUE</formula>
    </cfRule>
  </conditionalFormatting>
  <conditionalFormatting sqref="J127:J128">
    <cfRule type="expression" dxfId="231" priority="364" stopIfTrue="1">
      <formula>$CG127=TRUE</formula>
    </cfRule>
  </conditionalFormatting>
  <conditionalFormatting sqref="J151:J152">
    <cfRule type="expression" dxfId="230" priority="347" stopIfTrue="1">
      <formula>$CG151=TRUE</formula>
    </cfRule>
  </conditionalFormatting>
  <conditionalFormatting sqref="J175:J176">
    <cfRule type="expression" dxfId="229" priority="330" stopIfTrue="1">
      <formula>$CG175=TRUE</formula>
    </cfRule>
  </conditionalFormatting>
  <conditionalFormatting sqref="J199:J200">
    <cfRule type="expression" dxfId="228" priority="313" stopIfTrue="1">
      <formula>$CG199=TRUE</formula>
    </cfRule>
  </conditionalFormatting>
  <conditionalFormatting sqref="J223:J224">
    <cfRule type="expression" dxfId="227" priority="296" stopIfTrue="1">
      <formula>$CG223=TRUE</formula>
    </cfRule>
  </conditionalFormatting>
  <conditionalFormatting sqref="J247:J248">
    <cfRule type="expression" dxfId="226" priority="279" stopIfTrue="1">
      <formula>$CG247=TRUE</formula>
    </cfRule>
  </conditionalFormatting>
  <conditionalFormatting sqref="J271:J272">
    <cfRule type="expression" dxfId="225" priority="262" stopIfTrue="1">
      <formula>$CG271=TRUE</formula>
    </cfRule>
  </conditionalFormatting>
  <conditionalFormatting sqref="J295:J296">
    <cfRule type="expression" dxfId="224" priority="245" stopIfTrue="1">
      <formula>$CG295=TRUE</formula>
    </cfRule>
  </conditionalFormatting>
  <conditionalFormatting sqref="J319:J320">
    <cfRule type="expression" dxfId="223" priority="228" stopIfTrue="1">
      <formula>$CG319=TRUE</formula>
    </cfRule>
  </conditionalFormatting>
  <conditionalFormatting sqref="J343:J344">
    <cfRule type="expression" dxfId="222" priority="211" stopIfTrue="1">
      <formula>$CG343=TRUE</formula>
    </cfRule>
  </conditionalFormatting>
  <conditionalFormatting sqref="J367:J368">
    <cfRule type="expression" dxfId="221" priority="194" stopIfTrue="1">
      <formula>$CG367=TRUE</formula>
    </cfRule>
  </conditionalFormatting>
  <conditionalFormatting sqref="J391:J392">
    <cfRule type="expression" dxfId="220" priority="177" stopIfTrue="1">
      <formula>$CG391=TRUE</formula>
    </cfRule>
  </conditionalFormatting>
  <conditionalFormatting sqref="J415:J416">
    <cfRule type="expression" dxfId="219" priority="160" stopIfTrue="1">
      <formula>$CG415=TRUE</formula>
    </cfRule>
  </conditionalFormatting>
  <conditionalFormatting sqref="J439:J440">
    <cfRule type="expression" dxfId="218" priority="143" stopIfTrue="1">
      <formula>$CG439=TRUE</formula>
    </cfRule>
  </conditionalFormatting>
  <conditionalFormatting sqref="J463:J464">
    <cfRule type="expression" dxfId="217" priority="126" stopIfTrue="1">
      <formula>$CG463=TRUE</formula>
    </cfRule>
  </conditionalFormatting>
  <conditionalFormatting sqref="J487:J488">
    <cfRule type="expression" dxfId="216" priority="109" stopIfTrue="1">
      <formula>$CG487=TRUE</formula>
    </cfRule>
  </conditionalFormatting>
  <conditionalFormatting sqref="J511:J512">
    <cfRule type="expression" dxfId="215" priority="92" stopIfTrue="1">
      <formula>$CG511=TRUE</formula>
    </cfRule>
  </conditionalFormatting>
  <conditionalFormatting sqref="J535:J536">
    <cfRule type="expression" dxfId="214" priority="75" stopIfTrue="1">
      <formula>$CG535=TRUE</formula>
    </cfRule>
  </conditionalFormatting>
  <conditionalFormatting sqref="J559:J560">
    <cfRule type="expression" dxfId="213" priority="58" stopIfTrue="1">
      <formula>$CG559=TRUE</formula>
    </cfRule>
  </conditionalFormatting>
  <conditionalFormatting sqref="J583:J584">
    <cfRule type="expression" dxfId="212" priority="41" stopIfTrue="1">
      <formula>$CG583=TRUE</formula>
    </cfRule>
  </conditionalFormatting>
  <conditionalFormatting sqref="J607:J608">
    <cfRule type="expression" dxfId="211" priority="24" stopIfTrue="1">
      <formula>$CG607=TRUE</formula>
    </cfRule>
  </conditionalFormatting>
  <conditionalFormatting sqref="J631:J632">
    <cfRule type="expression" dxfId="210" priority="7" stopIfTrue="1">
      <formula>$CG631=TRUE</formula>
    </cfRule>
  </conditionalFormatting>
  <conditionalFormatting sqref="J55:L56">
    <cfRule type="expression" dxfId="209" priority="1877" stopIfTrue="1">
      <formula>$CG55=TRUE</formula>
    </cfRule>
  </conditionalFormatting>
  <conditionalFormatting sqref="K53">
    <cfRule type="expression" dxfId="208" priority="2390" stopIfTrue="1">
      <formula>$AX53=TRUE</formula>
    </cfRule>
  </conditionalFormatting>
  <conditionalFormatting sqref="K57:K58">
    <cfRule type="expression" dxfId="207" priority="2" stopIfTrue="1">
      <formula>$AW57=TRUE</formula>
    </cfRule>
  </conditionalFormatting>
  <conditionalFormatting sqref="K60 K55:K56">
    <cfRule type="expression" dxfId="206" priority="2382" stopIfTrue="1">
      <formula>$AW55=TRUE</formula>
    </cfRule>
  </conditionalFormatting>
  <conditionalFormatting sqref="K64">
    <cfRule type="expression" dxfId="205" priority="852" stopIfTrue="1">
      <formula>$AX64</formula>
    </cfRule>
  </conditionalFormatting>
  <conditionalFormatting sqref="K77">
    <cfRule type="expression" dxfId="204" priority="407" stopIfTrue="1">
      <formula>$AX77=TRUE</formula>
    </cfRule>
  </conditionalFormatting>
  <conditionalFormatting sqref="K79:K82 K84">
    <cfRule type="expression" dxfId="203" priority="403" stopIfTrue="1">
      <formula>$AW79=TRUE</formula>
    </cfRule>
  </conditionalFormatting>
  <conditionalFormatting sqref="K88">
    <cfRule type="expression" dxfId="202" priority="394" stopIfTrue="1">
      <formula>$AX88</formula>
    </cfRule>
  </conditionalFormatting>
  <conditionalFormatting sqref="K101">
    <cfRule type="expression" dxfId="201" priority="390" stopIfTrue="1">
      <formula>$AX101=TRUE</formula>
    </cfRule>
  </conditionalFormatting>
  <conditionalFormatting sqref="K103:K106 K108">
    <cfRule type="expression" dxfId="200" priority="386" stopIfTrue="1">
      <formula>$AW103=TRUE</formula>
    </cfRule>
  </conditionalFormatting>
  <conditionalFormatting sqref="K112">
    <cfRule type="expression" dxfId="199" priority="377" stopIfTrue="1">
      <formula>$AX112</formula>
    </cfRule>
  </conditionalFormatting>
  <conditionalFormatting sqref="K125">
    <cfRule type="expression" dxfId="198" priority="373" stopIfTrue="1">
      <formula>$AX125=TRUE</formula>
    </cfRule>
  </conditionalFormatting>
  <conditionalFormatting sqref="K127:K130 K132">
    <cfRule type="expression" dxfId="197" priority="369" stopIfTrue="1">
      <formula>$AW127=TRUE</formula>
    </cfRule>
  </conditionalFormatting>
  <conditionalFormatting sqref="K136">
    <cfRule type="expression" dxfId="196" priority="360" stopIfTrue="1">
      <formula>$AX136</formula>
    </cfRule>
  </conditionalFormatting>
  <conditionalFormatting sqref="K149">
    <cfRule type="expression" dxfId="195" priority="356" stopIfTrue="1">
      <formula>$AX149=TRUE</formula>
    </cfRule>
  </conditionalFormatting>
  <conditionalFormatting sqref="K151:K154 K156">
    <cfRule type="expression" dxfId="194" priority="352" stopIfTrue="1">
      <formula>$AW151=TRUE</formula>
    </cfRule>
  </conditionalFormatting>
  <conditionalFormatting sqref="K160">
    <cfRule type="expression" dxfId="193" priority="343" stopIfTrue="1">
      <formula>$AX160</formula>
    </cfRule>
  </conditionalFormatting>
  <conditionalFormatting sqref="K173">
    <cfRule type="expression" dxfId="192" priority="339" stopIfTrue="1">
      <formula>$AX173=TRUE</formula>
    </cfRule>
  </conditionalFormatting>
  <conditionalFormatting sqref="K175:K178 K180">
    <cfRule type="expression" dxfId="191" priority="335" stopIfTrue="1">
      <formula>$AW175=TRUE</formula>
    </cfRule>
  </conditionalFormatting>
  <conditionalFormatting sqref="K184">
    <cfRule type="expression" dxfId="190" priority="326" stopIfTrue="1">
      <formula>$AX184</formula>
    </cfRule>
  </conditionalFormatting>
  <conditionalFormatting sqref="K197">
    <cfRule type="expression" dxfId="189" priority="322" stopIfTrue="1">
      <formula>$AX197=TRUE</formula>
    </cfRule>
  </conditionalFormatting>
  <conditionalFormatting sqref="K199:K202 K204">
    <cfRule type="expression" dxfId="188" priority="318" stopIfTrue="1">
      <formula>$AW199=TRUE</formula>
    </cfRule>
  </conditionalFormatting>
  <conditionalFormatting sqref="K208">
    <cfRule type="expression" dxfId="187" priority="309" stopIfTrue="1">
      <formula>$AX208</formula>
    </cfRule>
  </conditionalFormatting>
  <conditionalFormatting sqref="K221">
    <cfRule type="expression" dxfId="186" priority="305" stopIfTrue="1">
      <formula>$AX221=TRUE</formula>
    </cfRule>
  </conditionalFormatting>
  <conditionalFormatting sqref="K223:K226 K228">
    <cfRule type="expression" dxfId="185" priority="301" stopIfTrue="1">
      <formula>$AW223=TRUE</formula>
    </cfRule>
  </conditionalFormatting>
  <conditionalFormatting sqref="K232">
    <cfRule type="expression" dxfId="184" priority="292" stopIfTrue="1">
      <formula>$AX232</formula>
    </cfRule>
  </conditionalFormatting>
  <conditionalFormatting sqref="K245">
    <cfRule type="expression" dxfId="183" priority="288" stopIfTrue="1">
      <formula>$AX245=TRUE</formula>
    </cfRule>
  </conditionalFormatting>
  <conditionalFormatting sqref="K247:K250 K252">
    <cfRule type="expression" dxfId="182" priority="284" stopIfTrue="1">
      <formula>$AW247=TRUE</formula>
    </cfRule>
  </conditionalFormatting>
  <conditionalFormatting sqref="K256">
    <cfRule type="expression" dxfId="181" priority="275" stopIfTrue="1">
      <formula>$AX256</formula>
    </cfRule>
  </conditionalFormatting>
  <conditionalFormatting sqref="K269">
    <cfRule type="expression" dxfId="180" priority="271" stopIfTrue="1">
      <formula>$AX269=TRUE</formula>
    </cfRule>
  </conditionalFormatting>
  <conditionalFormatting sqref="K271:K274 K276">
    <cfRule type="expression" dxfId="179" priority="267" stopIfTrue="1">
      <formula>$AW271=TRUE</formula>
    </cfRule>
  </conditionalFormatting>
  <conditionalFormatting sqref="K280">
    <cfRule type="expression" dxfId="178" priority="258" stopIfTrue="1">
      <formula>$AX280</formula>
    </cfRule>
  </conditionalFormatting>
  <conditionalFormatting sqref="K293">
    <cfRule type="expression" dxfId="177" priority="254" stopIfTrue="1">
      <formula>$AX293=TRUE</formula>
    </cfRule>
  </conditionalFormatting>
  <conditionalFormatting sqref="K295:K298 K300">
    <cfRule type="expression" dxfId="176" priority="250" stopIfTrue="1">
      <formula>$AW295=TRUE</formula>
    </cfRule>
  </conditionalFormatting>
  <conditionalFormatting sqref="K304">
    <cfRule type="expression" dxfId="175" priority="241" stopIfTrue="1">
      <formula>$AX304</formula>
    </cfRule>
  </conditionalFormatting>
  <conditionalFormatting sqref="K317">
    <cfRule type="expression" dxfId="174" priority="237" stopIfTrue="1">
      <formula>$AX317=TRUE</formula>
    </cfRule>
  </conditionalFormatting>
  <conditionalFormatting sqref="K319:K322 K324">
    <cfRule type="expression" dxfId="173" priority="233" stopIfTrue="1">
      <formula>$AW319=TRUE</formula>
    </cfRule>
  </conditionalFormatting>
  <conditionalFormatting sqref="K328">
    <cfRule type="expression" dxfId="172" priority="224" stopIfTrue="1">
      <formula>$AX328</formula>
    </cfRule>
  </conditionalFormatting>
  <conditionalFormatting sqref="K341">
    <cfRule type="expression" dxfId="171" priority="220" stopIfTrue="1">
      <formula>$AX341=TRUE</formula>
    </cfRule>
  </conditionalFormatting>
  <conditionalFormatting sqref="K343:K346 K348">
    <cfRule type="expression" dxfId="170" priority="216" stopIfTrue="1">
      <formula>$AW343=TRUE</formula>
    </cfRule>
  </conditionalFormatting>
  <conditionalFormatting sqref="K352">
    <cfRule type="expression" dxfId="169" priority="207" stopIfTrue="1">
      <formula>$AX352</formula>
    </cfRule>
  </conditionalFormatting>
  <conditionalFormatting sqref="K365">
    <cfRule type="expression" dxfId="168" priority="203" stopIfTrue="1">
      <formula>$AX365=TRUE</formula>
    </cfRule>
  </conditionalFormatting>
  <conditionalFormatting sqref="K367:K370 K372">
    <cfRule type="expression" dxfId="167" priority="199" stopIfTrue="1">
      <formula>$AW367=TRUE</formula>
    </cfRule>
  </conditionalFormatting>
  <conditionalFormatting sqref="K376">
    <cfRule type="expression" dxfId="166" priority="190" stopIfTrue="1">
      <formula>$AX376</formula>
    </cfRule>
  </conditionalFormatting>
  <conditionalFormatting sqref="K389">
    <cfRule type="expression" dxfId="165" priority="186" stopIfTrue="1">
      <formula>$AX389=TRUE</formula>
    </cfRule>
  </conditionalFormatting>
  <conditionalFormatting sqref="K391:K394 K396">
    <cfRule type="expression" dxfId="164" priority="182" stopIfTrue="1">
      <formula>$AW391=TRUE</formula>
    </cfRule>
  </conditionalFormatting>
  <conditionalFormatting sqref="K400">
    <cfRule type="expression" dxfId="163" priority="173" stopIfTrue="1">
      <formula>$AX400</formula>
    </cfRule>
  </conditionalFormatting>
  <conditionalFormatting sqref="K413">
    <cfRule type="expression" dxfId="162" priority="169" stopIfTrue="1">
      <formula>$AX413=TRUE</formula>
    </cfRule>
  </conditionalFormatting>
  <conditionalFormatting sqref="K415:K418 K420">
    <cfRule type="expression" dxfId="161" priority="165" stopIfTrue="1">
      <formula>$AW415=TRUE</formula>
    </cfRule>
  </conditionalFormatting>
  <conditionalFormatting sqref="K424">
    <cfRule type="expression" dxfId="160" priority="156" stopIfTrue="1">
      <formula>$AX424</formula>
    </cfRule>
  </conditionalFormatting>
  <conditionalFormatting sqref="K437">
    <cfRule type="expression" dxfId="159" priority="152" stopIfTrue="1">
      <formula>$AX437=TRUE</formula>
    </cfRule>
  </conditionalFormatting>
  <conditionalFormatting sqref="K439:K442 K444">
    <cfRule type="expression" dxfId="158" priority="148" stopIfTrue="1">
      <formula>$AW439=TRUE</formula>
    </cfRule>
  </conditionalFormatting>
  <conditionalFormatting sqref="K448">
    <cfRule type="expression" dxfId="157" priority="139" stopIfTrue="1">
      <formula>$AX448</formula>
    </cfRule>
  </conditionalFormatting>
  <conditionalFormatting sqref="K461">
    <cfRule type="expression" dxfId="156" priority="135" stopIfTrue="1">
      <formula>$AX461=TRUE</formula>
    </cfRule>
  </conditionalFormatting>
  <conditionalFormatting sqref="K463:K466 K468">
    <cfRule type="expression" dxfId="155" priority="131" stopIfTrue="1">
      <formula>$AW463=TRUE</formula>
    </cfRule>
  </conditionalFormatting>
  <conditionalFormatting sqref="K472">
    <cfRule type="expression" dxfId="154" priority="122" stopIfTrue="1">
      <formula>$AX472</formula>
    </cfRule>
  </conditionalFormatting>
  <conditionalFormatting sqref="K485">
    <cfRule type="expression" dxfId="153" priority="118" stopIfTrue="1">
      <formula>$AX485=TRUE</formula>
    </cfRule>
  </conditionalFormatting>
  <conditionalFormatting sqref="K487:K490 K492">
    <cfRule type="expression" dxfId="152" priority="114" stopIfTrue="1">
      <formula>$AW487=TRUE</formula>
    </cfRule>
  </conditionalFormatting>
  <conditionalFormatting sqref="K496">
    <cfRule type="expression" dxfId="151" priority="105" stopIfTrue="1">
      <formula>$AX496</formula>
    </cfRule>
  </conditionalFormatting>
  <conditionalFormatting sqref="K509">
    <cfRule type="expression" dxfId="150" priority="101" stopIfTrue="1">
      <formula>$AX509=TRUE</formula>
    </cfRule>
  </conditionalFormatting>
  <conditionalFormatting sqref="K511:K514 K516">
    <cfRule type="expression" dxfId="149" priority="97" stopIfTrue="1">
      <formula>$AW511=TRUE</formula>
    </cfRule>
  </conditionalFormatting>
  <conditionalFormatting sqref="K520">
    <cfRule type="expression" dxfId="148" priority="88" stopIfTrue="1">
      <formula>$AX520</formula>
    </cfRule>
  </conditionalFormatting>
  <conditionalFormatting sqref="K533">
    <cfRule type="expression" dxfId="147" priority="84" stopIfTrue="1">
      <formula>$AX533=TRUE</formula>
    </cfRule>
  </conditionalFormatting>
  <conditionalFormatting sqref="K535:K538 K540">
    <cfRule type="expression" dxfId="146" priority="80" stopIfTrue="1">
      <formula>$AW535=TRUE</formula>
    </cfRule>
  </conditionalFormatting>
  <conditionalFormatting sqref="K544">
    <cfRule type="expression" dxfId="145" priority="71" stopIfTrue="1">
      <formula>$AX544</formula>
    </cfRule>
  </conditionalFormatting>
  <conditionalFormatting sqref="K557">
    <cfRule type="expression" dxfId="144" priority="67" stopIfTrue="1">
      <formula>$AX557=TRUE</formula>
    </cfRule>
  </conditionalFormatting>
  <conditionalFormatting sqref="K559:K562 K564">
    <cfRule type="expression" dxfId="143" priority="63" stopIfTrue="1">
      <formula>$AW559=TRUE</formula>
    </cfRule>
  </conditionalFormatting>
  <conditionalFormatting sqref="K568">
    <cfRule type="expression" dxfId="142" priority="54" stopIfTrue="1">
      <formula>$AX568</formula>
    </cfRule>
  </conditionalFormatting>
  <conditionalFormatting sqref="K581">
    <cfRule type="expression" dxfId="141" priority="50" stopIfTrue="1">
      <formula>$AX581=TRUE</formula>
    </cfRule>
  </conditionalFormatting>
  <conditionalFormatting sqref="K583:K586 K588">
    <cfRule type="expression" dxfId="140" priority="46" stopIfTrue="1">
      <formula>$AW583=TRUE</formula>
    </cfRule>
  </conditionalFormatting>
  <conditionalFormatting sqref="K592">
    <cfRule type="expression" dxfId="139" priority="37" stopIfTrue="1">
      <formula>$AX592</formula>
    </cfRule>
  </conditionalFormatting>
  <conditionalFormatting sqref="K605">
    <cfRule type="expression" dxfId="138" priority="33" stopIfTrue="1">
      <formula>$AX605=TRUE</formula>
    </cfRule>
  </conditionalFormatting>
  <conditionalFormatting sqref="K607:K610 K612">
    <cfRule type="expression" dxfId="137" priority="29" stopIfTrue="1">
      <formula>$AW607=TRUE</formula>
    </cfRule>
  </conditionalFormatting>
  <conditionalFormatting sqref="K616">
    <cfRule type="expression" dxfId="136" priority="20" stopIfTrue="1">
      <formula>$AX616</formula>
    </cfRule>
  </conditionalFormatting>
  <conditionalFormatting sqref="K629">
    <cfRule type="expression" dxfId="135" priority="16" stopIfTrue="1">
      <formula>$AX629=TRUE</formula>
    </cfRule>
  </conditionalFormatting>
  <conditionalFormatting sqref="K631:K634 K636">
    <cfRule type="expression" dxfId="134" priority="12" stopIfTrue="1">
      <formula>$AW631=TRUE</formula>
    </cfRule>
  </conditionalFormatting>
  <conditionalFormatting sqref="K640">
    <cfRule type="expression" dxfId="133" priority="3" stopIfTrue="1">
      <formula>$AX640</formula>
    </cfRule>
  </conditionalFormatting>
  <conditionalFormatting sqref="K57:L58">
    <cfRule type="expression" dxfId="132" priority="1" stopIfTrue="1">
      <formula>$CG57=TRUE</formula>
    </cfRule>
  </conditionalFormatting>
  <conditionalFormatting sqref="K60:L60">
    <cfRule type="expression" dxfId="131" priority="2381" stopIfTrue="1">
      <formula>$CG60=TRUE</formula>
    </cfRule>
  </conditionalFormatting>
  <conditionalFormatting sqref="K79:L82 K84:L84">
    <cfRule type="expression" dxfId="130" priority="402" stopIfTrue="1">
      <formula>$CG79=TRUE</formula>
    </cfRule>
  </conditionalFormatting>
  <conditionalFormatting sqref="K103:L106 K108:L108">
    <cfRule type="expression" dxfId="129" priority="385" stopIfTrue="1">
      <formula>$CG103=TRUE</formula>
    </cfRule>
  </conditionalFormatting>
  <conditionalFormatting sqref="K127:L130 K132:L132">
    <cfRule type="expression" dxfId="128" priority="368" stopIfTrue="1">
      <formula>$CG127=TRUE</formula>
    </cfRule>
  </conditionalFormatting>
  <conditionalFormatting sqref="K151:L154 K156:L156">
    <cfRule type="expression" dxfId="127" priority="351" stopIfTrue="1">
      <formula>$CG151=TRUE</formula>
    </cfRule>
  </conditionalFormatting>
  <conditionalFormatting sqref="K175:L178 K180:L180">
    <cfRule type="expression" dxfId="126" priority="334" stopIfTrue="1">
      <formula>$CG175=TRUE</formula>
    </cfRule>
  </conditionalFormatting>
  <conditionalFormatting sqref="K199:L202 K204:L204">
    <cfRule type="expression" dxfId="125" priority="317" stopIfTrue="1">
      <formula>$CG199=TRUE</formula>
    </cfRule>
  </conditionalFormatting>
  <conditionalFormatting sqref="K223:L226 K228:L228">
    <cfRule type="expression" dxfId="124" priority="300" stopIfTrue="1">
      <formula>$CG223=TRUE</formula>
    </cfRule>
  </conditionalFormatting>
  <conditionalFormatting sqref="K247:L250 K252:L252">
    <cfRule type="expression" dxfId="123" priority="283" stopIfTrue="1">
      <formula>$CG247=TRUE</formula>
    </cfRule>
  </conditionalFormatting>
  <conditionalFormatting sqref="K271:L274 K276:L276">
    <cfRule type="expression" dxfId="122" priority="266" stopIfTrue="1">
      <formula>$CG271=TRUE</formula>
    </cfRule>
  </conditionalFormatting>
  <conditionalFormatting sqref="K295:L298 K300:L300">
    <cfRule type="expression" dxfId="121" priority="249" stopIfTrue="1">
      <formula>$CG295=TRUE</formula>
    </cfRule>
  </conditionalFormatting>
  <conditionalFormatting sqref="K319:L322 K324:L324">
    <cfRule type="expression" dxfId="120" priority="232" stopIfTrue="1">
      <formula>$CG319=TRUE</formula>
    </cfRule>
  </conditionalFormatting>
  <conditionalFormatting sqref="K343:L346 K348:L348">
    <cfRule type="expression" dxfId="119" priority="215" stopIfTrue="1">
      <formula>$CG343=TRUE</formula>
    </cfRule>
  </conditionalFormatting>
  <conditionalFormatting sqref="K367:L370 K372:L372">
    <cfRule type="expression" dxfId="118" priority="198" stopIfTrue="1">
      <formula>$CG367=TRUE</formula>
    </cfRule>
  </conditionalFormatting>
  <conditionalFormatting sqref="K391:L394 K396:L396">
    <cfRule type="expression" dxfId="117" priority="181" stopIfTrue="1">
      <formula>$CG391=TRUE</formula>
    </cfRule>
  </conditionalFormatting>
  <conditionalFormatting sqref="K415:L418 K420:L420">
    <cfRule type="expression" dxfId="116" priority="164" stopIfTrue="1">
      <formula>$CG415=TRUE</formula>
    </cfRule>
  </conditionalFormatting>
  <conditionalFormatting sqref="K439:L442 K444:L444">
    <cfRule type="expression" dxfId="115" priority="147" stopIfTrue="1">
      <formula>$CG439=TRUE</formula>
    </cfRule>
  </conditionalFormatting>
  <conditionalFormatting sqref="K463:L466 K468:L468">
    <cfRule type="expression" dxfId="114" priority="130" stopIfTrue="1">
      <formula>$CG463=TRUE</formula>
    </cfRule>
  </conditionalFormatting>
  <conditionalFormatting sqref="K487:L490 K492:L492">
    <cfRule type="expression" dxfId="113" priority="113" stopIfTrue="1">
      <formula>$CG487=TRUE</formula>
    </cfRule>
  </conditionalFormatting>
  <conditionalFormatting sqref="K511:L514 K516:L516">
    <cfRule type="expression" dxfId="112" priority="96" stopIfTrue="1">
      <formula>$CG511=TRUE</formula>
    </cfRule>
  </conditionalFormatting>
  <conditionalFormatting sqref="K535:L538 K540:L540">
    <cfRule type="expression" dxfId="111" priority="79" stopIfTrue="1">
      <formula>$CG535=TRUE</formula>
    </cfRule>
  </conditionalFormatting>
  <conditionalFormatting sqref="K559:L562 K564:L564">
    <cfRule type="expression" dxfId="110" priority="62" stopIfTrue="1">
      <formula>$CG559=TRUE</formula>
    </cfRule>
  </conditionalFormatting>
  <conditionalFormatting sqref="K583:L586 K588:L588">
    <cfRule type="expression" dxfId="109" priority="45" stopIfTrue="1">
      <formula>$CG583=TRUE</formula>
    </cfRule>
  </conditionalFormatting>
  <conditionalFormatting sqref="K607:L610 K612:L612">
    <cfRule type="expression" dxfId="108" priority="28" stopIfTrue="1">
      <formula>$CG607=TRUE</formula>
    </cfRule>
  </conditionalFormatting>
  <conditionalFormatting sqref="K631:L634 K636:L636">
    <cfRule type="expression" dxfId="107" priority="11" stopIfTrue="1">
      <formula>$CG631=TRUE</formula>
    </cfRule>
  </conditionalFormatting>
  <conditionalFormatting sqref="L60 L55:L58">
    <cfRule type="expression" dxfId="106" priority="2386" stopIfTrue="1">
      <formula>$AX55=TRUE</formula>
    </cfRule>
  </conditionalFormatting>
  <conditionalFormatting sqref="L79:L82 L84">
    <cfRule type="expression" dxfId="105" priority="405" stopIfTrue="1">
      <formula>$AX79=TRUE</formula>
    </cfRule>
  </conditionalFormatting>
  <conditionalFormatting sqref="L103:L106 L108">
    <cfRule type="expression" dxfId="104" priority="388" stopIfTrue="1">
      <formula>$AX103=TRUE</formula>
    </cfRule>
  </conditionalFormatting>
  <conditionalFormatting sqref="L127:L130 L132">
    <cfRule type="expression" dxfId="103" priority="371" stopIfTrue="1">
      <formula>$AX127=TRUE</formula>
    </cfRule>
  </conditionalFormatting>
  <conditionalFormatting sqref="L151:L154 L156">
    <cfRule type="expression" dxfId="102" priority="354" stopIfTrue="1">
      <formula>$AX151=TRUE</formula>
    </cfRule>
  </conditionalFormatting>
  <conditionalFormatting sqref="L175:L178 L180">
    <cfRule type="expression" dxfId="101" priority="337" stopIfTrue="1">
      <formula>$AX175=TRUE</formula>
    </cfRule>
  </conditionalFormatting>
  <conditionalFormatting sqref="L199:L202 L204">
    <cfRule type="expression" dxfId="100" priority="320" stopIfTrue="1">
      <formula>$AX199=TRUE</formula>
    </cfRule>
  </conditionalFormatting>
  <conditionalFormatting sqref="L223:L226 L228">
    <cfRule type="expression" dxfId="99" priority="303" stopIfTrue="1">
      <formula>$AX223=TRUE</formula>
    </cfRule>
  </conditionalFormatting>
  <conditionalFormatting sqref="L247:L250 L252">
    <cfRule type="expression" dxfId="98" priority="286" stopIfTrue="1">
      <formula>$AX247=TRUE</formula>
    </cfRule>
  </conditionalFormatting>
  <conditionalFormatting sqref="L271:L274 L276">
    <cfRule type="expression" dxfId="97" priority="269" stopIfTrue="1">
      <formula>$AX271=TRUE</formula>
    </cfRule>
  </conditionalFormatting>
  <conditionalFormatting sqref="L295:L298 L300">
    <cfRule type="expression" dxfId="96" priority="252" stopIfTrue="1">
      <formula>$AX295=TRUE</formula>
    </cfRule>
  </conditionalFormatting>
  <conditionalFormatting sqref="L319:L322 L324">
    <cfRule type="expression" dxfId="95" priority="235" stopIfTrue="1">
      <formula>$AX319=TRUE</formula>
    </cfRule>
  </conditionalFormatting>
  <conditionalFormatting sqref="L343:L346 L348">
    <cfRule type="expression" dxfId="94" priority="218" stopIfTrue="1">
      <formula>$AX343=TRUE</formula>
    </cfRule>
  </conditionalFormatting>
  <conditionalFormatting sqref="L367:L370 L372">
    <cfRule type="expression" dxfId="93" priority="201" stopIfTrue="1">
      <formula>$AX367=TRUE</formula>
    </cfRule>
  </conditionalFormatting>
  <conditionalFormatting sqref="L391:L394 L396">
    <cfRule type="expression" dxfId="92" priority="184" stopIfTrue="1">
      <formula>$AX391=TRUE</formula>
    </cfRule>
  </conditionalFormatting>
  <conditionalFormatting sqref="L415:L418 L420">
    <cfRule type="expression" dxfId="91" priority="167" stopIfTrue="1">
      <formula>$AX415=TRUE</formula>
    </cfRule>
  </conditionalFormatting>
  <conditionalFormatting sqref="L439:L442 L444">
    <cfRule type="expression" dxfId="90" priority="150" stopIfTrue="1">
      <formula>$AX439=TRUE</formula>
    </cfRule>
  </conditionalFormatting>
  <conditionalFormatting sqref="L463:L466 L468">
    <cfRule type="expression" dxfId="89" priority="133" stopIfTrue="1">
      <formula>$AX463=TRUE</formula>
    </cfRule>
  </conditionalFormatting>
  <conditionalFormatting sqref="L487:L490 L492">
    <cfRule type="expression" dxfId="88" priority="116" stopIfTrue="1">
      <formula>$AX487=TRUE</formula>
    </cfRule>
  </conditionalFormatting>
  <conditionalFormatting sqref="L511:L514 L516">
    <cfRule type="expression" dxfId="87" priority="99" stopIfTrue="1">
      <formula>$AX511=TRUE</formula>
    </cfRule>
  </conditionalFormatting>
  <conditionalFormatting sqref="L535:L538 L540">
    <cfRule type="expression" dxfId="86" priority="82" stopIfTrue="1">
      <formula>$AX535=TRUE</formula>
    </cfRule>
  </conditionalFormatting>
  <conditionalFormatting sqref="L559:L562 L564">
    <cfRule type="expression" dxfId="85" priority="65" stopIfTrue="1">
      <formula>$AX559=TRUE</formula>
    </cfRule>
  </conditionalFormatting>
  <conditionalFormatting sqref="L583:L586 L588">
    <cfRule type="expression" dxfId="84" priority="48" stopIfTrue="1">
      <formula>$AX583=TRUE</formula>
    </cfRule>
  </conditionalFormatting>
  <conditionalFormatting sqref="L607:L610 L612">
    <cfRule type="expression" dxfId="83" priority="31" stopIfTrue="1">
      <formula>$AX607=TRUE</formula>
    </cfRule>
  </conditionalFormatting>
  <conditionalFormatting sqref="L631:L634 L636">
    <cfRule type="expression" dxfId="82" priority="14" stopIfTrue="1">
      <formula>$AX631=TRUE</formula>
    </cfRule>
  </conditionalFormatting>
  <conditionalFormatting sqref="N66">
    <cfRule type="expression" dxfId="81" priority="2395" stopIfTrue="1">
      <formula>$CG62=TRUE</formula>
    </cfRule>
  </conditionalFormatting>
  <conditionalFormatting sqref="N90">
    <cfRule type="expression" dxfId="80" priority="410" stopIfTrue="1">
      <formula>$CG86=TRUE</formula>
    </cfRule>
  </conditionalFormatting>
  <conditionalFormatting sqref="N114">
    <cfRule type="expression" dxfId="79" priority="393" stopIfTrue="1">
      <formula>$CG110=TRUE</formula>
    </cfRule>
  </conditionalFormatting>
  <conditionalFormatting sqref="N138">
    <cfRule type="expression" dxfId="78" priority="376" stopIfTrue="1">
      <formula>$CG134=TRUE</formula>
    </cfRule>
  </conditionalFormatting>
  <conditionalFormatting sqref="N162">
    <cfRule type="expression" dxfId="77" priority="359" stopIfTrue="1">
      <formula>$CG158=TRUE</formula>
    </cfRule>
  </conditionalFormatting>
  <conditionalFormatting sqref="N186">
    <cfRule type="expression" dxfId="76" priority="342" stopIfTrue="1">
      <formula>$CG182=TRUE</formula>
    </cfRule>
  </conditionalFormatting>
  <conditionalFormatting sqref="N210">
    <cfRule type="expression" dxfId="75" priority="325" stopIfTrue="1">
      <formula>$CG206=TRUE</formula>
    </cfRule>
  </conditionalFormatting>
  <conditionalFormatting sqref="N234">
    <cfRule type="expression" dxfId="74" priority="308" stopIfTrue="1">
      <formula>$CG230=TRUE</formula>
    </cfRule>
  </conditionalFormatting>
  <conditionalFormatting sqref="N258">
    <cfRule type="expression" dxfId="73" priority="291" stopIfTrue="1">
      <formula>$CG254=TRUE</formula>
    </cfRule>
  </conditionalFormatting>
  <conditionalFormatting sqref="N282">
    <cfRule type="expression" dxfId="72" priority="274" stopIfTrue="1">
      <formula>$CG278=TRUE</formula>
    </cfRule>
  </conditionalFormatting>
  <conditionalFormatting sqref="N306">
    <cfRule type="expression" dxfId="71" priority="257" stopIfTrue="1">
      <formula>$CG302=TRUE</formula>
    </cfRule>
  </conditionalFormatting>
  <conditionalFormatting sqref="N330">
    <cfRule type="expression" dxfId="70" priority="240" stopIfTrue="1">
      <formula>$CG326=TRUE</formula>
    </cfRule>
  </conditionalFormatting>
  <conditionalFormatting sqref="N354">
    <cfRule type="expression" dxfId="69" priority="223" stopIfTrue="1">
      <formula>$CG350=TRUE</formula>
    </cfRule>
  </conditionalFormatting>
  <conditionalFormatting sqref="N378">
    <cfRule type="expression" dxfId="68" priority="206" stopIfTrue="1">
      <formula>$CG374=TRUE</formula>
    </cfRule>
  </conditionalFormatting>
  <conditionalFormatting sqref="N402">
    <cfRule type="expression" dxfId="67" priority="189" stopIfTrue="1">
      <formula>$CG398=TRUE</formula>
    </cfRule>
  </conditionalFormatting>
  <conditionalFormatting sqref="N426">
    <cfRule type="expression" dxfId="66" priority="172" stopIfTrue="1">
      <formula>$CG422=TRUE</formula>
    </cfRule>
  </conditionalFormatting>
  <conditionalFormatting sqref="N450">
    <cfRule type="expression" dxfId="65" priority="155" stopIfTrue="1">
      <formula>$CG446=TRUE</formula>
    </cfRule>
  </conditionalFormatting>
  <conditionalFormatting sqref="N474">
    <cfRule type="expression" dxfId="64" priority="138" stopIfTrue="1">
      <formula>$CG470=TRUE</formula>
    </cfRule>
  </conditionalFormatting>
  <conditionalFormatting sqref="N498">
    <cfRule type="expression" dxfId="63" priority="121" stopIfTrue="1">
      <formula>$CG494=TRUE</formula>
    </cfRule>
  </conditionalFormatting>
  <conditionalFormatting sqref="N522">
    <cfRule type="expression" dxfId="62" priority="104" stopIfTrue="1">
      <formula>$CG518=TRUE</formula>
    </cfRule>
  </conditionalFormatting>
  <conditionalFormatting sqref="N546">
    <cfRule type="expression" dxfId="61" priority="87" stopIfTrue="1">
      <formula>$CG542=TRUE</formula>
    </cfRule>
  </conditionalFormatting>
  <conditionalFormatting sqref="N570">
    <cfRule type="expression" dxfId="60" priority="70" stopIfTrue="1">
      <formula>$CG566=TRUE</formula>
    </cfRule>
  </conditionalFormatting>
  <conditionalFormatting sqref="N594">
    <cfRule type="expression" dxfId="59" priority="53" stopIfTrue="1">
      <formula>$CG590=TRUE</formula>
    </cfRule>
  </conditionalFormatting>
  <conditionalFormatting sqref="N618">
    <cfRule type="expression" dxfId="58" priority="36" stopIfTrue="1">
      <formula>$CG614=TRUE</formula>
    </cfRule>
  </conditionalFormatting>
  <conditionalFormatting sqref="N642">
    <cfRule type="expression" dxfId="57" priority="19" stopIfTrue="1">
      <formula>$CG638=TRUE</formula>
    </cfRule>
  </conditionalFormatting>
  <dataValidations count="12">
    <dataValidation type="list" allowBlank="1" showInputMessage="1" showErrorMessage="1" sqref="F55 F607 F79 F583 F103 F127 F151 F175 F199 F223 F247 F271 F295 F319 F343 F367 F391 F415 F439 F463 F487 F511 F535 F559 F631" xr:uid="{00000000-0002-0000-0400-000000000000}">
      <formula1>NCVTiers</formula1>
    </dataValidation>
    <dataValidation type="list" allowBlank="1" showInputMessage="1" showErrorMessage="1" sqref="F56 F608 F80 F584 F104 F128 F152 F176 F200 F224 F248 F272 F296 F320 F344 F368 F392 F416 F440 F464 F488 F512 F536 F560 F632" xr:uid="{00000000-0002-0000-0400-000001000000}">
      <formula1>EFTiers</formula1>
    </dataValidation>
    <dataValidation type="list" allowBlank="1" showInputMessage="1" showErrorMessage="1" sqref="F57:F58 F609:F610 F81:F82 F585:F586 F105:F106 F129:F130 F153:F154 F177:F178 F201:F202 F225:F226 F249:F250 F273:F274 F297:F298 F321:F322 F345:F346 F369:F370 F393:F394 F417:F418 F441:F442 F465:F466 F489:F490 F513:F514 F537:F538 F561:F562 F633:F634" xr:uid="{00000000-0002-0000-0400-000002000000}">
      <formula1>BiomassTiers</formula1>
    </dataValidation>
    <dataValidation type="list" allowBlank="1" showInputMessage="1" showErrorMessage="1" sqref="F53 F605 F77 F581 F101 F125 F149 F173 F197 F221 F245 F269 F293 F317 F341 F365 F389 F413 F437 F461 F485 F509 F533 F557 F629" xr:uid="{00000000-0002-0000-0400-000003000000}">
      <formula1>ActivityDataTiers</formula1>
    </dataValidation>
    <dataValidation type="list" allowBlank="1" showInputMessage="1" showErrorMessage="1" sqref="J55 J607 J79 J583 J103 J127 J151 J175 J199 J223 J247 J271 J295 J319 J343 J367 J391 J415 J439 J463 J487 J511 J535 J559 J631" xr:uid="{00000000-0002-0000-0400-000004000000}">
      <formula1>UCFUnits</formula1>
    </dataValidation>
    <dataValidation type="list" allowBlank="1" showInputMessage="1" showErrorMessage="1" sqref="J56 J608 J80 J584 J104 J128 J152 J176 J200 J224 J248 J272 J296 J320 J344 J368 J392 J416 J440 J464 J488 J512 J536 J560 J632" xr:uid="{00000000-0002-0000-0400-000005000000}">
      <formula1>EFUnits</formula1>
    </dataValidation>
    <dataValidation type="list" allowBlank="1" showInputMessage="1" showErrorMessage="1" sqref="F60 F612 F84 F588 F108 F132 F156 F180 F204 F228 F252 F276 F300 F324 F348 F372 F396 F420 F444 F468 F492 F516 F540 F564 F636" xr:uid="{00000000-0002-0000-0400-000006000000}">
      <formula1>ScopeTiers</formula1>
    </dataValidation>
    <dataValidation type="list" allowBlank="1" showInputMessage="1" showErrorMessage="1" sqref="J53 J605 J77 J581 J101 J125 J149 J173 J197 J221 J245 J269 J293 J317 J341 J365 J389 J413 J437 J461 J485 J509 J533 J557 J629" xr:uid="{00000000-0002-0000-0400-000007000000}">
      <formula1>RFAUnits</formula1>
    </dataValidation>
    <dataValidation type="decimal" allowBlank="1" showInputMessage="1" showErrorMessage="1" sqref="L57:L58 L60 L609:L610 L612 L81:L82 L84 L585:L586 L588 L105:L106 L108 L129:L130 L132 L153:L154 L156 L177:L178 L180 L201:L202 L204 L225:L226 L228 L249:L250 L252 L273:L274 L276 L297:L298 L300 L321:L322 L324 L345:L346 L348 L369:L370 L372 L393:L394 L396 L417:L418 L420 L441:L442 L444 L465:L466 L468 L489:L490 L492 L513:L514 L516 L537:L538 L540 L561:L562 L564 L633:L634 L636" xr:uid="{00000000-0002-0000-0400-000008000000}">
      <formula1>0</formula1>
      <formula2>1</formula2>
    </dataValidation>
    <dataValidation type="list" allowBlank="1" showInputMessage="1" showErrorMessage="1" sqref="E47:J47 E503:J503 E455:J455 E479:J479 E359:J359 E311:J311 E335:J335 E215:J215 E167:J167 E191:J191 E551:J551 E599:J599 E71:J71 E143:J143 E95:J95 E119:J119 E287:J287 E239:J239 E263:J263 E431:J431 E383:J383 E407:J407 E575:J575 E527:J527 E623:J623" xr:uid="{00000000-0002-0000-0400-000009000000}">
      <formula1>INDIRECT($M$652)</formula1>
    </dataValidation>
    <dataValidation type="list" allowBlank="1" showInputMessage="1" showErrorMessage="1" sqref="G60 G612 G84 G588 G108 G132 G156 G180 G204 G228 G252 G276 G300 G324 G348 G372 G396 G420 G444 G468 G492 G516 G540 G564 G636" xr:uid="{00000000-0002-0000-0400-00000A000000}">
      <formula1>INDIRECT(U60)</formula1>
    </dataValidation>
    <dataValidation type="list" allowBlank="1" showInputMessage="1" showErrorMessage="1" sqref="I568:L568 I64:L64 I616:L616 I88:L88 I592:L592 I112:L112 I136:L136 I160:L160 I184:L184 I208:L208 I232:L232 I256:L256 I280:L280 I304:L304 I328:L328 I352:L352 I376:L376 I400:L400 I424:L424 I448:L448 I472:L472 I496:L496 I520:L520 I544:L544 G64 G616 G88 G592 G112 G136 G160 G184 G208 G232 G256 G280 G304 G328 G352 G376 G400 G424 G448 G472 G496 G520 G544 G568 I640:L640 G640" xr:uid="{00000000-0002-0000-0400-00000B000000}">
      <formula1>EUconst_ListCRF</formula1>
    </dataValidation>
  </dataValidations>
  <hyperlinks>
    <hyperlink ref="G2:H2" location="JUMP_a_Content" display="Table of contents" xr:uid="{00000000-0004-0000-0400-000000000000}"/>
  </hyperlinks>
  <pageMargins left="0.78740157480314965" right="0.78740157480314965" top="0.78740157480314965" bottom="0.78740157480314965" header="0.39370078740157483" footer="0.39370078740157483"/>
  <pageSetup paperSize="9" scale="62" fitToHeight="20" orientation="portrait" r:id="rId1"/>
  <headerFooter alignWithMargins="0">
    <oddHeader>&amp;L&amp;F, &amp;A&amp;R&amp;D, &amp;T</oddHeader>
    <oddFooter>&amp;C&amp;P /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3">
    <tabColor indexed="13"/>
    <pageSetUpPr fitToPage="1"/>
  </sheetPr>
  <dimension ref="A1:Z148"/>
  <sheetViews>
    <sheetView topLeftCell="B1" zoomScaleNormal="100" workbookViewId="0">
      <pane ySplit="4" topLeftCell="A5" activePane="bottomLeft" state="frozen"/>
      <selection activeCell="B2" sqref="B2"/>
      <selection pane="bottomLeft" activeCell="J71" sqref="J71"/>
    </sheetView>
  </sheetViews>
  <sheetFormatPr defaultColWidth="9.1796875" defaultRowHeight="12.5" x14ac:dyDescent="0.25"/>
  <cols>
    <col min="1" max="1" width="2.7265625" style="254" hidden="1" customWidth="1"/>
    <col min="2" max="2" width="2.7265625" style="4" customWidth="1"/>
    <col min="3" max="3" width="4.7265625" style="4" customWidth="1"/>
    <col min="4" max="4" width="9.81640625" style="4" customWidth="1"/>
    <col min="5" max="5" width="23.81640625" style="43" customWidth="1"/>
    <col min="6" max="6" width="36.1796875" style="4" customWidth="1"/>
    <col min="7" max="10" width="12.7265625" style="4" customWidth="1"/>
    <col min="11" max="11" width="18.1796875" style="4" customWidth="1"/>
    <col min="12" max="12" width="23.453125" style="4" customWidth="1"/>
    <col min="13" max="13" width="21.54296875" style="4" customWidth="1"/>
    <col min="14" max="14" width="12.7265625" style="4" customWidth="1"/>
    <col min="15" max="15" width="2.7265625" style="298" customWidth="1"/>
    <col min="16" max="16" width="11.453125" style="134" customWidth="1"/>
    <col min="17" max="24" width="11.453125" style="254" hidden="1" customWidth="1"/>
    <col min="25" max="26" width="9.1796875" style="4" customWidth="1"/>
    <col min="27" max="16384" width="9.1796875" style="4"/>
  </cols>
  <sheetData>
    <row r="1" spans="1:24" ht="13" hidden="1" thickBot="1" x14ac:dyDescent="0.3">
      <c r="A1" s="232" t="s">
        <v>0</v>
      </c>
      <c r="B1" s="37"/>
      <c r="C1" s="37"/>
      <c r="D1" s="40"/>
      <c r="E1" s="37"/>
      <c r="F1" s="37"/>
      <c r="G1" s="37"/>
      <c r="H1" s="37"/>
      <c r="I1" s="37"/>
      <c r="J1" s="37"/>
      <c r="K1" s="37"/>
      <c r="L1" s="37"/>
      <c r="M1" s="37"/>
      <c r="N1" s="37"/>
      <c r="O1" s="292"/>
      <c r="P1" s="4"/>
      <c r="Q1" s="232" t="s">
        <v>0</v>
      </c>
      <c r="R1" s="232" t="s">
        <v>0</v>
      </c>
      <c r="S1" s="232" t="s">
        <v>0</v>
      </c>
      <c r="T1" s="232" t="s">
        <v>0</v>
      </c>
      <c r="U1" s="232" t="s">
        <v>0</v>
      </c>
      <c r="V1" s="232" t="s">
        <v>0</v>
      </c>
      <c r="W1" s="232" t="s">
        <v>0</v>
      </c>
      <c r="X1" s="232" t="s">
        <v>0</v>
      </c>
    </row>
    <row r="2" spans="1:24" ht="13.5" customHeight="1" thickBot="1" x14ac:dyDescent="0.35">
      <c r="A2" s="232"/>
      <c r="B2" s="859" t="str">
        <f>Translations!$B$403</f>
        <v xml:space="preserve">D. ETS1-päästökaupan toiminnoissa käytetyt polttoaineet </v>
      </c>
      <c r="C2" s="860"/>
      <c r="D2" s="861"/>
      <c r="E2" s="873" t="str">
        <f>Translations!$B$13</f>
        <v>Navigointialue:</v>
      </c>
      <c r="F2" s="874"/>
      <c r="G2" s="938" t="str">
        <f>Translations!$B$14</f>
        <v>Sisällysluettelo</v>
      </c>
      <c r="H2" s="939"/>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O2" s="292"/>
      <c r="P2" s="4"/>
      <c r="Q2" s="245" t="s">
        <v>1</v>
      </c>
      <c r="R2" s="246" t="str">
        <f>ADDRESS(ROW($B$6),COLUMN($B$6)) &amp; ":" &amp; ADDRESS(MATCH("PRINT",$P:$P,0),COLUMN($P$6))</f>
        <v>$B$6:$P$118</v>
      </c>
      <c r="S2" s="245" t="s">
        <v>2</v>
      </c>
      <c r="T2" s="247" t="str">
        <f ca="1">IF(ISERROR(CELL("filename",U2)),"F_ManagementControl",MID(CELL("filename",U2),FIND("]",CELL("filename",U2))+1,1024))</f>
        <v>D_Kaksoislaskennan välttäminen</v>
      </c>
    </row>
    <row r="3" spans="1:24" ht="12.75" customHeight="1" x14ac:dyDescent="0.25">
      <c r="A3" s="232"/>
      <c r="B3" s="862"/>
      <c r="C3" s="863"/>
      <c r="D3" s="864"/>
      <c r="E3" s="858"/>
      <c r="F3" s="858"/>
      <c r="G3" s="858" t="str">
        <f>IFERROR(HYPERLINK("#"&amp;ADDRESS(ROW($A$1)+MATCH(Q3,$A:$A,0)-1,3),INDEX($Q:$Q,MATCH(Q3,$A:$A,0))),"")</f>
        <v/>
      </c>
      <c r="H3" s="858"/>
      <c r="I3" s="858" t="str">
        <f>IFERROR(HYPERLINK("#"&amp;ADDRESS(ROW($A$1)+MATCH(S3,$A:$A,0)-1,3),INDEX($Q:$Q,MATCH(S3,$A:$A,0))),"")</f>
        <v/>
      </c>
      <c r="J3" s="858"/>
      <c r="K3" s="858" t="str">
        <f>IFERROR(HYPERLINK("#"&amp;ADDRESS(ROW($A$1)+MATCH(U3,$A:$A,0)-1,3),INDEX($Q:$Q,MATCH(U3,$A:$A,0))),"")</f>
        <v/>
      </c>
      <c r="L3" s="858"/>
      <c r="M3" s="858" t="str">
        <f>IFERROR(HYPERLINK("#"&amp;ADDRESS(ROW($A$1)+MATCH(W3,$A:$A,0)-1,3),INDEX($Q:$Q,MATCH(W3,$A:$A,0))),"")</f>
        <v/>
      </c>
      <c r="N3" s="858"/>
      <c r="O3" s="292"/>
      <c r="P3" s="4"/>
      <c r="Q3" s="260">
        <v>1</v>
      </c>
      <c r="R3" s="261"/>
      <c r="S3" s="261">
        <v>2</v>
      </c>
      <c r="T3" s="261"/>
      <c r="U3" s="261">
        <v>3</v>
      </c>
      <c r="V3" s="261"/>
      <c r="W3" s="262">
        <v>4</v>
      </c>
    </row>
    <row r="4" spans="1:24" ht="46" customHeight="1" thickBot="1" x14ac:dyDescent="0.3">
      <c r="A4" s="232"/>
      <c r="B4" s="865"/>
      <c r="C4" s="866"/>
      <c r="D4" s="867"/>
      <c r="E4" s="858"/>
      <c r="F4" s="858"/>
      <c r="G4" s="858" t="str">
        <f>IFERROR(HYPERLINK("#"&amp;ADDRESS(ROW($A$1)+MATCH(Q4,$A:$A,0)-1,3),INDEX($Q:$Q,MATCH(Q4,$A:$A,0))),"")</f>
        <v/>
      </c>
      <c r="H4" s="858"/>
      <c r="I4" s="858" t="str">
        <f>IFERROR(HYPERLINK("#"&amp;ADDRESS(ROW($A$1)+MATCH(S4,$A:$A,0)-1,3),INDEX($Q:$Q,MATCH(S4,$A:$A,0))),"")</f>
        <v/>
      </c>
      <c r="J4" s="858"/>
      <c r="K4" s="858" t="str">
        <f>IFERROR(HYPERLINK("#"&amp;ADDRESS(ROW($A$1)+MATCH(U4,$A:$A,0)-1,3),INDEX($Q:$Q,MATCH(U4,$A:$A,0))),"")</f>
        <v/>
      </c>
      <c r="L4" s="858"/>
      <c r="M4" s="858" t="str">
        <f>IFERROR(HYPERLINK("#"&amp;ADDRESS(ROW($A$1)+MATCH(W4,$A:$A,0)-1,3),INDEX($Q:$Q,MATCH(W4,$A:$A,0))),"")</f>
        <v/>
      </c>
      <c r="N4" s="858"/>
      <c r="O4" s="292"/>
      <c r="P4" s="4"/>
      <c r="Q4" s="263">
        <v>5</v>
      </c>
      <c r="R4" s="264"/>
      <c r="S4" s="264">
        <v>6</v>
      </c>
      <c r="T4" s="264"/>
      <c r="U4" s="264">
        <v>7</v>
      </c>
      <c r="V4" s="264"/>
      <c r="W4" s="265">
        <v>8</v>
      </c>
    </row>
    <row r="5" spans="1:24" ht="12.75" customHeight="1" x14ac:dyDescent="0.25">
      <c r="C5" s="5"/>
      <c r="D5" s="6"/>
      <c r="E5" s="4"/>
      <c r="F5" s="6"/>
      <c r="G5" s="6"/>
      <c r="H5" s="6"/>
      <c r="L5" s="3"/>
      <c r="M5" s="3"/>
      <c r="N5" s="3"/>
      <c r="O5" s="292"/>
      <c r="P5" s="4"/>
    </row>
    <row r="6" spans="1:24" s="99" customFormat="1" ht="82.5" customHeight="1" x14ac:dyDescent="0.25">
      <c r="A6" s="277"/>
      <c r="B6" s="21"/>
      <c r="C6" s="1192" t="str">
        <f>Translations!$B$404</f>
        <v>Yleisen, ETS1-päästökaupan soveltamisalassa käytettyjen polttoaineiden päästöjä ei tulisi raportoida ETS2-päästökauppaan säännellyn yhteisön päästöselvityksellä, jotta vältytään päästöjen kaksoislaskennalta. Säänneltyjen yhteisöjen tulee osana päästöselvitystä raportoida tietoja kulutukseen luovuttamistaan polttoaineista, joiden loppukäyttö tapahtuu yleisen, ETS1-päästökaupan soveltamisalaan kuuluvissa toiminnoissa. 
Vuonna 2024 raportoitavien tietojen pohjalta pyritään luomaan menettely, jonka avulla ETS2-päästökaupan säännellyt yhteisöt pystyvät tulevina raportointivuosina määrittämään täsmällisemmin ETS1-päästökaupan soveltamisalassa käytetyn polttoaineen ja varmistamaan, ettei sitä koskevia tietoja raportoida ETS2-päästökauppaa koskevalla päästöselvityksellä. 
Kaksoislaskennan välttämistä koskevasta menettelystä säädetään tarkkailuasetuksen artiklassa 75v. 
Lisätietoja ETS1-päästökaupan soveltamisalasta: https://energiavirasto.fi/paastoluvat</v>
      </c>
      <c r="D6" s="1192"/>
      <c r="E6" s="1192"/>
      <c r="F6" s="1192"/>
      <c r="G6" s="1192"/>
      <c r="H6" s="1192"/>
      <c r="I6" s="1192"/>
      <c r="J6" s="1192"/>
      <c r="K6" s="1192"/>
      <c r="L6" s="1192"/>
      <c r="M6" s="1192"/>
      <c r="N6" s="1192"/>
      <c r="O6" s="288"/>
      <c r="P6" s="21"/>
      <c r="Q6" s="254"/>
      <c r="R6" s="254"/>
      <c r="S6" s="254"/>
      <c r="T6" s="254"/>
      <c r="U6" s="254"/>
      <c r="V6" s="698"/>
      <c r="W6" s="698"/>
      <c r="X6" s="698"/>
    </row>
    <row r="7" spans="1:24" ht="5.5" customHeight="1" x14ac:dyDescent="0.25">
      <c r="B7" s="3"/>
      <c r="C7" s="3"/>
      <c r="D7" s="3"/>
      <c r="E7" s="616"/>
      <c r="F7" s="3"/>
      <c r="G7" s="3"/>
      <c r="H7" s="3"/>
      <c r="I7" s="3"/>
      <c r="J7" s="3"/>
      <c r="K7" s="3"/>
      <c r="L7" s="3"/>
      <c r="M7" s="3"/>
      <c r="N7" s="3"/>
      <c r="O7" s="292"/>
      <c r="P7" s="4"/>
    </row>
    <row r="8" spans="1:24" s="21" customFormat="1" ht="18.75" customHeight="1" x14ac:dyDescent="0.25">
      <c r="A8" s="161">
        <f>C8</f>
        <v>0</v>
      </c>
      <c r="B8" s="22"/>
      <c r="C8" s="24"/>
      <c r="D8" s="983" t="str">
        <f>Translations!$B$405</f>
        <v xml:space="preserve">ETS1-päästökaupan toiminnoissa käytetyt polttoaineet </v>
      </c>
      <c r="E8" s="983"/>
      <c r="F8" s="983"/>
      <c r="G8" s="983"/>
      <c r="H8" s="983"/>
      <c r="I8" s="983"/>
      <c r="J8" s="983"/>
      <c r="K8" s="983"/>
      <c r="L8" s="983"/>
      <c r="M8" s="983"/>
      <c r="N8" s="983"/>
      <c r="O8" s="292"/>
      <c r="P8" s="4"/>
      <c r="Q8" s="33" t="str">
        <f>Translations!$B$406</f>
        <v>ETS1-määrät</v>
      </c>
      <c r="R8" s="254"/>
      <c r="S8" s="254"/>
      <c r="T8" s="254"/>
      <c r="U8" s="254"/>
      <c r="V8" s="277"/>
      <c r="W8" s="277"/>
      <c r="X8" s="277"/>
    </row>
    <row r="9" spans="1:24" ht="4" customHeight="1" x14ac:dyDescent="0.25">
      <c r="B9" s="3"/>
      <c r="C9" s="3"/>
      <c r="D9" s="3"/>
      <c r="E9" s="61"/>
      <c r="F9" s="7"/>
      <c r="G9" s="7"/>
      <c r="H9" s="7"/>
      <c r="I9" s="7"/>
      <c r="J9" s="7"/>
      <c r="K9" s="7"/>
      <c r="L9" s="7"/>
      <c r="M9" s="7"/>
      <c r="N9" s="3"/>
      <c r="O9" s="292"/>
      <c r="P9" s="4"/>
    </row>
    <row r="10" spans="1:24" ht="11.15" customHeight="1" x14ac:dyDescent="0.25">
      <c r="A10" s="31"/>
      <c r="C10" s="43"/>
      <c r="D10" s="19"/>
      <c r="E10" s="972" t="str">
        <f>Translations!$B$407</f>
        <v>Tällä välilehdellä kysytään tietoja kulutukseen luovutetun polttoaineen mahdollisesta loppukäytöstä ETS1-päästökaupan soveltamisalaan kuuluvissa toiminnoissa.</v>
      </c>
      <c r="F10" s="972"/>
      <c r="G10" s="972"/>
      <c r="H10" s="972"/>
      <c r="I10" s="972"/>
      <c r="J10" s="972"/>
      <c r="K10" s="972"/>
      <c r="L10" s="972"/>
      <c r="M10" s="972"/>
      <c r="N10" s="972"/>
      <c r="O10" s="292"/>
      <c r="P10" s="4"/>
      <c r="Q10" s="151"/>
      <c r="R10" s="151"/>
      <c r="S10" s="31"/>
      <c r="T10" s="31"/>
      <c r="U10" s="31"/>
      <c r="V10" s="31"/>
      <c r="W10" s="31"/>
      <c r="X10" s="31"/>
    </row>
    <row r="11" spans="1:24" ht="12.75" customHeight="1" x14ac:dyDescent="0.25">
      <c r="A11" s="31"/>
      <c r="C11" s="43"/>
      <c r="D11" s="19"/>
      <c r="E11" s="655" t="str">
        <f>Translations!$B$408</f>
        <v>a)</v>
      </c>
      <c r="F11" s="972" t="str">
        <f>Translations!$B$409</f>
        <v>Kohdassa yksilöidään ETS1-päästökaupan laitokset ja niiden toiminnanharjoittajat, joille kulutukseen luovutettua polttoainetta on toimitettu.</v>
      </c>
      <c r="G11" s="972"/>
      <c r="H11" s="972"/>
      <c r="I11" s="972"/>
      <c r="J11" s="972"/>
      <c r="K11" s="972"/>
      <c r="L11" s="972"/>
      <c r="M11" s="972"/>
      <c r="N11" s="972"/>
      <c r="O11" s="292"/>
      <c r="P11" s="4"/>
      <c r="Q11" s="151"/>
      <c r="R11" s="151"/>
      <c r="S11" s="31"/>
      <c r="T11" s="31"/>
      <c r="U11" s="31"/>
      <c r="V11" s="31"/>
      <c r="W11" s="31"/>
      <c r="X11" s="31"/>
    </row>
    <row r="12" spans="1:24" ht="12.75" customHeight="1" x14ac:dyDescent="0.25">
      <c r="A12" s="31"/>
      <c r="C12" s="43"/>
      <c r="D12" s="19"/>
      <c r="E12" s="655" t="str">
        <f>Translations!$B$410</f>
        <v>b)</v>
      </c>
      <c r="F12" s="972" t="str">
        <f>Translations!$B$411</f>
        <v>Kohdassa ilmoitetaan ETS1-päästökaupan laitoksille ja niiden toiminnaharjoittajille toimitetut polttoainemäärät, jotka on käytetty ETS1-päästökaupan soveltamisalaan kuuluvissa toiminnoissa.</v>
      </c>
      <c r="G12" s="972"/>
      <c r="H12" s="972"/>
      <c r="I12" s="972"/>
      <c r="J12" s="972"/>
      <c r="K12" s="972"/>
      <c r="L12" s="972"/>
      <c r="M12" s="972"/>
      <c r="N12" s="972"/>
      <c r="O12" s="292"/>
      <c r="P12" s="4"/>
      <c r="Q12" s="151"/>
      <c r="R12" s="151"/>
      <c r="S12" s="31"/>
      <c r="T12" s="31"/>
      <c r="U12" s="31"/>
      <c r="V12" s="31"/>
      <c r="W12" s="31"/>
      <c r="X12" s="31"/>
    </row>
    <row r="13" spans="1:24" ht="28" customHeight="1" x14ac:dyDescent="0.25">
      <c r="A13" s="31"/>
      <c r="C13" s="43"/>
      <c r="D13" s="19"/>
      <c r="E13" s="655" t="str">
        <f>Translations!$B$412</f>
        <v>c)</v>
      </c>
      <c r="F13" s="972" t="str">
        <f>Translations!$B$413</f>
        <v xml:space="preserve">Mikäli tiedossa, kohdassa ilmoitetaan tiedot mahdollisista polttoaineen jakeluketjussa olevista välittäjistä, jotka toimittavat säännellyn yhteisön kulutukseen luovuttaman polttoaineen ETS1-toiminnanharjoittajan laitokselle käytettäväksi ETS1-päästökaupan soveltamisalaan kuuluvissa toiminnoissa. </v>
      </c>
      <c r="G13" s="972"/>
      <c r="H13" s="972"/>
      <c r="I13" s="972"/>
      <c r="J13" s="972"/>
      <c r="K13" s="972"/>
      <c r="L13" s="972"/>
      <c r="M13" s="972"/>
      <c r="N13" s="972"/>
      <c r="O13" s="292"/>
      <c r="P13" s="4"/>
      <c r="Q13" s="151"/>
      <c r="R13" s="151"/>
      <c r="S13" s="31"/>
      <c r="T13" s="31"/>
      <c r="U13" s="31"/>
      <c r="V13" s="31"/>
      <c r="W13" s="31"/>
      <c r="X13" s="31"/>
    </row>
    <row r="14" spans="1:24" ht="1.5" customHeight="1" x14ac:dyDescent="0.25">
      <c r="A14" s="31"/>
      <c r="C14" s="43"/>
      <c r="D14" s="19"/>
      <c r="E14" s="34"/>
      <c r="F14" s="34"/>
      <c r="G14" s="34"/>
      <c r="H14" s="34"/>
      <c r="I14" s="34"/>
      <c r="J14" s="34"/>
      <c r="K14" s="34"/>
      <c r="L14" s="34"/>
      <c r="M14" s="34"/>
      <c r="N14" s="34"/>
      <c r="O14" s="292"/>
      <c r="P14" s="4"/>
      <c r="Q14" s="151"/>
      <c r="R14" s="151"/>
      <c r="S14" s="31"/>
      <c r="T14" s="31"/>
      <c r="U14" s="31"/>
      <c r="V14" s="31"/>
      <c r="W14" s="31"/>
      <c r="X14" s="31"/>
    </row>
    <row r="15" spans="1:24" ht="12.75" customHeight="1" x14ac:dyDescent="0.25">
      <c r="B15" s="3"/>
      <c r="C15" s="3"/>
      <c r="D15" s="3"/>
      <c r="E15" s="1177" t="str">
        <f>Translations!$B$355</f>
        <v>Käsitteet ja ohjeet:</v>
      </c>
      <c r="F15" s="1177"/>
      <c r="G15" s="1177"/>
      <c r="H15" s="1177"/>
      <c r="I15" s="1177"/>
      <c r="J15" s="1177"/>
      <c r="K15" s="1177"/>
      <c r="L15" s="1177"/>
      <c r="M15" s="1177"/>
      <c r="N15" s="1177"/>
      <c r="O15" s="292"/>
      <c r="P15" s="4"/>
    </row>
    <row r="16" spans="1:24" ht="13.5" customHeight="1" x14ac:dyDescent="0.25">
      <c r="B16" s="3"/>
      <c r="C16" s="3"/>
      <c r="D16" s="3"/>
      <c r="E16" s="244" t="str">
        <f>Translations!$B$53</f>
        <v>ETS1-toiminnaharjoittaja</v>
      </c>
      <c r="F16" s="1152" t="str">
        <f>Translations!$B$414</f>
        <v>Yleisen ETS1-päästökaupan soveltamisalaan kuuluva yritys</v>
      </c>
      <c r="G16" s="1152"/>
      <c r="H16" s="1152"/>
      <c r="I16" s="1152"/>
      <c r="J16" s="1152"/>
      <c r="K16" s="1152"/>
      <c r="L16" s="1152"/>
      <c r="M16" s="1152"/>
      <c r="N16" s="1152"/>
      <c r="O16" s="292"/>
      <c r="P16" s="4"/>
      <c r="Q16" s="232"/>
    </row>
    <row r="17" spans="2:18" ht="22" customHeight="1" x14ac:dyDescent="0.25">
      <c r="B17" s="3"/>
      <c r="C17" s="3"/>
      <c r="D17" s="3"/>
      <c r="E17" s="244" t="str">
        <f>Translations!$B$415</f>
        <v>ETS1-laitoksen päästöluvan numero</v>
      </c>
      <c r="F17" s="1152" t="str">
        <f>Translations!$B$416</f>
        <v>Toiminnanharjoittajan laitoksen päästöluvan numero. Tietoja ETS1-päästökaupan toiminnanharjoittajista ja laitoksia voi etsiä osoitteessa: https://ec.europa.eu/clima/ets/oha.do?languageCode=en</v>
      </c>
      <c r="G17" s="1152"/>
      <c r="H17" s="1152"/>
      <c r="I17" s="1152"/>
      <c r="J17" s="1152"/>
      <c r="K17" s="1152"/>
      <c r="L17" s="1152"/>
      <c r="M17" s="1152"/>
      <c r="N17" s="1152"/>
      <c r="O17" s="292"/>
      <c r="P17" s="4"/>
    </row>
    <row r="18" spans="2:18" ht="1" customHeight="1" x14ac:dyDescent="0.25">
      <c r="B18" s="3"/>
      <c r="C18" s="3"/>
      <c r="D18" s="3"/>
      <c r="E18" s="165"/>
      <c r="F18" s="1168"/>
      <c r="G18" s="1151"/>
      <c r="H18" s="1151"/>
      <c r="I18" s="1151"/>
      <c r="J18" s="1151"/>
      <c r="K18" s="1151"/>
      <c r="L18" s="1151"/>
      <c r="M18" s="1151"/>
      <c r="N18" s="1151"/>
      <c r="O18" s="292"/>
      <c r="P18" s="4"/>
      <c r="Q18" s="637"/>
    </row>
    <row r="19" spans="2:18" ht="20.149999999999999" customHeight="1" x14ac:dyDescent="0.25">
      <c r="B19" s="3"/>
      <c r="C19" s="3"/>
      <c r="D19" s="3"/>
      <c r="E19" s="166" t="str">
        <f>Translations!$B$418</f>
        <v>Toiminnanharjoittajan ETS1-laitoksen nimi</v>
      </c>
      <c r="F19" s="1156" t="str">
        <f>Translations!$B$419</f>
        <v>Laitoksen nimi, jolle polttoainetta toimitettu. Tietoja ETS1-päästökaupan toiminnanharjoittajista ja laitoksia voi etsiä osoitteessa: https://ec.europa.eu/clima/ets/oha.do?languageCode=en</v>
      </c>
      <c r="G19" s="1156"/>
      <c r="H19" s="1156"/>
      <c r="I19" s="1156"/>
      <c r="J19" s="1156"/>
      <c r="K19" s="1156"/>
      <c r="L19" s="1156"/>
      <c r="M19" s="1156"/>
      <c r="N19" s="1156"/>
      <c r="O19" s="292"/>
      <c r="P19" s="4"/>
      <c r="Q19" s="637"/>
    </row>
    <row r="20" spans="2:18" ht="12.75" customHeight="1" x14ac:dyDescent="0.25">
      <c r="B20" s="3"/>
      <c r="C20" s="3"/>
      <c r="D20" s="3"/>
      <c r="E20" s="166" t="str">
        <f>Translations!$B$420</f>
        <v>Polttoainevirta</v>
      </c>
      <c r="F20" s="1156" t="str">
        <f>Translations!$B$421</f>
        <v>Välilehdellä C ilmoitetut polttoainemäärät kopioituvat alasvetovalikkoon automaattisesti.</v>
      </c>
      <c r="G20" s="1156"/>
      <c r="H20" s="1156"/>
      <c r="I20" s="1156"/>
      <c r="J20" s="1156"/>
      <c r="K20" s="1156"/>
      <c r="L20" s="1156"/>
      <c r="M20" s="1156"/>
      <c r="N20" s="1156"/>
      <c r="O20" s="292"/>
      <c r="P20" s="4"/>
    </row>
    <row r="21" spans="2:18" ht="20" customHeight="1" x14ac:dyDescent="0.25">
      <c r="B21" s="3"/>
      <c r="C21" s="3"/>
      <c r="D21" s="3"/>
      <c r="E21" s="166" t="str">
        <f>Translations!$B$422</f>
        <v xml:space="preserve">Toimitetun polttoaineen määrä </v>
      </c>
      <c r="F21" s="1156" t="str">
        <f>Translations!$B$423</f>
        <v>ETS1-toiminnanharjoittajan laitokselle raportointikaudella toimitetun polttoaineen määrä.</v>
      </c>
      <c r="G21" s="1156"/>
      <c r="H21" s="1156"/>
      <c r="I21" s="1156"/>
      <c r="J21" s="1156"/>
      <c r="K21" s="1156"/>
      <c r="L21" s="1156"/>
      <c r="M21" s="1156"/>
      <c r="N21" s="1156"/>
      <c r="O21" s="292"/>
      <c r="P21" s="4"/>
    </row>
    <row r="22" spans="2:18" ht="14.15" customHeight="1" x14ac:dyDescent="0.25">
      <c r="B22" s="3"/>
      <c r="C22" s="3"/>
      <c r="D22" s="3"/>
      <c r="E22" s="166" t="str">
        <f>Translations!$B$424</f>
        <v>Käytetyn polttoaineen määrä</v>
      </c>
      <c r="F22" s="1156" t="str">
        <f>Translations!$B$425</f>
        <v xml:space="preserve">Polttoainemäärä, jonka ETS1-toiminnanharjoittaja on raportointikaudella käyttänyt laitoksella yleisen päästökaupan soveltamisalaan kuuluvissa toiminnoissa. Mikäli tiedossa. </v>
      </c>
      <c r="G22" s="1156"/>
      <c r="H22" s="1156"/>
      <c r="I22" s="1156"/>
      <c r="J22" s="1156"/>
      <c r="K22" s="1156"/>
      <c r="L22" s="1156"/>
      <c r="M22" s="1156"/>
      <c r="N22" s="1156"/>
      <c r="O22" s="292"/>
      <c r="P22" s="4"/>
    </row>
    <row r="23" spans="2:18" ht="14.15" customHeight="1" x14ac:dyDescent="0.25">
      <c r="B23" s="3"/>
      <c r="C23" s="3"/>
      <c r="D23" s="3"/>
      <c r="E23" s="166" t="str">
        <f>Translations!$B$426</f>
        <v>ETS1-polttoainevirta</v>
      </c>
      <c r="F23" s="1156" t="str">
        <f>Translations!$B$427</f>
        <v xml:space="preserve">Polttoainevirta, jonka soveltamisalakerroin on 0 koska polttoaineen loppukäyttö tapahtuu yksinomaa yleisen päästökaupan soveltamisalaan kuuluvissa toiminnoissa. Tiedot kopioituvat tarvittaessa automaattisesti C-välilehdeltä.  
</v>
      </c>
      <c r="G23" s="1156"/>
      <c r="H23" s="1156"/>
      <c r="I23" s="1156"/>
      <c r="J23" s="1156"/>
      <c r="K23" s="1156"/>
      <c r="L23" s="1156"/>
      <c r="M23" s="1156"/>
      <c r="N23" s="1156"/>
      <c r="O23" s="292"/>
      <c r="P23" s="4"/>
    </row>
    <row r="24" spans="2:18" ht="12.75" customHeight="1" x14ac:dyDescent="0.25">
      <c r="B24" s="3"/>
      <c r="C24" s="3"/>
      <c r="D24" s="3"/>
      <c r="E24" s="61"/>
      <c r="F24" s="7"/>
      <c r="G24" s="7"/>
      <c r="H24" s="7"/>
      <c r="I24" s="7"/>
      <c r="J24" s="7"/>
      <c r="K24" s="7"/>
      <c r="L24" s="7"/>
      <c r="M24" s="7"/>
      <c r="N24" s="3"/>
      <c r="O24" s="292"/>
      <c r="P24" s="4"/>
    </row>
    <row r="25" spans="2:18" ht="12.75" customHeight="1" x14ac:dyDescent="0.25">
      <c r="B25" s="3"/>
      <c r="C25" s="3"/>
      <c r="D25" s="8" t="s">
        <v>5</v>
      </c>
      <c r="E25" s="1033" t="str">
        <f>Translations!$B$428</f>
        <v>ETS1-toiminnanharjoittajat ja laitokset, joille polttoainetta toimitettu</v>
      </c>
      <c r="F25" s="1033"/>
      <c r="G25" s="1033"/>
      <c r="H25" s="1033"/>
      <c r="I25" s="1033"/>
      <c r="J25" s="1033"/>
      <c r="K25" s="1033"/>
      <c r="L25" s="1033"/>
      <c r="M25" s="1033"/>
      <c r="N25" s="1033"/>
      <c r="O25" s="292"/>
      <c r="P25" s="4"/>
    </row>
    <row r="26" spans="2:18" ht="12.75" customHeight="1" x14ac:dyDescent="0.25">
      <c r="B26" s="3"/>
      <c r="C26" s="3"/>
      <c r="D26" s="3"/>
      <c r="E26" s="1066" t="str">
        <f>Translations!$B$429</f>
        <v>Kahdella ensimmäisellä rivillä on esimerkkejä siitä, miten tämä osa täytetään.</v>
      </c>
      <c r="F26" s="1067"/>
      <c r="G26" s="1067"/>
      <c r="H26" s="1067"/>
      <c r="I26" s="1067"/>
      <c r="J26" s="1067"/>
      <c r="K26" s="1067"/>
      <c r="L26" s="1067"/>
      <c r="M26" s="1067"/>
      <c r="N26" s="1067"/>
      <c r="O26" s="292"/>
      <c r="P26" s="4"/>
    </row>
    <row r="27" spans="2:18" ht="12.75" customHeight="1" x14ac:dyDescent="0.25">
      <c r="B27" s="3"/>
      <c r="D27" s="16"/>
      <c r="E27" s="813" t="str">
        <f>Translations!$B$53</f>
        <v>ETS1-toiminnaharjoittaja</v>
      </c>
      <c r="F27" s="809" t="str">
        <f>Translations!$B$415</f>
        <v>ETS1-laitoksen päästöluvan numero</v>
      </c>
      <c r="G27" s="1173" t="str">
        <f>Translations!$B$430</f>
        <v>Toiminnanharjoittajan ETS1-laitoksen nimi</v>
      </c>
      <c r="H27" s="1173"/>
      <c r="I27" s="1173"/>
      <c r="J27" s="1181" t="str">
        <f>Translations!$B$431</f>
        <v xml:space="preserve">Lisätietoja ETS1-toiminnanharjoittajasta ja laitoksesta </v>
      </c>
      <c r="K27" s="1181"/>
      <c r="L27" s="1181"/>
      <c r="M27" s="1181"/>
      <c r="N27" s="1181"/>
      <c r="O27" s="292"/>
      <c r="P27" s="4"/>
    </row>
    <row r="28" spans="2:18" ht="12.75" customHeight="1" x14ac:dyDescent="0.25">
      <c r="B28" s="3"/>
      <c r="D28" s="653" t="str">
        <f>Translations!$B$432</f>
        <v>Esim. 1</v>
      </c>
      <c r="E28" s="711" t="s">
        <v>141</v>
      </c>
      <c r="F28" s="678">
        <v>12302025</v>
      </c>
      <c r="G28" s="1174" t="str">
        <f>Translations!$B$433</f>
        <v xml:space="preserve">Voimalaitos A </v>
      </c>
      <c r="H28" s="1175"/>
      <c r="I28" s="1176"/>
      <c r="J28" s="1174" t="str">
        <f>Translations!$B$434</f>
        <v xml:space="preserve">Täydennä tähän tarvittaessa muita tietoja toiminnanharjoittajan laitoksen tunnistamiseksi. </v>
      </c>
      <c r="K28" s="1175"/>
      <c r="L28" s="1175"/>
      <c r="M28" s="1175"/>
      <c r="N28" s="1176"/>
      <c r="O28" s="292"/>
      <c r="P28" s="4"/>
    </row>
    <row r="29" spans="2:18" ht="12.75" customHeight="1" thickBot="1" x14ac:dyDescent="0.3">
      <c r="B29" s="3"/>
      <c r="D29" s="653" t="str">
        <f>Translations!$B$435</f>
        <v>Esim. 2</v>
      </c>
      <c r="E29" s="677" t="s">
        <v>142</v>
      </c>
      <c r="F29" s="678">
        <v>45602025</v>
      </c>
      <c r="G29" s="1174" t="str">
        <f>Translations!$B$436</f>
        <v>Paperitehdas Y</v>
      </c>
      <c r="H29" s="1175"/>
      <c r="I29" s="1176"/>
      <c r="J29" s="1185" t="str">
        <f>Translations!$B$437</f>
        <v xml:space="preserve">Täydennä tähän tarvittaessa muita tietoja toiminnanharjoittajan laitoksen tunnistamiseksi. </v>
      </c>
      <c r="K29" s="1186"/>
      <c r="L29" s="1186"/>
      <c r="M29" s="1186"/>
      <c r="N29" s="1187"/>
      <c r="O29" s="292"/>
      <c r="P29" s="4"/>
    </row>
    <row r="30" spans="2:18" ht="12.75" customHeight="1" x14ac:dyDescent="0.25">
      <c r="B30" s="3"/>
      <c r="C30" s="3"/>
      <c r="D30" s="493">
        <v>1</v>
      </c>
      <c r="E30" s="643"/>
      <c r="F30" s="644"/>
      <c r="G30" s="1182"/>
      <c r="H30" s="1183"/>
      <c r="I30" s="1184"/>
      <c r="J30" s="1182"/>
      <c r="K30" s="1183"/>
      <c r="L30" s="1183"/>
      <c r="M30" s="1183"/>
      <c r="N30" s="1184"/>
      <c r="O30" s="292"/>
      <c r="P30" s="4"/>
      <c r="R30" s="583" t="str">
        <f t="shared" ref="R30:R49" si="0">IF(AND(NOT(ISBLANK(E30)),ISNUMBER(F30)),CONCATENATE(INDEX(EUconst_MSlistISOcodes,MATCH(E30,EUconst_MSlist,0)),TEXT(F30,"000000000000000")),EUconst_NA)</f>
        <v>ei sovellettavissa</v>
      </c>
    </row>
    <row r="31" spans="2:18" ht="12.75" customHeight="1" x14ac:dyDescent="0.25">
      <c r="B31" s="3"/>
      <c r="C31" s="3"/>
      <c r="D31" s="493">
        <v>2</v>
      </c>
      <c r="E31" s="643"/>
      <c r="F31" s="644"/>
      <c r="G31" s="1178"/>
      <c r="H31" s="1179"/>
      <c r="I31" s="1180"/>
      <c r="J31" s="1178"/>
      <c r="K31" s="1179"/>
      <c r="L31" s="1179"/>
      <c r="M31" s="1179"/>
      <c r="N31" s="1180"/>
      <c r="O31" s="292"/>
      <c r="P31" s="4"/>
      <c r="R31" s="584" t="str">
        <f t="shared" si="0"/>
        <v>ei sovellettavissa</v>
      </c>
    </row>
    <row r="32" spans="2:18" ht="12.75" customHeight="1" x14ac:dyDescent="0.25">
      <c r="B32" s="3"/>
      <c r="C32" s="3"/>
      <c r="D32" s="493">
        <v>3</v>
      </c>
      <c r="E32" s="643"/>
      <c r="F32" s="644"/>
      <c r="G32" s="1178"/>
      <c r="H32" s="1179"/>
      <c r="I32" s="1180"/>
      <c r="J32" s="1178"/>
      <c r="K32" s="1179"/>
      <c r="L32" s="1179"/>
      <c r="M32" s="1179"/>
      <c r="N32" s="1180"/>
      <c r="O32" s="292"/>
      <c r="P32" s="4"/>
      <c r="R32" s="584" t="str">
        <f t="shared" si="0"/>
        <v>ei sovellettavissa</v>
      </c>
    </row>
    <row r="33" spans="2:18" ht="12.75" customHeight="1" x14ac:dyDescent="0.25">
      <c r="B33" s="3"/>
      <c r="C33" s="3"/>
      <c r="D33" s="493">
        <v>4</v>
      </c>
      <c r="E33" s="643"/>
      <c r="F33" s="644"/>
      <c r="G33" s="1178"/>
      <c r="H33" s="1179"/>
      <c r="I33" s="1180"/>
      <c r="J33" s="1178"/>
      <c r="K33" s="1179"/>
      <c r="L33" s="1179"/>
      <c r="M33" s="1179"/>
      <c r="N33" s="1180"/>
      <c r="O33" s="292"/>
      <c r="P33" s="4"/>
      <c r="R33" s="584" t="str">
        <f t="shared" si="0"/>
        <v>ei sovellettavissa</v>
      </c>
    </row>
    <row r="34" spans="2:18" ht="12.75" customHeight="1" x14ac:dyDescent="0.25">
      <c r="B34" s="3"/>
      <c r="C34" s="3"/>
      <c r="D34" s="493">
        <v>5</v>
      </c>
      <c r="E34" s="643"/>
      <c r="F34" s="644"/>
      <c r="G34" s="1178"/>
      <c r="H34" s="1179"/>
      <c r="I34" s="1180"/>
      <c r="J34" s="1178"/>
      <c r="K34" s="1179"/>
      <c r="L34" s="1179"/>
      <c r="M34" s="1179"/>
      <c r="N34" s="1180"/>
      <c r="O34" s="292"/>
      <c r="P34" s="4"/>
      <c r="R34" s="584" t="str">
        <f t="shared" si="0"/>
        <v>ei sovellettavissa</v>
      </c>
    </row>
    <row r="35" spans="2:18" ht="12.75" customHeight="1" x14ac:dyDescent="0.25">
      <c r="B35" s="3"/>
      <c r="C35" s="3"/>
      <c r="D35" s="493">
        <v>6</v>
      </c>
      <c r="E35" s="643"/>
      <c r="F35" s="644"/>
      <c r="G35" s="1178"/>
      <c r="H35" s="1179"/>
      <c r="I35" s="1180"/>
      <c r="J35" s="1178"/>
      <c r="K35" s="1179"/>
      <c r="L35" s="1179"/>
      <c r="M35" s="1179"/>
      <c r="N35" s="1180"/>
      <c r="O35" s="292"/>
      <c r="P35" s="4"/>
      <c r="R35" s="584" t="str">
        <f t="shared" si="0"/>
        <v>ei sovellettavissa</v>
      </c>
    </row>
    <row r="36" spans="2:18" ht="12.75" customHeight="1" x14ac:dyDescent="0.25">
      <c r="B36" s="3"/>
      <c r="C36" s="3"/>
      <c r="D36" s="493">
        <v>7</v>
      </c>
      <c r="E36" s="643"/>
      <c r="F36" s="644"/>
      <c r="G36" s="1178"/>
      <c r="H36" s="1179"/>
      <c r="I36" s="1180"/>
      <c r="J36" s="1178"/>
      <c r="K36" s="1179"/>
      <c r="L36" s="1179"/>
      <c r="M36" s="1179"/>
      <c r="N36" s="1180"/>
      <c r="O36" s="292"/>
      <c r="P36" s="4"/>
      <c r="R36" s="584" t="str">
        <f t="shared" si="0"/>
        <v>ei sovellettavissa</v>
      </c>
    </row>
    <row r="37" spans="2:18" ht="12.75" customHeight="1" x14ac:dyDescent="0.25">
      <c r="B37" s="3"/>
      <c r="C37" s="3"/>
      <c r="D37" s="493">
        <v>8</v>
      </c>
      <c r="E37" s="643"/>
      <c r="F37" s="644"/>
      <c r="G37" s="1178"/>
      <c r="H37" s="1179"/>
      <c r="I37" s="1180"/>
      <c r="J37" s="1178"/>
      <c r="K37" s="1179"/>
      <c r="L37" s="1179"/>
      <c r="M37" s="1179"/>
      <c r="N37" s="1180"/>
      <c r="O37" s="292"/>
      <c r="P37" s="4"/>
      <c r="R37" s="584" t="str">
        <f t="shared" si="0"/>
        <v>ei sovellettavissa</v>
      </c>
    </row>
    <row r="38" spans="2:18" ht="12.75" customHeight="1" x14ac:dyDescent="0.25">
      <c r="B38" s="3"/>
      <c r="C38" s="3"/>
      <c r="D38" s="493">
        <v>9</v>
      </c>
      <c r="E38" s="643"/>
      <c r="F38" s="644"/>
      <c r="G38" s="1178"/>
      <c r="H38" s="1179"/>
      <c r="I38" s="1180"/>
      <c r="J38" s="1178"/>
      <c r="K38" s="1179"/>
      <c r="L38" s="1179"/>
      <c r="M38" s="1179"/>
      <c r="N38" s="1180"/>
      <c r="O38" s="292"/>
      <c r="P38" s="4"/>
      <c r="R38" s="584" t="str">
        <f t="shared" si="0"/>
        <v>ei sovellettavissa</v>
      </c>
    </row>
    <row r="39" spans="2:18" ht="12.75" customHeight="1" x14ac:dyDescent="0.25">
      <c r="B39" s="3"/>
      <c r="C39" s="3"/>
      <c r="D39" s="493">
        <v>10</v>
      </c>
      <c r="E39" s="643"/>
      <c r="F39" s="644"/>
      <c r="G39" s="1178"/>
      <c r="H39" s="1179"/>
      <c r="I39" s="1180"/>
      <c r="J39" s="1178"/>
      <c r="K39" s="1179"/>
      <c r="L39" s="1179"/>
      <c r="M39" s="1179"/>
      <c r="N39" s="1180"/>
      <c r="O39" s="292"/>
      <c r="P39" s="4"/>
      <c r="R39" s="584" t="str">
        <f t="shared" si="0"/>
        <v>ei sovellettavissa</v>
      </c>
    </row>
    <row r="40" spans="2:18" ht="12.75" customHeight="1" x14ac:dyDescent="0.25">
      <c r="B40" s="3"/>
      <c r="C40" s="3"/>
      <c r="D40" s="493">
        <v>11</v>
      </c>
      <c r="E40" s="643"/>
      <c r="F40" s="644"/>
      <c r="G40" s="1178"/>
      <c r="H40" s="1179"/>
      <c r="I40" s="1180"/>
      <c r="J40" s="1178"/>
      <c r="K40" s="1179"/>
      <c r="L40" s="1179"/>
      <c r="M40" s="1179"/>
      <c r="N40" s="1180"/>
      <c r="O40" s="292"/>
      <c r="P40" s="4"/>
      <c r="R40" s="584" t="str">
        <f t="shared" si="0"/>
        <v>ei sovellettavissa</v>
      </c>
    </row>
    <row r="41" spans="2:18" ht="12.75" customHeight="1" x14ac:dyDescent="0.25">
      <c r="B41" s="3"/>
      <c r="C41" s="3"/>
      <c r="D41" s="493">
        <v>12</v>
      </c>
      <c r="E41" s="643"/>
      <c r="F41" s="644"/>
      <c r="G41" s="1178"/>
      <c r="H41" s="1179"/>
      <c r="I41" s="1180"/>
      <c r="J41" s="1178"/>
      <c r="K41" s="1179"/>
      <c r="L41" s="1179"/>
      <c r="M41" s="1179"/>
      <c r="N41" s="1180"/>
      <c r="O41" s="292"/>
      <c r="P41" s="4"/>
      <c r="R41" s="584" t="str">
        <f t="shared" si="0"/>
        <v>ei sovellettavissa</v>
      </c>
    </row>
    <row r="42" spans="2:18" ht="12.75" customHeight="1" x14ac:dyDescent="0.25">
      <c r="B42" s="3"/>
      <c r="C42" s="3"/>
      <c r="D42" s="493">
        <v>13</v>
      </c>
      <c r="E42" s="643"/>
      <c r="F42" s="644"/>
      <c r="G42" s="1178"/>
      <c r="H42" s="1179"/>
      <c r="I42" s="1180"/>
      <c r="J42" s="1178"/>
      <c r="K42" s="1179"/>
      <c r="L42" s="1179"/>
      <c r="M42" s="1179"/>
      <c r="N42" s="1180"/>
      <c r="O42" s="292"/>
      <c r="P42" s="4"/>
      <c r="R42" s="584" t="str">
        <f t="shared" si="0"/>
        <v>ei sovellettavissa</v>
      </c>
    </row>
    <row r="43" spans="2:18" ht="12.75" customHeight="1" x14ac:dyDescent="0.25">
      <c r="B43" s="3"/>
      <c r="C43" s="3"/>
      <c r="D43" s="493">
        <v>14</v>
      </c>
      <c r="E43" s="643"/>
      <c r="F43" s="644"/>
      <c r="G43" s="1178"/>
      <c r="H43" s="1179"/>
      <c r="I43" s="1180"/>
      <c r="J43" s="1178"/>
      <c r="K43" s="1179"/>
      <c r="L43" s="1179"/>
      <c r="M43" s="1179"/>
      <c r="N43" s="1180"/>
      <c r="O43" s="292"/>
      <c r="P43" s="4"/>
      <c r="R43" s="584" t="str">
        <f t="shared" si="0"/>
        <v>ei sovellettavissa</v>
      </c>
    </row>
    <row r="44" spans="2:18" ht="12.75" customHeight="1" x14ac:dyDescent="0.25">
      <c r="B44" s="3"/>
      <c r="C44" s="3"/>
      <c r="D44" s="493">
        <v>15</v>
      </c>
      <c r="E44" s="643"/>
      <c r="F44" s="644"/>
      <c r="G44" s="1178"/>
      <c r="H44" s="1179"/>
      <c r="I44" s="1180"/>
      <c r="J44" s="1178"/>
      <c r="K44" s="1179"/>
      <c r="L44" s="1179"/>
      <c r="M44" s="1179"/>
      <c r="N44" s="1180"/>
      <c r="O44" s="292"/>
      <c r="P44" s="4"/>
      <c r="R44" s="584" t="str">
        <f t="shared" si="0"/>
        <v>ei sovellettavissa</v>
      </c>
    </row>
    <row r="45" spans="2:18" ht="12.75" customHeight="1" x14ac:dyDescent="0.25">
      <c r="B45" s="3"/>
      <c r="C45" s="3"/>
      <c r="D45" s="493">
        <v>16</v>
      </c>
      <c r="E45" s="643"/>
      <c r="F45" s="644"/>
      <c r="G45" s="1178"/>
      <c r="H45" s="1179"/>
      <c r="I45" s="1180"/>
      <c r="J45" s="1178"/>
      <c r="K45" s="1179"/>
      <c r="L45" s="1179"/>
      <c r="M45" s="1179"/>
      <c r="N45" s="1180"/>
      <c r="O45" s="292"/>
      <c r="P45" s="4"/>
      <c r="R45" s="584" t="str">
        <f t="shared" si="0"/>
        <v>ei sovellettavissa</v>
      </c>
    </row>
    <row r="46" spans="2:18" ht="12.75" customHeight="1" x14ac:dyDescent="0.25">
      <c r="B46" s="3"/>
      <c r="C46" s="3"/>
      <c r="D46" s="493">
        <v>17</v>
      </c>
      <c r="E46" s="643"/>
      <c r="F46" s="644"/>
      <c r="G46" s="1178"/>
      <c r="H46" s="1179"/>
      <c r="I46" s="1180"/>
      <c r="J46" s="1178"/>
      <c r="K46" s="1179"/>
      <c r="L46" s="1179"/>
      <c r="M46" s="1179"/>
      <c r="N46" s="1180"/>
      <c r="O46" s="292"/>
      <c r="P46" s="4"/>
      <c r="R46" s="584" t="str">
        <f t="shared" si="0"/>
        <v>ei sovellettavissa</v>
      </c>
    </row>
    <row r="47" spans="2:18" ht="12.75" customHeight="1" x14ac:dyDescent="0.25">
      <c r="B47" s="3"/>
      <c r="C47" s="3"/>
      <c r="D47" s="493">
        <v>18</v>
      </c>
      <c r="E47" s="643"/>
      <c r="F47" s="644"/>
      <c r="G47" s="1178"/>
      <c r="H47" s="1179"/>
      <c r="I47" s="1180"/>
      <c r="J47" s="1178"/>
      <c r="K47" s="1179"/>
      <c r="L47" s="1179"/>
      <c r="M47" s="1179"/>
      <c r="N47" s="1180"/>
      <c r="O47" s="292"/>
      <c r="P47" s="4"/>
      <c r="R47" s="584" t="str">
        <f t="shared" si="0"/>
        <v>ei sovellettavissa</v>
      </c>
    </row>
    <row r="48" spans="2:18" ht="12.75" customHeight="1" x14ac:dyDescent="0.25">
      <c r="B48" s="3"/>
      <c r="C48" s="3"/>
      <c r="D48" s="493">
        <v>19</v>
      </c>
      <c r="E48" s="643"/>
      <c r="F48" s="644"/>
      <c r="G48" s="1178"/>
      <c r="H48" s="1179"/>
      <c r="I48" s="1180"/>
      <c r="J48" s="1178"/>
      <c r="K48" s="1179"/>
      <c r="L48" s="1179"/>
      <c r="M48" s="1179"/>
      <c r="N48" s="1180"/>
      <c r="O48" s="292"/>
      <c r="P48" s="4"/>
      <c r="R48" s="584" t="str">
        <f t="shared" si="0"/>
        <v>ei sovellettavissa</v>
      </c>
    </row>
    <row r="49" spans="2:26" ht="12.75" customHeight="1" thickBot="1" x14ac:dyDescent="0.3">
      <c r="B49" s="3"/>
      <c r="C49" s="3"/>
      <c r="D49" s="493">
        <v>20</v>
      </c>
      <c r="E49" s="643"/>
      <c r="F49" s="644"/>
      <c r="G49" s="1178"/>
      <c r="H49" s="1179"/>
      <c r="I49" s="1180"/>
      <c r="J49" s="1178"/>
      <c r="K49" s="1179"/>
      <c r="L49" s="1179"/>
      <c r="M49" s="1179"/>
      <c r="N49" s="1180"/>
      <c r="O49" s="292"/>
      <c r="P49" s="4"/>
      <c r="R49" s="585" t="str">
        <f t="shared" si="0"/>
        <v>ei sovellettavissa</v>
      </c>
    </row>
    <row r="50" spans="2:26" ht="12.75" customHeight="1" x14ac:dyDescent="0.25">
      <c r="B50" s="3"/>
      <c r="C50" s="3"/>
      <c r="D50" s="3"/>
      <c r="E50" s="61"/>
      <c r="F50" s="7"/>
      <c r="G50" s="7"/>
      <c r="H50" s="7"/>
      <c r="I50" s="7"/>
      <c r="J50" s="7"/>
      <c r="K50" s="7"/>
      <c r="L50" s="7"/>
      <c r="M50" s="7"/>
      <c r="N50" s="3"/>
      <c r="O50" s="292"/>
      <c r="P50" s="4"/>
    </row>
    <row r="51" spans="2:26" ht="12.75" customHeight="1" x14ac:dyDescent="0.25">
      <c r="B51" s="3"/>
      <c r="C51" s="3"/>
      <c r="D51" s="8" t="s">
        <v>6</v>
      </c>
      <c r="E51" s="1033" t="str">
        <f>Translations!$B$438</f>
        <v xml:space="preserve">ETS1-toiminnanharjoittajien laitoksille toimitetut polttoainemäärät </v>
      </c>
      <c r="F51" s="1191"/>
      <c r="G51" s="1191"/>
      <c r="H51" s="1191"/>
      <c r="I51" s="1191"/>
      <c r="J51" s="1191"/>
      <c r="K51" s="1191"/>
      <c r="L51" s="1191"/>
      <c r="M51" s="1191"/>
      <c r="N51" s="1191"/>
      <c r="O51" s="292"/>
      <c r="P51" s="4"/>
    </row>
    <row r="52" spans="2:26" ht="12.75" customHeight="1" x14ac:dyDescent="0.25">
      <c r="B52" s="3"/>
      <c r="C52" s="3"/>
      <c r="D52" s="3"/>
      <c r="E52" s="972" t="str">
        <f>Translations!$B$439</f>
        <v xml:space="preserve">Jos samalle ETS1-laitokselle toimitetaan useampi kuin yksi polttoainevirta, erittele polttoainevirrat ja niitä koskevat tiedot omille riveilleen. </v>
      </c>
      <c r="F52" s="902"/>
      <c r="G52" s="902"/>
      <c r="H52" s="902"/>
      <c r="I52" s="902"/>
      <c r="J52" s="902"/>
      <c r="K52" s="902"/>
      <c r="L52" s="902"/>
      <c r="M52" s="902"/>
      <c r="N52" s="902"/>
      <c r="O52" s="292"/>
      <c r="P52" s="4"/>
    </row>
    <row r="53" spans="2:26" ht="12.75" customHeight="1" x14ac:dyDescent="0.25">
      <c r="B53" s="3"/>
      <c r="C53" s="3"/>
      <c r="D53" s="3"/>
      <c r="E53" s="1066" t="str">
        <f>Translations!$B$429</f>
        <v>Kahdella ensimmäisellä rivillä on esimerkkejä siitä, miten tämä osa täytetään.</v>
      </c>
      <c r="F53" s="1067"/>
      <c r="G53" s="1067"/>
      <c r="H53" s="1067"/>
      <c r="I53" s="1067"/>
      <c r="J53" s="1067"/>
      <c r="K53" s="1067"/>
      <c r="L53" s="1067"/>
      <c r="M53" s="1067"/>
      <c r="N53" s="1067"/>
      <c r="O53" s="292"/>
      <c r="P53" s="4"/>
      <c r="Y53" s="823"/>
    </row>
    <row r="54" spans="2:26" ht="14.15" customHeight="1" x14ac:dyDescent="0.25">
      <c r="B54" s="3"/>
      <c r="D54" s="3"/>
      <c r="E54" s="645" t="s">
        <v>143</v>
      </c>
      <c r="F54" s="1190" t="str">
        <f>Translations!B418</f>
        <v>Toiminnanharjoittajan ETS1-laitoksen nimi</v>
      </c>
      <c r="G54" s="1190"/>
      <c r="H54" s="1190" t="str">
        <f>Translations!$B$420</f>
        <v>Polttoainevirta</v>
      </c>
      <c r="I54" s="1190"/>
      <c r="J54" s="57" t="s">
        <v>144</v>
      </c>
      <c r="K54" s="149" t="str">
        <f>Translations!$B$426</f>
        <v>ETS1-polttoainevirta</v>
      </c>
      <c r="L54" s="57" t="str">
        <f>Translations!$B$422</f>
        <v xml:space="preserve">Toimitetun polttoaineen määrä </v>
      </c>
      <c r="M54" s="57" t="str">
        <f>Translations!$B$424</f>
        <v>Käytetyn polttoaineen määrä</v>
      </c>
      <c r="N54" s="824"/>
      <c r="O54" s="292"/>
      <c r="P54" s="4"/>
      <c r="R54" s="254" t="s">
        <v>145</v>
      </c>
      <c r="S54" s="232" t="str">
        <f>Translations!$B$390</f>
        <v>CO2 fossil</v>
      </c>
      <c r="T54" s="232" t="s">
        <v>146</v>
      </c>
      <c r="Z54" s="823"/>
    </row>
    <row r="55" spans="2:26" ht="12.75" customHeight="1" x14ac:dyDescent="0.25">
      <c r="B55" s="3"/>
      <c r="D55" s="653" t="str">
        <f>Translations!$B$432</f>
        <v>Esim. 1</v>
      </c>
      <c r="E55" s="679" t="str">
        <f>Translations!$B$440</f>
        <v>Energiayhtiö ABC</v>
      </c>
      <c r="F55" s="1195" t="str">
        <f>G28</f>
        <v xml:space="preserve">Voimalaitos A </v>
      </c>
      <c r="G55" s="1195"/>
      <c r="H55" s="1188" t="str">
        <f>Translations!$B$348</f>
        <v>P1. Kaasumainen – Maakaasu</v>
      </c>
      <c r="I55" s="1188"/>
      <c r="J55" s="646" t="str">
        <f>EUconst_t</f>
        <v>t</v>
      </c>
      <c r="K55" s="647">
        <v>25000</v>
      </c>
      <c r="L55" s="647">
        <v>25000</v>
      </c>
      <c r="M55" s="647">
        <v>25000</v>
      </c>
      <c r="N55" s="824"/>
      <c r="O55" s="292"/>
      <c r="P55" s="4"/>
      <c r="Z55" s="823"/>
    </row>
    <row r="56" spans="2:26" ht="12" customHeight="1" x14ac:dyDescent="0.25">
      <c r="B56" s="3"/>
      <c r="D56" s="653" t="str">
        <f>Translations!$B$435</f>
        <v>Esim. 2</v>
      </c>
      <c r="E56" s="712" t="str">
        <f>Translations!$B$441</f>
        <v>Metsäkonserni X</v>
      </c>
      <c r="F56" s="1196" t="str">
        <f>G29</f>
        <v>Paperitehdas Y</v>
      </c>
      <c r="G56" s="1196"/>
      <c r="H56" s="1197" t="str">
        <f>Translations!$B$442</f>
        <v>P2. Nestemäinen – Raskas polttoöljy</v>
      </c>
      <c r="I56" s="1197"/>
      <c r="J56" s="678" t="s">
        <v>139</v>
      </c>
      <c r="K56" s="648">
        <v>50000</v>
      </c>
      <c r="L56" s="648">
        <v>47000</v>
      </c>
      <c r="M56" s="648">
        <v>42000</v>
      </c>
      <c r="N56" s="824"/>
      <c r="O56" s="292"/>
      <c r="P56" s="4"/>
      <c r="Z56" s="823"/>
    </row>
    <row r="57" spans="2:26" ht="12.75" customHeight="1" x14ac:dyDescent="0.25">
      <c r="B57" s="3"/>
      <c r="D57" s="493">
        <v>1</v>
      </c>
      <c r="E57" s="649"/>
      <c r="F57" s="1182"/>
      <c r="G57" s="1184"/>
      <c r="H57" s="1189"/>
      <c r="I57" s="1189"/>
      <c r="J57" s="650" t="str">
        <f>IF(H57="","",INDEX(C_Päästölaskenta!BM:BM,MATCH(H57,C_Päästölaskenta!BI:BI,0)))</f>
        <v/>
      </c>
      <c r="K57" s="652" t="str">
        <f>IF(H57="","",SUMIFS(C_Päästölaskenta!BL:BL,C_Päästölaskenta!BI:BI,H57))</f>
        <v/>
      </c>
      <c r="L57" s="651"/>
      <c r="M57" s="814"/>
      <c r="N57" s="824"/>
      <c r="O57" s="292"/>
      <c r="P57" s="4"/>
      <c r="R57" s="671" t="str">
        <f>IF(H57="","",SUMIFS(C_Päästölaskenta!BK:BK,C_Päästölaskenta!BI:BI,H57))</f>
        <v/>
      </c>
      <c r="S57" s="671" t="str">
        <f>IF(H57="","",SUMIFS(C_Päästölaskenta!CA:CA,C_Päästölaskenta!BI:BI,H57)/IF(SUMIFS(C_Päästölaskenta!BP:BP,C_Päästölaskenta!BI:BI,H57)=0,1,SUMIFS(C_Päästölaskenta!BP:BP,C_Päästölaskenta!BI:BI,H57)))</f>
        <v/>
      </c>
      <c r="T57" s="671" t="str">
        <f t="shared" ref="T57:T76" si="1">IF(H57="","",IF(SUM(R57)=0,0,S57/R57*L57))</f>
        <v/>
      </c>
      <c r="X57" s="305" t="b">
        <f t="shared" ref="X57:X76" si="2">AND(COUNTA($E$30:$E$49)&gt;0,E57="")</f>
        <v>0</v>
      </c>
      <c r="Z57" s="823"/>
    </row>
    <row r="58" spans="2:26" ht="12.75" customHeight="1" x14ac:dyDescent="0.25">
      <c r="B58" s="3"/>
      <c r="D58" s="493">
        <v>2</v>
      </c>
      <c r="E58" s="649"/>
      <c r="F58" s="1182"/>
      <c r="G58" s="1184"/>
      <c r="H58" s="1189"/>
      <c r="I58" s="1189"/>
      <c r="J58" s="650" t="str">
        <f>IF(H58="","",INDEX(C_Päästölaskenta!BM:BM,MATCH(H58,C_Päästölaskenta!BI:BI,0)))</f>
        <v/>
      </c>
      <c r="K58" s="652" t="str">
        <f>IF(H58="","",SUMIFS(C_Päästölaskenta!BL:BL,C_Päästölaskenta!BI:BI,H58))</f>
        <v/>
      </c>
      <c r="L58" s="651"/>
      <c r="M58" s="814"/>
      <c r="N58" s="824"/>
      <c r="O58" s="292"/>
      <c r="P58" s="4"/>
      <c r="R58" s="671" t="str">
        <f>IF(H58="","",SUMIFS(C_Päästölaskenta!BK:BK,C_Päästölaskenta!BI:BI,H58))</f>
        <v/>
      </c>
      <c r="S58" s="671" t="str">
        <f>IF(H58="","",SUMIFS(C_Päästölaskenta!CA:CA,C_Päästölaskenta!BI:BI,H58)/IF(SUMIFS(C_Päästölaskenta!BP:BP,C_Päästölaskenta!BI:BI,H58)=0,1,SUMIFS(C_Päästölaskenta!BP:BP,C_Päästölaskenta!BI:BI,H58)))</f>
        <v/>
      </c>
      <c r="T58" s="671" t="str">
        <f t="shared" si="1"/>
        <v/>
      </c>
      <c r="X58" s="305" t="b">
        <f t="shared" si="2"/>
        <v>0</v>
      </c>
      <c r="Z58" s="823"/>
    </row>
    <row r="59" spans="2:26" ht="12.75" customHeight="1" x14ac:dyDescent="0.25">
      <c r="B59" s="3"/>
      <c r="D59" s="493">
        <v>3</v>
      </c>
      <c r="E59" s="649"/>
      <c r="F59" s="1182"/>
      <c r="G59" s="1184"/>
      <c r="H59" s="1189"/>
      <c r="I59" s="1189"/>
      <c r="J59" s="650" t="str">
        <f>IF(H59="","",INDEX(C_Päästölaskenta!BM:BM,MATCH(H59,C_Päästölaskenta!BI:BI,0)))</f>
        <v/>
      </c>
      <c r="K59" s="652" t="str">
        <f>IF(H59="","",SUMIFS(C_Päästölaskenta!BL:BL,C_Päästölaskenta!BI:BI,H59))</f>
        <v/>
      </c>
      <c r="L59" s="651"/>
      <c r="M59" s="814"/>
      <c r="N59" s="824"/>
      <c r="O59" s="292"/>
      <c r="P59" s="4"/>
      <c r="R59" s="671" t="str">
        <f>IF(H59="","",SUMIFS(C_Päästölaskenta!BK:BK,C_Päästölaskenta!BI:BI,H59))</f>
        <v/>
      </c>
      <c r="S59" s="671" t="str">
        <f>IF(H59="","",SUMIFS(C_Päästölaskenta!CA:CA,C_Päästölaskenta!BI:BI,H59)/IF(SUMIFS(C_Päästölaskenta!BP:BP,C_Päästölaskenta!BI:BI,H59)=0,1,SUMIFS(C_Päästölaskenta!BP:BP,C_Päästölaskenta!BI:BI,H59)))</f>
        <v/>
      </c>
      <c r="T59" s="671" t="str">
        <f t="shared" si="1"/>
        <v/>
      </c>
      <c r="X59" s="305" t="b">
        <f t="shared" si="2"/>
        <v>0</v>
      </c>
      <c r="Z59" s="823"/>
    </row>
    <row r="60" spans="2:26" ht="12.75" customHeight="1" x14ac:dyDescent="0.25">
      <c r="B60" s="3"/>
      <c r="D60" s="493">
        <v>4</v>
      </c>
      <c r="E60" s="649"/>
      <c r="F60" s="1182"/>
      <c r="G60" s="1184"/>
      <c r="H60" s="1189"/>
      <c r="I60" s="1189"/>
      <c r="J60" s="650" t="str">
        <f>IF(H60="","",INDEX(C_Päästölaskenta!BM:BM,MATCH(H60,C_Päästölaskenta!BI:BI,0)))</f>
        <v/>
      </c>
      <c r="K60" s="652" t="str">
        <f>IF(H60="","",SUMIFS(C_Päästölaskenta!BL:BL,C_Päästölaskenta!BI:BI,H60))</f>
        <v/>
      </c>
      <c r="L60" s="651"/>
      <c r="M60" s="814"/>
      <c r="N60" s="824"/>
      <c r="O60" s="292"/>
      <c r="P60" s="4"/>
      <c r="R60" s="671" t="str">
        <f>IF(H60="","",SUMIFS(C_Päästölaskenta!BK:BK,C_Päästölaskenta!BI:BI,H60))</f>
        <v/>
      </c>
      <c r="S60" s="671" t="str">
        <f>IF(H60="","",SUMIFS(C_Päästölaskenta!CA:CA,C_Päästölaskenta!BI:BI,H60)/IF(SUMIFS(C_Päästölaskenta!BP:BP,C_Päästölaskenta!BI:BI,H60)=0,1,SUMIFS(C_Päästölaskenta!BP:BP,C_Päästölaskenta!BI:BI,H60)))</f>
        <v/>
      </c>
      <c r="T60" s="671" t="str">
        <f t="shared" si="1"/>
        <v/>
      </c>
      <c r="X60" s="305" t="b">
        <f t="shared" si="2"/>
        <v>0</v>
      </c>
      <c r="Z60" s="823"/>
    </row>
    <row r="61" spans="2:26" ht="12.75" customHeight="1" x14ac:dyDescent="0.25">
      <c r="B61" s="3"/>
      <c r="D61" s="493">
        <v>5</v>
      </c>
      <c r="E61" s="649"/>
      <c r="F61" s="1182"/>
      <c r="G61" s="1184"/>
      <c r="H61" s="1189"/>
      <c r="I61" s="1189"/>
      <c r="J61" s="650" t="str">
        <f>IF(H61="","",INDEX(C_Päästölaskenta!BM:BM,MATCH(H61,C_Päästölaskenta!BI:BI,0)))</f>
        <v/>
      </c>
      <c r="K61" s="652" t="str">
        <f>IF(H61="","",SUMIFS(C_Päästölaskenta!BL:BL,C_Päästölaskenta!BI:BI,H61))</f>
        <v/>
      </c>
      <c r="L61" s="651"/>
      <c r="M61" s="814"/>
      <c r="N61" s="824"/>
      <c r="O61" s="292"/>
      <c r="P61" s="4"/>
      <c r="R61" s="671" t="str">
        <f>IF(H61="","",SUMIFS(C_Päästölaskenta!BK:BK,C_Päästölaskenta!BI:BI,H61))</f>
        <v/>
      </c>
      <c r="S61" s="671" t="str">
        <f>IF(H61="","",SUMIFS(C_Päästölaskenta!CA:CA,C_Päästölaskenta!BI:BI,H61)/IF(SUMIFS(C_Päästölaskenta!BP:BP,C_Päästölaskenta!BI:BI,H61)=0,1,SUMIFS(C_Päästölaskenta!BP:BP,C_Päästölaskenta!BI:BI,H61)))</f>
        <v/>
      </c>
      <c r="T61" s="671" t="str">
        <f t="shared" si="1"/>
        <v/>
      </c>
      <c r="X61" s="305" t="b">
        <f t="shared" si="2"/>
        <v>0</v>
      </c>
      <c r="Z61" s="823"/>
    </row>
    <row r="62" spans="2:26" ht="12.75" customHeight="1" x14ac:dyDescent="0.25">
      <c r="B62" s="3"/>
      <c r="D62" s="493">
        <v>6</v>
      </c>
      <c r="E62" s="649"/>
      <c r="F62" s="1182"/>
      <c r="G62" s="1184"/>
      <c r="H62" s="1189"/>
      <c r="I62" s="1189"/>
      <c r="J62" s="650" t="str">
        <f>IF(H62="","",INDEX(C_Päästölaskenta!BM:BM,MATCH(H62,C_Päästölaskenta!BI:BI,0)))</f>
        <v/>
      </c>
      <c r="K62" s="652" t="str">
        <f>IF(H62="","",SUMIFS(C_Päästölaskenta!BL:BL,C_Päästölaskenta!BI:BI,H62))</f>
        <v/>
      </c>
      <c r="L62" s="651"/>
      <c r="M62" s="814"/>
      <c r="N62" s="824"/>
      <c r="O62" s="292"/>
      <c r="P62" s="4"/>
      <c r="R62" s="671" t="str">
        <f>IF(H62="","",SUMIFS(C_Päästölaskenta!BK:BK,C_Päästölaskenta!BI:BI,H62))</f>
        <v/>
      </c>
      <c r="S62" s="671" t="str">
        <f>IF(H62="","",SUMIFS(C_Päästölaskenta!CA:CA,C_Päästölaskenta!BI:BI,H62)/IF(SUMIFS(C_Päästölaskenta!BP:BP,C_Päästölaskenta!BI:BI,H62)=0,1,SUMIFS(C_Päästölaskenta!BP:BP,C_Päästölaskenta!BI:BI,H62)))</f>
        <v/>
      </c>
      <c r="T62" s="671" t="str">
        <f t="shared" si="1"/>
        <v/>
      </c>
      <c r="X62" s="305" t="b">
        <f t="shared" si="2"/>
        <v>0</v>
      </c>
      <c r="Z62" s="823"/>
    </row>
    <row r="63" spans="2:26" ht="12.75" customHeight="1" x14ac:dyDescent="0.25">
      <c r="B63" s="3"/>
      <c r="D63" s="493">
        <v>7</v>
      </c>
      <c r="E63" s="649"/>
      <c r="F63" s="1182"/>
      <c r="G63" s="1184"/>
      <c r="H63" s="1189"/>
      <c r="I63" s="1189"/>
      <c r="J63" s="650" t="str">
        <f>IF(H63="","",INDEX(C_Päästölaskenta!BM:BM,MATCH(H63,C_Päästölaskenta!BI:BI,0)))</f>
        <v/>
      </c>
      <c r="K63" s="652" t="str">
        <f>IF(H63="","",SUMIFS(C_Päästölaskenta!BL:BL,C_Päästölaskenta!BI:BI,H63))</f>
        <v/>
      </c>
      <c r="L63" s="651"/>
      <c r="M63" s="814"/>
      <c r="N63" s="824"/>
      <c r="O63" s="292"/>
      <c r="P63" s="4"/>
      <c r="R63" s="671" t="str">
        <f>IF(H63="","",SUMIFS(C_Päästölaskenta!BK:BK,C_Päästölaskenta!BI:BI,H63))</f>
        <v/>
      </c>
      <c r="S63" s="671" t="str">
        <f>IF(H63="","",SUMIFS(C_Päästölaskenta!CA:CA,C_Päästölaskenta!BI:BI,H63)/IF(SUMIFS(C_Päästölaskenta!BP:BP,C_Päästölaskenta!BI:BI,H63)=0,1,SUMIFS(C_Päästölaskenta!BP:BP,C_Päästölaskenta!BI:BI,H63)))</f>
        <v/>
      </c>
      <c r="T63" s="671" t="str">
        <f t="shared" si="1"/>
        <v/>
      </c>
      <c r="X63" s="305" t="b">
        <f t="shared" si="2"/>
        <v>0</v>
      </c>
      <c r="Z63" s="823"/>
    </row>
    <row r="64" spans="2:26" ht="12.75" customHeight="1" x14ac:dyDescent="0.25">
      <c r="B64" s="3"/>
      <c r="D64" s="493">
        <v>8</v>
      </c>
      <c r="E64" s="649"/>
      <c r="F64" s="1182"/>
      <c r="G64" s="1184"/>
      <c r="H64" s="1189"/>
      <c r="I64" s="1189"/>
      <c r="J64" s="650" t="str">
        <f>IF(H64="","",INDEX(C_Päästölaskenta!BM:BM,MATCH(H64,C_Päästölaskenta!BI:BI,0)))</f>
        <v/>
      </c>
      <c r="K64" s="652" t="str">
        <f>IF(H64="","",SUMIFS(C_Päästölaskenta!BL:BL,C_Päästölaskenta!BI:BI,H64))</f>
        <v/>
      </c>
      <c r="L64" s="651"/>
      <c r="M64" s="814"/>
      <c r="N64" s="824"/>
      <c r="O64" s="292"/>
      <c r="P64" s="4"/>
      <c r="R64" s="671" t="str">
        <f>IF(H64="","",SUMIFS(C_Päästölaskenta!BK:BK,C_Päästölaskenta!BI:BI,H64))</f>
        <v/>
      </c>
      <c r="S64" s="671" t="str">
        <f>IF(H64="","",SUMIFS(C_Päästölaskenta!CA:CA,C_Päästölaskenta!BI:BI,H64)/IF(SUMIFS(C_Päästölaskenta!BP:BP,C_Päästölaskenta!BI:BI,H64)=0,1,SUMIFS(C_Päästölaskenta!BP:BP,C_Päästölaskenta!BI:BI,H64)))</f>
        <v/>
      </c>
      <c r="T64" s="671" t="str">
        <f t="shared" si="1"/>
        <v/>
      </c>
      <c r="X64" s="305" t="b">
        <f t="shared" si="2"/>
        <v>0</v>
      </c>
      <c r="Z64" s="823"/>
    </row>
    <row r="65" spans="2:26" ht="12.75" customHeight="1" x14ac:dyDescent="0.25">
      <c r="B65" s="3"/>
      <c r="D65" s="493">
        <v>9</v>
      </c>
      <c r="E65" s="649"/>
      <c r="F65" s="1182"/>
      <c r="G65" s="1184"/>
      <c r="H65" s="1189"/>
      <c r="I65" s="1189"/>
      <c r="J65" s="650" t="str">
        <f>IF(H65="","",INDEX(C_Päästölaskenta!BM:BM,MATCH(H65,C_Päästölaskenta!BI:BI,0)))</f>
        <v/>
      </c>
      <c r="K65" s="652" t="str">
        <f>IF(H65="","",SUMIFS(C_Päästölaskenta!BL:BL,C_Päästölaskenta!BI:BI,H65))</f>
        <v/>
      </c>
      <c r="L65" s="651"/>
      <c r="M65" s="814"/>
      <c r="N65" s="824"/>
      <c r="O65" s="292"/>
      <c r="P65" s="4"/>
      <c r="R65" s="671" t="str">
        <f>IF(H65="","",SUMIFS(C_Päästölaskenta!BK:BK,C_Päästölaskenta!BI:BI,H65))</f>
        <v/>
      </c>
      <c r="S65" s="671" t="str">
        <f>IF(H65="","",SUMIFS(C_Päästölaskenta!CA:CA,C_Päästölaskenta!BI:BI,H65)/IF(SUMIFS(C_Päästölaskenta!BP:BP,C_Päästölaskenta!BI:BI,H65)=0,1,SUMIFS(C_Päästölaskenta!BP:BP,C_Päästölaskenta!BI:BI,H65)))</f>
        <v/>
      </c>
      <c r="T65" s="671" t="str">
        <f t="shared" si="1"/>
        <v/>
      </c>
      <c r="X65" s="305" t="b">
        <f t="shared" si="2"/>
        <v>0</v>
      </c>
      <c r="Z65" s="823"/>
    </row>
    <row r="66" spans="2:26" ht="12.75" customHeight="1" x14ac:dyDescent="0.25">
      <c r="B66" s="3"/>
      <c r="D66" s="493">
        <v>10</v>
      </c>
      <c r="E66" s="649"/>
      <c r="F66" s="1182"/>
      <c r="G66" s="1184"/>
      <c r="H66" s="1189"/>
      <c r="I66" s="1189"/>
      <c r="J66" s="650" t="str">
        <f>IF(H66="","",INDEX(C_Päästölaskenta!BM:BM,MATCH(H66,C_Päästölaskenta!BI:BI,0)))</f>
        <v/>
      </c>
      <c r="K66" s="652" t="str">
        <f>IF(H66="","",SUMIFS(C_Päästölaskenta!BL:BL,C_Päästölaskenta!BI:BI,H66))</f>
        <v/>
      </c>
      <c r="L66" s="651"/>
      <c r="M66" s="814"/>
      <c r="N66" s="824"/>
      <c r="O66" s="292"/>
      <c r="P66" s="4"/>
      <c r="R66" s="671" t="str">
        <f>IF(H66="","",SUMIFS(C_Päästölaskenta!BK:BK,C_Päästölaskenta!BI:BI,H66))</f>
        <v/>
      </c>
      <c r="S66" s="671" t="str">
        <f>IF(H66="","",SUMIFS(C_Päästölaskenta!CA:CA,C_Päästölaskenta!BI:BI,H66)/IF(SUMIFS(C_Päästölaskenta!BP:BP,C_Päästölaskenta!BI:BI,H66)=0,1,SUMIFS(C_Päästölaskenta!BP:BP,C_Päästölaskenta!BI:BI,H66)))</f>
        <v/>
      </c>
      <c r="T66" s="671" t="str">
        <f t="shared" si="1"/>
        <v/>
      </c>
      <c r="X66" s="305" t="b">
        <f t="shared" si="2"/>
        <v>0</v>
      </c>
      <c r="Z66" s="823"/>
    </row>
    <row r="67" spans="2:26" ht="12.75" customHeight="1" x14ac:dyDescent="0.25">
      <c r="B67" s="3"/>
      <c r="D67" s="493">
        <v>11</v>
      </c>
      <c r="E67" s="649"/>
      <c r="F67" s="1182"/>
      <c r="G67" s="1184"/>
      <c r="H67" s="1189"/>
      <c r="I67" s="1189"/>
      <c r="J67" s="650" t="str">
        <f>IF(H67="","",INDEX(C_Päästölaskenta!BM:BM,MATCH(H67,C_Päästölaskenta!BI:BI,0)))</f>
        <v/>
      </c>
      <c r="K67" s="652" t="str">
        <f>IF(H67="","",SUMIFS(C_Päästölaskenta!BL:BL,C_Päästölaskenta!BI:BI,H67))</f>
        <v/>
      </c>
      <c r="L67" s="651"/>
      <c r="M67" s="814"/>
      <c r="N67" s="824"/>
      <c r="O67" s="292"/>
      <c r="P67" s="4"/>
      <c r="R67" s="671" t="str">
        <f>IF(H67="","",SUMIFS(C_Päästölaskenta!BK:BK,C_Päästölaskenta!BI:BI,H67))</f>
        <v/>
      </c>
      <c r="S67" s="671" t="str">
        <f>IF(H67="","",SUMIFS(C_Päästölaskenta!CA:CA,C_Päästölaskenta!BI:BI,H67)/IF(SUMIFS(C_Päästölaskenta!BP:BP,C_Päästölaskenta!BI:BI,H67)=0,1,SUMIFS(C_Päästölaskenta!BP:BP,C_Päästölaskenta!BI:BI,H67)))</f>
        <v/>
      </c>
      <c r="T67" s="671" t="str">
        <f t="shared" si="1"/>
        <v/>
      </c>
      <c r="X67" s="305" t="b">
        <f t="shared" si="2"/>
        <v>0</v>
      </c>
      <c r="Z67" s="823"/>
    </row>
    <row r="68" spans="2:26" ht="12.75" customHeight="1" x14ac:dyDescent="0.25">
      <c r="B68" s="3"/>
      <c r="D68" s="493">
        <v>12</v>
      </c>
      <c r="E68" s="649"/>
      <c r="F68" s="1182"/>
      <c r="G68" s="1184"/>
      <c r="H68" s="1189"/>
      <c r="I68" s="1189"/>
      <c r="J68" s="650" t="str">
        <f>IF(H68="","",INDEX(C_Päästölaskenta!BM:BM,MATCH(H68,C_Päästölaskenta!BI:BI,0)))</f>
        <v/>
      </c>
      <c r="K68" s="652" t="str">
        <f>IF(H68="","",SUMIFS(C_Päästölaskenta!BL:BL,C_Päästölaskenta!BI:BI,H68))</f>
        <v/>
      </c>
      <c r="L68" s="651"/>
      <c r="M68" s="814"/>
      <c r="N68" s="824"/>
      <c r="O68" s="292"/>
      <c r="P68" s="4"/>
      <c r="R68" s="671" t="str">
        <f>IF(H68="","",SUMIFS(C_Päästölaskenta!BK:BK,C_Päästölaskenta!BI:BI,H68))</f>
        <v/>
      </c>
      <c r="S68" s="671" t="str">
        <f>IF(H68="","",SUMIFS(C_Päästölaskenta!CA:CA,C_Päästölaskenta!BI:BI,H68)/IF(SUMIFS(C_Päästölaskenta!BP:BP,C_Päästölaskenta!BI:BI,H68)=0,1,SUMIFS(C_Päästölaskenta!BP:BP,C_Päästölaskenta!BI:BI,H68)))</f>
        <v/>
      </c>
      <c r="T68" s="671" t="str">
        <f t="shared" si="1"/>
        <v/>
      </c>
      <c r="X68" s="305" t="b">
        <f t="shared" si="2"/>
        <v>0</v>
      </c>
      <c r="Z68" s="823"/>
    </row>
    <row r="69" spans="2:26" ht="12.75" customHeight="1" x14ac:dyDescent="0.25">
      <c r="B69" s="3"/>
      <c r="D69" s="493">
        <v>13</v>
      </c>
      <c r="E69" s="649"/>
      <c r="F69" s="1182"/>
      <c r="G69" s="1184"/>
      <c r="H69" s="1189"/>
      <c r="I69" s="1189"/>
      <c r="J69" s="650" t="str">
        <f>IF(H69="","",INDEX(C_Päästölaskenta!BM:BM,MATCH(H69,C_Päästölaskenta!BI:BI,0)))</f>
        <v/>
      </c>
      <c r="K69" s="652" t="str">
        <f>IF(H69="","",SUMIFS(C_Päästölaskenta!BL:BL,C_Päästölaskenta!BI:BI,H69))</f>
        <v/>
      </c>
      <c r="L69" s="651"/>
      <c r="M69" s="814"/>
      <c r="N69" s="824"/>
      <c r="O69" s="292"/>
      <c r="P69" s="4"/>
      <c r="R69" s="671" t="str">
        <f>IF(H69="","",SUMIFS(C_Päästölaskenta!BK:BK,C_Päästölaskenta!BI:BI,H69))</f>
        <v/>
      </c>
      <c r="S69" s="671" t="str">
        <f>IF(H69="","",SUMIFS(C_Päästölaskenta!CA:CA,C_Päästölaskenta!BI:BI,H69)/IF(SUMIFS(C_Päästölaskenta!BP:BP,C_Päästölaskenta!BI:BI,H69)=0,1,SUMIFS(C_Päästölaskenta!BP:BP,C_Päästölaskenta!BI:BI,H69)))</f>
        <v/>
      </c>
      <c r="T69" s="671" t="str">
        <f t="shared" si="1"/>
        <v/>
      </c>
      <c r="X69" s="305" t="b">
        <f t="shared" si="2"/>
        <v>0</v>
      </c>
      <c r="Z69" s="823"/>
    </row>
    <row r="70" spans="2:26" ht="12.75" customHeight="1" x14ac:dyDescent="0.25">
      <c r="B70" s="3"/>
      <c r="D70" s="493">
        <v>14</v>
      </c>
      <c r="E70" s="649"/>
      <c r="F70" s="1182"/>
      <c r="G70" s="1184"/>
      <c r="H70" s="1189"/>
      <c r="I70" s="1189"/>
      <c r="J70" s="650" t="str">
        <f>IF(H70="","",INDEX(C_Päästölaskenta!BM:BM,MATCH(H70,C_Päästölaskenta!BI:BI,0)))</f>
        <v/>
      </c>
      <c r="K70" s="652" t="str">
        <f>IF(H70="","",SUMIFS(C_Päästölaskenta!BL:BL,C_Päästölaskenta!BI:BI,H70))</f>
        <v/>
      </c>
      <c r="L70" s="651"/>
      <c r="M70" s="814"/>
      <c r="N70" s="824"/>
      <c r="O70" s="292"/>
      <c r="P70" s="4"/>
      <c r="R70" s="671" t="str">
        <f>IF(H70="","",SUMIFS(C_Päästölaskenta!BK:BK,C_Päästölaskenta!BI:BI,H70))</f>
        <v/>
      </c>
      <c r="S70" s="671" t="str">
        <f>IF(H70="","",SUMIFS(C_Päästölaskenta!CA:CA,C_Päästölaskenta!BI:BI,H70)/IF(SUMIFS(C_Päästölaskenta!BP:BP,C_Päästölaskenta!BI:BI,H70)=0,1,SUMIFS(C_Päästölaskenta!BP:BP,C_Päästölaskenta!BI:BI,H70)))</f>
        <v/>
      </c>
      <c r="T70" s="671" t="str">
        <f t="shared" si="1"/>
        <v/>
      </c>
      <c r="X70" s="305" t="b">
        <f t="shared" si="2"/>
        <v>0</v>
      </c>
      <c r="Z70" s="823"/>
    </row>
    <row r="71" spans="2:26" ht="12.75" customHeight="1" x14ac:dyDescent="0.25">
      <c r="B71" s="3"/>
      <c r="D71" s="493">
        <v>15</v>
      </c>
      <c r="E71" s="649"/>
      <c r="F71" s="1182"/>
      <c r="G71" s="1184"/>
      <c r="H71" s="1189"/>
      <c r="I71" s="1189"/>
      <c r="J71" s="650" t="str">
        <f>IF(H71="","",INDEX(C_Päästölaskenta!BM:BM,MATCH(H71,C_Päästölaskenta!BI:BI,0)))</f>
        <v/>
      </c>
      <c r="K71" s="652" t="str">
        <f>IF(H71="","",SUMIFS(C_Päästölaskenta!BL:BL,C_Päästölaskenta!BI:BI,H71))</f>
        <v/>
      </c>
      <c r="L71" s="651"/>
      <c r="M71" s="814"/>
      <c r="N71" s="824"/>
      <c r="O71" s="292"/>
      <c r="P71" s="4"/>
      <c r="R71" s="671" t="str">
        <f>IF(H71="","",SUMIFS(C_Päästölaskenta!BK:BK,C_Päästölaskenta!BI:BI,H71))</f>
        <v/>
      </c>
      <c r="S71" s="671" t="str">
        <f>IF(H71="","",SUMIFS(C_Päästölaskenta!CA:CA,C_Päästölaskenta!BI:BI,H71)/IF(SUMIFS(C_Päästölaskenta!BP:BP,C_Päästölaskenta!BI:BI,H71)=0,1,SUMIFS(C_Päästölaskenta!BP:BP,C_Päästölaskenta!BI:BI,H71)))</f>
        <v/>
      </c>
      <c r="T71" s="671" t="str">
        <f t="shared" si="1"/>
        <v/>
      </c>
      <c r="X71" s="305" t="b">
        <f t="shared" si="2"/>
        <v>0</v>
      </c>
      <c r="Z71" s="823"/>
    </row>
    <row r="72" spans="2:26" ht="12.75" customHeight="1" x14ac:dyDescent="0.25">
      <c r="B72" s="3"/>
      <c r="D72" s="493">
        <v>16</v>
      </c>
      <c r="E72" s="649"/>
      <c r="F72" s="1182"/>
      <c r="G72" s="1184"/>
      <c r="H72" s="1189"/>
      <c r="I72" s="1189"/>
      <c r="J72" s="650" t="str">
        <f>IF(H72="","",INDEX(C_Päästölaskenta!BM:BM,MATCH(H72,C_Päästölaskenta!BI:BI,0)))</f>
        <v/>
      </c>
      <c r="K72" s="652" t="str">
        <f>IF(H72="","",SUMIFS(C_Päästölaskenta!BL:BL,C_Päästölaskenta!BI:BI,H72))</f>
        <v/>
      </c>
      <c r="L72" s="651"/>
      <c r="M72" s="814"/>
      <c r="N72" s="824"/>
      <c r="O72" s="292"/>
      <c r="P72" s="4"/>
      <c r="R72" s="671" t="str">
        <f>IF(H72="","",SUMIFS(C_Päästölaskenta!BK:BK,C_Päästölaskenta!BI:BI,H72))</f>
        <v/>
      </c>
      <c r="S72" s="671" t="str">
        <f>IF(H72="","",SUMIFS(C_Päästölaskenta!CA:CA,C_Päästölaskenta!BI:BI,H72)/IF(SUMIFS(C_Päästölaskenta!BP:BP,C_Päästölaskenta!BI:BI,H72)=0,1,SUMIFS(C_Päästölaskenta!BP:BP,C_Päästölaskenta!BI:BI,H72)))</f>
        <v/>
      </c>
      <c r="T72" s="671" t="str">
        <f t="shared" si="1"/>
        <v/>
      </c>
      <c r="X72" s="305" t="b">
        <f t="shared" si="2"/>
        <v>0</v>
      </c>
      <c r="Z72" s="823"/>
    </row>
    <row r="73" spans="2:26" ht="12.75" customHeight="1" x14ac:dyDescent="0.25">
      <c r="B73" s="3"/>
      <c r="D73" s="493">
        <v>17</v>
      </c>
      <c r="E73" s="649"/>
      <c r="F73" s="1182"/>
      <c r="G73" s="1184"/>
      <c r="H73" s="1189"/>
      <c r="I73" s="1189"/>
      <c r="J73" s="650" t="str">
        <f>IF(H73="","",INDEX(C_Päästölaskenta!BM:BM,MATCH(H73,C_Päästölaskenta!BI:BI,0)))</f>
        <v/>
      </c>
      <c r="K73" s="652" t="str">
        <f>IF(H73="","",SUMIFS(C_Päästölaskenta!BL:BL,C_Päästölaskenta!BI:BI,H73))</f>
        <v/>
      </c>
      <c r="L73" s="651"/>
      <c r="M73" s="814"/>
      <c r="N73" s="824"/>
      <c r="O73" s="292"/>
      <c r="P73" s="4"/>
      <c r="R73" s="671" t="str">
        <f>IF(H73="","",SUMIFS(C_Päästölaskenta!BK:BK,C_Päästölaskenta!BI:BI,H73))</f>
        <v/>
      </c>
      <c r="S73" s="671" t="str">
        <f>IF(H73="","",SUMIFS(C_Päästölaskenta!CA:CA,C_Päästölaskenta!BI:BI,H73)/IF(SUMIFS(C_Päästölaskenta!BP:BP,C_Päästölaskenta!BI:BI,H73)=0,1,SUMIFS(C_Päästölaskenta!BP:BP,C_Päästölaskenta!BI:BI,H73)))</f>
        <v/>
      </c>
      <c r="T73" s="671" t="str">
        <f t="shared" si="1"/>
        <v/>
      </c>
      <c r="X73" s="305" t="b">
        <f t="shared" si="2"/>
        <v>0</v>
      </c>
      <c r="Z73" s="823"/>
    </row>
    <row r="74" spans="2:26" ht="12.75" customHeight="1" x14ac:dyDescent="0.25">
      <c r="B74" s="3"/>
      <c r="D74" s="493">
        <v>18</v>
      </c>
      <c r="E74" s="649"/>
      <c r="F74" s="1182"/>
      <c r="G74" s="1184"/>
      <c r="H74" s="1189"/>
      <c r="I74" s="1189"/>
      <c r="J74" s="650" t="str">
        <f>IF(H74="","",INDEX(C_Päästölaskenta!BM:BM,MATCH(H74,C_Päästölaskenta!BI:BI,0)))</f>
        <v/>
      </c>
      <c r="K74" s="652" t="str">
        <f>IF(H74="","",SUMIFS(C_Päästölaskenta!BL:BL,C_Päästölaskenta!BI:BI,H74))</f>
        <v/>
      </c>
      <c r="L74" s="651"/>
      <c r="M74" s="814"/>
      <c r="N74" s="824"/>
      <c r="O74" s="292"/>
      <c r="P74" s="4"/>
      <c r="R74" s="671" t="str">
        <f>IF(H74="","",SUMIFS(C_Päästölaskenta!BK:BK,C_Päästölaskenta!BI:BI,H74))</f>
        <v/>
      </c>
      <c r="S74" s="671" t="str">
        <f>IF(H74="","",SUMIFS(C_Päästölaskenta!CA:CA,C_Päästölaskenta!BI:BI,H74)/IF(SUMIFS(C_Päästölaskenta!BP:BP,C_Päästölaskenta!BI:BI,H74)=0,1,SUMIFS(C_Päästölaskenta!BP:BP,C_Päästölaskenta!BI:BI,H74)))</f>
        <v/>
      </c>
      <c r="T74" s="671" t="str">
        <f t="shared" si="1"/>
        <v/>
      </c>
      <c r="X74" s="305" t="b">
        <f t="shared" si="2"/>
        <v>0</v>
      </c>
      <c r="Z74" s="823"/>
    </row>
    <row r="75" spans="2:26" ht="12.75" customHeight="1" x14ac:dyDescent="0.25">
      <c r="B75" s="3"/>
      <c r="D75" s="493">
        <v>19</v>
      </c>
      <c r="E75" s="649"/>
      <c r="F75" s="1182"/>
      <c r="G75" s="1184"/>
      <c r="H75" s="1189"/>
      <c r="I75" s="1189"/>
      <c r="J75" s="650" t="str">
        <f>IF(H75="","",INDEX(C_Päästölaskenta!BM:BM,MATCH(H75,C_Päästölaskenta!BI:BI,0)))</f>
        <v/>
      </c>
      <c r="K75" s="652" t="str">
        <f>IF(H75="","",SUMIFS(C_Päästölaskenta!BL:BL,C_Päästölaskenta!BI:BI,H75))</f>
        <v/>
      </c>
      <c r="L75" s="651"/>
      <c r="M75" s="814"/>
      <c r="N75" s="824"/>
      <c r="O75" s="292"/>
      <c r="P75" s="4"/>
      <c r="R75" s="671" t="str">
        <f>IF(H75="","",SUMIFS(C_Päästölaskenta!BK:BK,C_Päästölaskenta!BI:BI,H75))</f>
        <v/>
      </c>
      <c r="S75" s="671" t="str">
        <f>IF(H75="","",SUMIFS(C_Päästölaskenta!CA:CA,C_Päästölaskenta!BI:BI,H75)/IF(SUMIFS(C_Päästölaskenta!BP:BP,C_Päästölaskenta!BI:BI,H75)=0,1,SUMIFS(C_Päästölaskenta!BP:BP,C_Päästölaskenta!BI:BI,H75)))</f>
        <v/>
      </c>
      <c r="T75" s="671" t="str">
        <f t="shared" si="1"/>
        <v/>
      </c>
      <c r="X75" s="305" t="b">
        <f t="shared" si="2"/>
        <v>0</v>
      </c>
      <c r="Z75" s="823"/>
    </row>
    <row r="76" spans="2:26" ht="12.75" customHeight="1" x14ac:dyDescent="0.25">
      <c r="B76" s="3"/>
      <c r="D76" s="493">
        <v>20</v>
      </c>
      <c r="E76" s="649"/>
      <c r="F76" s="1182"/>
      <c r="G76" s="1184"/>
      <c r="H76" s="1189"/>
      <c r="I76" s="1189"/>
      <c r="J76" s="650" t="str">
        <f>IF(H76="","",INDEX(C_Päästölaskenta!BM:BM,MATCH(H76,C_Päästölaskenta!BI:BI,0)))</f>
        <v/>
      </c>
      <c r="K76" s="652" t="str">
        <f>IF(H76="","",SUMIFS(C_Päästölaskenta!BL:BL,C_Päästölaskenta!BI:BI,H76))</f>
        <v/>
      </c>
      <c r="L76" s="651"/>
      <c r="M76" s="814"/>
      <c r="N76" s="824"/>
      <c r="O76" s="292"/>
      <c r="P76" s="4"/>
      <c r="R76" s="671" t="str">
        <f>IF(H76="","",SUMIFS(C_Päästölaskenta!BK:BK,C_Päästölaskenta!BI:BI,H76))</f>
        <v/>
      </c>
      <c r="S76" s="671" t="str">
        <f>IF(H76="","",SUMIFS(C_Päästölaskenta!CA:CA,C_Päästölaskenta!BI:BI,H76)/IF(SUMIFS(C_Päästölaskenta!BP:BP,C_Päästölaskenta!BI:BI,H76)=0,1,SUMIFS(C_Päästölaskenta!BP:BP,C_Päästölaskenta!BI:BI,H76)))</f>
        <v/>
      </c>
      <c r="T76" s="671" t="str">
        <f t="shared" si="1"/>
        <v/>
      </c>
      <c r="X76" s="305" t="b">
        <f t="shared" si="2"/>
        <v>0</v>
      </c>
      <c r="Z76" s="823"/>
    </row>
    <row r="77" spans="2:26" ht="12.75" customHeight="1" x14ac:dyDescent="0.25">
      <c r="B77" s="3"/>
      <c r="C77" s="3"/>
      <c r="D77" s="3"/>
      <c r="E77" s="61"/>
      <c r="F77" s="7"/>
      <c r="G77" s="7"/>
      <c r="H77" s="7"/>
      <c r="I77" s="7"/>
      <c r="J77" s="7"/>
      <c r="K77" s="7"/>
      <c r="L77" s="7"/>
      <c r="M77" s="7"/>
      <c r="N77" s="3"/>
      <c r="O77" s="292"/>
      <c r="P77" s="4"/>
    </row>
    <row r="78" spans="2:26" ht="12.75" customHeight="1" x14ac:dyDescent="0.25">
      <c r="B78" s="3"/>
      <c r="C78" s="3"/>
      <c r="D78" s="8" t="s">
        <v>14</v>
      </c>
      <c r="E78" s="1033" t="str">
        <f>Translations!$B$443</f>
        <v>Mahdolliset välittäjät polttoaineen jakeluketjussa</v>
      </c>
      <c r="F78" s="1191"/>
      <c r="G78" s="1191"/>
      <c r="H78" s="1191"/>
      <c r="I78" s="1191"/>
      <c r="J78" s="1191"/>
      <c r="K78" s="1191"/>
      <c r="L78" s="1191"/>
      <c r="M78" s="1191"/>
      <c r="N78" s="1191"/>
      <c r="O78" s="292"/>
      <c r="P78" s="4"/>
    </row>
    <row r="79" spans="2:26" ht="5.15" customHeight="1" x14ac:dyDescent="0.25">
      <c r="B79" s="3"/>
      <c r="C79" s="3"/>
      <c r="D79" s="3"/>
      <c r="E79" s="61"/>
      <c r="F79" s="7"/>
      <c r="G79" s="7"/>
      <c r="H79" s="7"/>
      <c r="I79" s="7"/>
      <c r="J79" s="7"/>
      <c r="K79" s="7"/>
      <c r="L79" s="7"/>
      <c r="M79" s="7"/>
      <c r="N79" s="3"/>
      <c r="O79" s="292"/>
      <c r="P79" s="4"/>
    </row>
    <row r="80" spans="2:26" ht="51" customHeight="1" x14ac:dyDescent="0.25">
      <c r="B80" s="3"/>
      <c r="C80" s="3"/>
      <c r="D80" s="3"/>
      <c r="E80" s="812" t="str">
        <f>Translations!B430</f>
        <v>Toiminnanharjoittajan ETS1-laitoksen nimi</v>
      </c>
      <c r="F80" s="1194" t="str">
        <f>Translations!$B$420</f>
        <v>Polttoainevirta</v>
      </c>
      <c r="G80" s="1194"/>
      <c r="H80" s="812" t="str">
        <f>Translations!$B$444</f>
        <v xml:space="preserve">Välittäjänä toimivan yrityksen nimi ja y-tunnus </v>
      </c>
      <c r="I80" s="812" t="str">
        <f>Translations!$B$445</f>
        <v xml:space="preserve">Välittäjänä toimivan yrityksen nimi ja y-tunnus </v>
      </c>
      <c r="J80" s="812" t="str">
        <f>Translations!$B$446</f>
        <v xml:space="preserve">Välittäjänä toimivan yrityksen nimi ja y-tunnus </v>
      </c>
      <c r="K80" s="812" t="str">
        <f>Translations!$B$447</f>
        <v xml:space="preserve">Välittäjänä toimivan yrityksen nimi ja y-tunnus </v>
      </c>
      <c r="L80" s="812" t="str">
        <f>Translations!$B$448</f>
        <v xml:space="preserve">Välittäjänä toimivan yrityksen nimi ja y-tunnus </v>
      </c>
      <c r="M80" s="812" t="str">
        <f>Translations!$B$449</f>
        <v xml:space="preserve">Välittäjänä toimivan yrityksen nimi ja y-tunnus </v>
      </c>
      <c r="N80" s="812" t="str">
        <f>Translations!$B$450</f>
        <v xml:space="preserve">Välittäjänä toimivan yrityksen nimi ja y-tunnus </v>
      </c>
      <c r="O80" s="292"/>
      <c r="P80" s="4"/>
    </row>
    <row r="81" spans="2:24" x14ac:dyDescent="0.25">
      <c r="B81" s="3"/>
      <c r="C81" s="3"/>
      <c r="D81" s="493">
        <v>1</v>
      </c>
      <c r="E81" s="833" t="str">
        <f t="shared" ref="E81:E100" si="3">IF(E57="","",E57)</f>
        <v/>
      </c>
      <c r="F81" s="1193" t="str">
        <f t="shared" ref="F81" si="4">IF(H57="","",H57)</f>
        <v/>
      </c>
      <c r="G81" s="1193"/>
      <c r="H81" s="696"/>
      <c r="I81" s="696"/>
      <c r="J81" s="696"/>
      <c r="K81" s="696"/>
      <c r="L81" s="696"/>
      <c r="M81" s="696"/>
      <c r="N81" s="696"/>
      <c r="O81" s="292"/>
      <c r="P81" s="4"/>
      <c r="X81" s="305" t="b">
        <f>AND(COUNTA($E$30:$E$49)&gt;0,E81="")</f>
        <v>0</v>
      </c>
    </row>
    <row r="82" spans="2:24" x14ac:dyDescent="0.25">
      <c r="B82" s="3"/>
      <c r="C82" s="3"/>
      <c r="D82" s="493">
        <v>2</v>
      </c>
      <c r="E82" s="833" t="str">
        <f t="shared" si="3"/>
        <v/>
      </c>
      <c r="F82" s="1193" t="str">
        <f t="shared" ref="F82" si="5">IF(H58="","",H58)</f>
        <v/>
      </c>
      <c r="G82" s="1193"/>
      <c r="H82" s="696"/>
      <c r="I82" s="696"/>
      <c r="J82" s="696"/>
      <c r="K82" s="696"/>
      <c r="L82" s="696"/>
      <c r="M82" s="696"/>
      <c r="N82" s="696"/>
      <c r="O82" s="292"/>
      <c r="P82" s="4"/>
      <c r="X82" s="305" t="b">
        <f t="shared" ref="X82:X100" si="6">AND(COUNTA($E$30:$E$49)&gt;0,E82="")</f>
        <v>0</v>
      </c>
    </row>
    <row r="83" spans="2:24" x14ac:dyDescent="0.25">
      <c r="B83" s="3"/>
      <c r="C83" s="3"/>
      <c r="D83" s="493">
        <v>3</v>
      </c>
      <c r="E83" s="710" t="str">
        <f t="shared" si="3"/>
        <v/>
      </c>
      <c r="F83" s="1193" t="str">
        <f t="shared" ref="F83:F100" si="7">IF(H59="","",H59)</f>
        <v/>
      </c>
      <c r="G83" s="1193"/>
      <c r="H83" s="696"/>
      <c r="I83" s="696"/>
      <c r="J83" s="696"/>
      <c r="K83" s="696"/>
      <c r="L83" s="696"/>
      <c r="M83" s="696"/>
      <c r="N83" s="696"/>
      <c r="O83" s="292"/>
      <c r="P83" s="4"/>
      <c r="X83" s="305" t="b">
        <f t="shared" si="6"/>
        <v>0</v>
      </c>
    </row>
    <row r="84" spans="2:24" x14ac:dyDescent="0.25">
      <c r="B84" s="3"/>
      <c r="C84" s="3"/>
      <c r="D84" s="493">
        <v>4</v>
      </c>
      <c r="E84" s="710" t="str">
        <f t="shared" si="3"/>
        <v/>
      </c>
      <c r="F84" s="1193" t="str">
        <f t="shared" si="7"/>
        <v/>
      </c>
      <c r="G84" s="1193"/>
      <c r="H84" s="696"/>
      <c r="I84" s="696"/>
      <c r="J84" s="696"/>
      <c r="K84" s="696"/>
      <c r="L84" s="696"/>
      <c r="M84" s="696"/>
      <c r="N84" s="696"/>
      <c r="O84" s="292"/>
      <c r="P84" s="4"/>
      <c r="X84" s="305" t="b">
        <f t="shared" si="6"/>
        <v>0</v>
      </c>
    </row>
    <row r="85" spans="2:24" x14ac:dyDescent="0.25">
      <c r="B85" s="3"/>
      <c r="C85" s="3"/>
      <c r="D85" s="493">
        <v>5</v>
      </c>
      <c r="E85" s="710" t="str">
        <f t="shared" si="3"/>
        <v/>
      </c>
      <c r="F85" s="1193" t="str">
        <f t="shared" si="7"/>
        <v/>
      </c>
      <c r="G85" s="1193"/>
      <c r="H85" s="696"/>
      <c r="I85" s="696"/>
      <c r="J85" s="696"/>
      <c r="K85" s="696"/>
      <c r="L85" s="696"/>
      <c r="M85" s="696"/>
      <c r="N85" s="696"/>
      <c r="O85" s="292"/>
      <c r="P85" s="4"/>
      <c r="X85" s="305" t="b">
        <f t="shared" si="6"/>
        <v>0</v>
      </c>
    </row>
    <row r="86" spans="2:24" x14ac:dyDescent="0.25">
      <c r="B86" s="3"/>
      <c r="C86" s="3"/>
      <c r="D86" s="493">
        <v>6</v>
      </c>
      <c r="E86" s="710" t="str">
        <f t="shared" si="3"/>
        <v/>
      </c>
      <c r="F86" s="1193" t="str">
        <f t="shared" si="7"/>
        <v/>
      </c>
      <c r="G86" s="1193"/>
      <c r="H86" s="696"/>
      <c r="I86" s="696"/>
      <c r="J86" s="696"/>
      <c r="K86" s="696"/>
      <c r="L86" s="696"/>
      <c r="M86" s="696"/>
      <c r="N86" s="696"/>
      <c r="O86" s="292"/>
      <c r="P86" s="4"/>
      <c r="X86" s="305" t="b">
        <f t="shared" si="6"/>
        <v>0</v>
      </c>
    </row>
    <row r="87" spans="2:24" x14ac:dyDescent="0.25">
      <c r="B87" s="3"/>
      <c r="C87" s="3"/>
      <c r="D87" s="493">
        <v>7</v>
      </c>
      <c r="E87" s="710" t="str">
        <f t="shared" si="3"/>
        <v/>
      </c>
      <c r="F87" s="1193" t="str">
        <f t="shared" si="7"/>
        <v/>
      </c>
      <c r="G87" s="1193"/>
      <c r="H87" s="696"/>
      <c r="I87" s="696"/>
      <c r="J87" s="696"/>
      <c r="K87" s="696"/>
      <c r="L87" s="696"/>
      <c r="M87" s="696"/>
      <c r="N87" s="696"/>
      <c r="O87" s="292"/>
      <c r="P87" s="4"/>
      <c r="X87" s="305" t="b">
        <f t="shared" si="6"/>
        <v>0</v>
      </c>
    </row>
    <row r="88" spans="2:24" x14ac:dyDescent="0.25">
      <c r="B88" s="3"/>
      <c r="C88" s="3"/>
      <c r="D88" s="493">
        <v>8</v>
      </c>
      <c r="E88" s="710" t="str">
        <f t="shared" si="3"/>
        <v/>
      </c>
      <c r="F88" s="1193" t="str">
        <f t="shared" si="7"/>
        <v/>
      </c>
      <c r="G88" s="1193"/>
      <c r="H88" s="696"/>
      <c r="I88" s="696"/>
      <c r="J88" s="696"/>
      <c r="K88" s="696"/>
      <c r="L88" s="696"/>
      <c r="M88" s="696"/>
      <c r="N88" s="696"/>
      <c r="O88" s="292"/>
      <c r="P88" s="4"/>
      <c r="X88" s="305" t="b">
        <f t="shared" si="6"/>
        <v>0</v>
      </c>
    </row>
    <row r="89" spans="2:24" x14ac:dyDescent="0.25">
      <c r="B89" s="3"/>
      <c r="C89" s="3"/>
      <c r="D89" s="493">
        <v>9</v>
      </c>
      <c r="E89" s="710" t="str">
        <f t="shared" si="3"/>
        <v/>
      </c>
      <c r="F89" s="1193" t="str">
        <f t="shared" si="7"/>
        <v/>
      </c>
      <c r="G89" s="1193"/>
      <c r="H89" s="696"/>
      <c r="I89" s="696"/>
      <c r="J89" s="696"/>
      <c r="K89" s="696"/>
      <c r="L89" s="696"/>
      <c r="M89" s="696"/>
      <c r="N89" s="696"/>
      <c r="O89" s="292"/>
      <c r="P89" s="4"/>
      <c r="X89" s="305" t="b">
        <f t="shared" si="6"/>
        <v>0</v>
      </c>
    </row>
    <row r="90" spans="2:24" x14ac:dyDescent="0.25">
      <c r="B90" s="3"/>
      <c r="C90" s="3"/>
      <c r="D90" s="493">
        <v>10</v>
      </c>
      <c r="E90" s="710" t="str">
        <f t="shared" si="3"/>
        <v/>
      </c>
      <c r="F90" s="1193" t="str">
        <f t="shared" si="7"/>
        <v/>
      </c>
      <c r="G90" s="1193"/>
      <c r="H90" s="696"/>
      <c r="I90" s="696"/>
      <c r="J90" s="696"/>
      <c r="K90" s="696"/>
      <c r="L90" s="696"/>
      <c r="M90" s="696"/>
      <c r="N90" s="696"/>
      <c r="O90" s="292"/>
      <c r="P90" s="4"/>
      <c r="X90" s="305" t="b">
        <f t="shared" si="6"/>
        <v>0</v>
      </c>
    </row>
    <row r="91" spans="2:24" x14ac:dyDescent="0.25">
      <c r="B91" s="3"/>
      <c r="C91" s="3"/>
      <c r="D91" s="493">
        <v>11</v>
      </c>
      <c r="E91" s="710" t="str">
        <f t="shared" si="3"/>
        <v/>
      </c>
      <c r="F91" s="1193" t="str">
        <f t="shared" si="7"/>
        <v/>
      </c>
      <c r="G91" s="1193"/>
      <c r="H91" s="696"/>
      <c r="I91" s="696"/>
      <c r="J91" s="696"/>
      <c r="K91" s="696"/>
      <c r="L91" s="696"/>
      <c r="M91" s="696"/>
      <c r="N91" s="696"/>
      <c r="O91" s="292"/>
      <c r="P91" s="4"/>
      <c r="X91" s="305" t="b">
        <f t="shared" si="6"/>
        <v>0</v>
      </c>
    </row>
    <row r="92" spans="2:24" x14ac:dyDescent="0.25">
      <c r="B92" s="3"/>
      <c r="C92" s="3"/>
      <c r="D92" s="493">
        <v>12</v>
      </c>
      <c r="E92" s="710" t="str">
        <f t="shared" si="3"/>
        <v/>
      </c>
      <c r="F92" s="1193" t="str">
        <f t="shared" si="7"/>
        <v/>
      </c>
      <c r="G92" s="1193"/>
      <c r="H92" s="696"/>
      <c r="I92" s="696"/>
      <c r="J92" s="696"/>
      <c r="K92" s="696"/>
      <c r="L92" s="696"/>
      <c r="M92" s="696"/>
      <c r="N92" s="696"/>
      <c r="O92" s="292"/>
      <c r="P92" s="4"/>
      <c r="X92" s="305" t="b">
        <f t="shared" si="6"/>
        <v>0</v>
      </c>
    </row>
    <row r="93" spans="2:24" x14ac:dyDescent="0.25">
      <c r="B93" s="3"/>
      <c r="C93" s="3"/>
      <c r="D93" s="493">
        <v>13</v>
      </c>
      <c r="E93" s="710" t="str">
        <f t="shared" si="3"/>
        <v/>
      </c>
      <c r="F93" s="1193" t="str">
        <f t="shared" si="7"/>
        <v/>
      </c>
      <c r="G93" s="1193"/>
      <c r="H93" s="696"/>
      <c r="I93" s="696"/>
      <c r="J93" s="696"/>
      <c r="K93" s="696"/>
      <c r="L93" s="696"/>
      <c r="M93" s="696"/>
      <c r="N93" s="696"/>
      <c r="O93" s="292"/>
      <c r="P93" s="4"/>
      <c r="X93" s="305" t="b">
        <f t="shared" si="6"/>
        <v>0</v>
      </c>
    </row>
    <row r="94" spans="2:24" x14ac:dyDescent="0.25">
      <c r="B94" s="3"/>
      <c r="C94" s="3"/>
      <c r="D94" s="493">
        <v>14</v>
      </c>
      <c r="E94" s="710" t="str">
        <f t="shared" si="3"/>
        <v/>
      </c>
      <c r="F94" s="1193" t="str">
        <f t="shared" si="7"/>
        <v/>
      </c>
      <c r="G94" s="1193"/>
      <c r="H94" s="696"/>
      <c r="I94" s="696"/>
      <c r="J94" s="696"/>
      <c r="K94" s="696"/>
      <c r="L94" s="696"/>
      <c r="M94" s="696"/>
      <c r="N94" s="696"/>
      <c r="O94" s="292"/>
      <c r="P94" s="4"/>
      <c r="X94" s="305" t="b">
        <f t="shared" si="6"/>
        <v>0</v>
      </c>
    </row>
    <row r="95" spans="2:24" x14ac:dyDescent="0.25">
      <c r="B95" s="3"/>
      <c r="C95" s="3"/>
      <c r="D95" s="493">
        <v>15</v>
      </c>
      <c r="E95" s="710" t="str">
        <f t="shared" si="3"/>
        <v/>
      </c>
      <c r="F95" s="1193" t="str">
        <f t="shared" si="7"/>
        <v/>
      </c>
      <c r="G95" s="1193"/>
      <c r="H95" s="696"/>
      <c r="I95" s="696"/>
      <c r="J95" s="696"/>
      <c r="K95" s="696"/>
      <c r="L95" s="696"/>
      <c r="M95" s="696"/>
      <c r="N95" s="696"/>
      <c r="O95" s="292"/>
      <c r="P95" s="4"/>
      <c r="X95" s="305" t="b">
        <f t="shared" si="6"/>
        <v>0</v>
      </c>
    </row>
    <row r="96" spans="2:24" x14ac:dyDescent="0.25">
      <c r="B96" s="3"/>
      <c r="C96" s="3"/>
      <c r="D96" s="493">
        <v>16</v>
      </c>
      <c r="E96" s="710" t="str">
        <f t="shared" si="3"/>
        <v/>
      </c>
      <c r="F96" s="1193" t="str">
        <f t="shared" si="7"/>
        <v/>
      </c>
      <c r="G96" s="1193"/>
      <c r="H96" s="696"/>
      <c r="I96" s="696"/>
      <c r="J96" s="696"/>
      <c r="K96" s="696"/>
      <c r="L96" s="696"/>
      <c r="M96" s="696"/>
      <c r="N96" s="696"/>
      <c r="O96" s="292"/>
      <c r="P96" s="4"/>
      <c r="X96" s="305" t="b">
        <f t="shared" si="6"/>
        <v>0</v>
      </c>
    </row>
    <row r="97" spans="2:24" x14ac:dyDescent="0.25">
      <c r="B97" s="3"/>
      <c r="C97" s="3"/>
      <c r="D97" s="493">
        <v>17</v>
      </c>
      <c r="E97" s="710" t="str">
        <f t="shared" si="3"/>
        <v/>
      </c>
      <c r="F97" s="1193" t="str">
        <f t="shared" si="7"/>
        <v/>
      </c>
      <c r="G97" s="1193"/>
      <c r="H97" s="696"/>
      <c r="I97" s="696"/>
      <c r="J97" s="696"/>
      <c r="K97" s="696"/>
      <c r="L97" s="696"/>
      <c r="M97" s="696"/>
      <c r="N97" s="696"/>
      <c r="O97" s="292"/>
      <c r="P97" s="4"/>
      <c r="X97" s="305" t="b">
        <f t="shared" si="6"/>
        <v>0</v>
      </c>
    </row>
    <row r="98" spans="2:24" x14ac:dyDescent="0.25">
      <c r="B98" s="3"/>
      <c r="C98" s="3"/>
      <c r="D98" s="493">
        <v>18</v>
      </c>
      <c r="E98" s="710" t="str">
        <f t="shared" si="3"/>
        <v/>
      </c>
      <c r="F98" s="1193" t="str">
        <f t="shared" si="7"/>
        <v/>
      </c>
      <c r="G98" s="1193"/>
      <c r="H98" s="696"/>
      <c r="I98" s="696"/>
      <c r="J98" s="696"/>
      <c r="K98" s="696"/>
      <c r="L98" s="696"/>
      <c r="M98" s="696"/>
      <c r="N98" s="696"/>
      <c r="O98" s="292"/>
      <c r="P98" s="4"/>
      <c r="X98" s="305" t="b">
        <f t="shared" si="6"/>
        <v>0</v>
      </c>
    </row>
    <row r="99" spans="2:24" x14ac:dyDescent="0.25">
      <c r="B99" s="3"/>
      <c r="C99" s="3"/>
      <c r="D99" s="493">
        <v>19</v>
      </c>
      <c r="E99" s="710" t="str">
        <f t="shared" si="3"/>
        <v/>
      </c>
      <c r="F99" s="1193" t="str">
        <f t="shared" si="7"/>
        <v/>
      </c>
      <c r="G99" s="1193"/>
      <c r="H99" s="696"/>
      <c r="I99" s="696"/>
      <c r="J99" s="696"/>
      <c r="K99" s="696"/>
      <c r="L99" s="696"/>
      <c r="M99" s="696"/>
      <c r="N99" s="696"/>
      <c r="O99" s="292"/>
      <c r="P99" s="4"/>
      <c r="X99" s="305" t="b">
        <f t="shared" si="6"/>
        <v>0</v>
      </c>
    </row>
    <row r="100" spans="2:24" x14ac:dyDescent="0.25">
      <c r="B100" s="3"/>
      <c r="C100" s="3"/>
      <c r="D100" s="493">
        <v>20</v>
      </c>
      <c r="E100" s="710" t="str">
        <f t="shared" si="3"/>
        <v/>
      </c>
      <c r="F100" s="1193" t="str">
        <f t="shared" si="7"/>
        <v/>
      </c>
      <c r="G100" s="1193"/>
      <c r="H100" s="696"/>
      <c r="I100" s="696"/>
      <c r="J100" s="696"/>
      <c r="K100" s="696"/>
      <c r="L100" s="696"/>
      <c r="M100" s="696"/>
      <c r="N100" s="696"/>
      <c r="O100" s="292"/>
      <c r="P100" s="4"/>
      <c r="X100" s="305" t="b">
        <f t="shared" si="6"/>
        <v>0</v>
      </c>
    </row>
    <row r="101" spans="2:24" ht="12.75" customHeight="1" x14ac:dyDescent="0.25">
      <c r="B101" s="3"/>
      <c r="C101" s="3"/>
      <c r="D101" s="3"/>
      <c r="E101" s="61"/>
      <c r="F101" s="7"/>
      <c r="G101" s="7"/>
      <c r="H101" s="7"/>
      <c r="I101" s="7"/>
      <c r="J101" s="7"/>
      <c r="K101" s="7"/>
      <c r="L101" s="7"/>
      <c r="M101" s="7"/>
      <c r="N101" s="3"/>
      <c r="O101" s="292"/>
      <c r="P101" s="4"/>
    </row>
    <row r="102" spans="2:24" ht="12.75" customHeight="1" x14ac:dyDescent="0.25">
      <c r="B102" s="3"/>
      <c r="C102" s="3"/>
      <c r="D102" s="3"/>
      <c r="E102" s="61"/>
      <c r="F102" s="7"/>
      <c r="G102" s="7"/>
      <c r="H102" s="7"/>
      <c r="I102" s="7"/>
      <c r="J102" s="7"/>
      <c r="K102" s="7"/>
      <c r="L102" s="7"/>
      <c r="M102" s="7"/>
      <c r="N102" s="3"/>
      <c r="O102" s="292"/>
      <c r="P102" s="4"/>
    </row>
    <row r="103" spans="2:24" ht="12.75" customHeight="1" x14ac:dyDescent="0.25">
      <c r="B103" s="3"/>
      <c r="C103" s="3"/>
      <c r="D103" s="3"/>
      <c r="E103" s="61"/>
      <c r="F103" s="7"/>
      <c r="G103" s="7"/>
      <c r="H103" s="7"/>
      <c r="I103" s="7"/>
      <c r="J103" s="7"/>
      <c r="K103" s="7"/>
      <c r="L103" s="7"/>
      <c r="M103" s="7"/>
      <c r="N103" s="3"/>
      <c r="O103" s="292"/>
      <c r="P103" s="4"/>
    </row>
    <row r="104" spans="2:24" ht="12.75" customHeight="1" x14ac:dyDescent="0.25">
      <c r="B104" s="3"/>
      <c r="C104" s="3"/>
      <c r="D104" s="3"/>
      <c r="E104" s="61"/>
      <c r="F104" s="7"/>
      <c r="G104" s="7"/>
      <c r="H104" s="7"/>
      <c r="I104" s="7"/>
      <c r="J104" s="7"/>
      <c r="K104" s="7"/>
      <c r="L104" s="7"/>
      <c r="M104" s="7"/>
      <c r="N104" s="3"/>
      <c r="O104" s="292"/>
      <c r="P104" s="4"/>
    </row>
    <row r="105" spans="2:24" ht="12.75" customHeight="1" x14ac:dyDescent="0.25">
      <c r="B105" s="3"/>
      <c r="C105" s="3"/>
      <c r="D105" s="3"/>
      <c r="E105" s="61"/>
      <c r="F105" s="7"/>
      <c r="G105" s="7"/>
      <c r="H105" s="7"/>
      <c r="I105" s="7"/>
      <c r="J105" s="7"/>
      <c r="K105" s="7"/>
      <c r="L105" s="7"/>
      <c r="M105" s="7"/>
      <c r="N105" s="3"/>
      <c r="O105" s="292"/>
      <c r="P105" s="4"/>
    </row>
    <row r="106" spans="2:24" ht="12.75" customHeight="1" x14ac:dyDescent="0.25">
      <c r="B106" s="3"/>
      <c r="C106" s="3"/>
      <c r="D106" s="3"/>
      <c r="E106" s="61"/>
      <c r="F106" s="7"/>
      <c r="G106" s="7"/>
      <c r="H106" s="7"/>
      <c r="I106" s="7"/>
      <c r="J106" s="7"/>
      <c r="K106" s="7"/>
      <c r="L106" s="7"/>
      <c r="M106" s="7"/>
      <c r="N106" s="3"/>
      <c r="O106" s="292"/>
      <c r="P106" s="4"/>
    </row>
    <row r="107" spans="2:24" ht="12.75" customHeight="1" x14ac:dyDescent="0.25">
      <c r="B107" s="3"/>
      <c r="C107" s="3"/>
      <c r="D107" s="3"/>
      <c r="E107" s="61"/>
      <c r="F107" s="7"/>
      <c r="G107" s="7"/>
      <c r="H107" s="7"/>
      <c r="I107" s="7"/>
      <c r="J107" s="7"/>
      <c r="K107" s="7"/>
      <c r="L107" s="7"/>
      <c r="M107" s="7"/>
      <c r="N107" s="3"/>
      <c r="O107" s="292"/>
      <c r="P107" s="4"/>
    </row>
    <row r="108" spans="2:24" ht="12.75" customHeight="1" x14ac:dyDescent="0.25">
      <c r="B108" s="3"/>
      <c r="C108" s="3"/>
      <c r="D108" s="3"/>
      <c r="E108" s="61"/>
      <c r="F108" s="7"/>
      <c r="G108" s="7"/>
      <c r="H108" s="7"/>
      <c r="I108" s="7"/>
      <c r="J108" s="7"/>
      <c r="K108" s="7"/>
      <c r="L108" s="7"/>
      <c r="M108" s="7"/>
      <c r="N108" s="3"/>
      <c r="O108" s="292"/>
      <c r="P108" s="4"/>
    </row>
    <row r="109" spans="2:24" ht="12.75" customHeight="1" x14ac:dyDescent="0.25">
      <c r="B109" s="3"/>
      <c r="C109" s="3"/>
      <c r="D109" s="3"/>
      <c r="E109" s="61"/>
      <c r="F109" s="7"/>
      <c r="G109" s="7"/>
      <c r="H109" s="7"/>
      <c r="I109" s="7"/>
      <c r="J109" s="7"/>
      <c r="K109" s="7"/>
      <c r="L109" s="7"/>
      <c r="M109" s="7"/>
      <c r="N109" s="3"/>
      <c r="O109" s="292"/>
      <c r="P109" s="4"/>
    </row>
    <row r="110" spans="2:24" ht="12.75" customHeight="1" x14ac:dyDescent="0.25">
      <c r="B110" s="3"/>
      <c r="C110" s="3"/>
      <c r="D110" s="3"/>
      <c r="E110" s="61"/>
      <c r="F110" s="7"/>
      <c r="G110" s="7"/>
      <c r="H110" s="7"/>
      <c r="I110" s="7"/>
      <c r="J110" s="7"/>
      <c r="K110" s="7"/>
      <c r="L110" s="7"/>
      <c r="M110" s="7"/>
      <c r="N110" s="3"/>
      <c r="O110" s="292"/>
      <c r="P110" s="4"/>
    </row>
    <row r="111" spans="2:24" ht="12.75" customHeight="1" x14ac:dyDescent="0.25">
      <c r="B111" s="3"/>
      <c r="C111" s="3"/>
      <c r="D111" s="3"/>
      <c r="E111" s="61"/>
      <c r="F111" s="7"/>
      <c r="G111" s="7"/>
      <c r="H111" s="7"/>
      <c r="I111" s="7"/>
      <c r="J111" s="7"/>
      <c r="K111" s="7"/>
      <c r="L111" s="7"/>
      <c r="M111" s="7"/>
      <c r="N111" s="3"/>
      <c r="O111" s="292"/>
      <c r="P111" s="4"/>
    </row>
    <row r="112" spans="2:24" ht="12.65" customHeight="1" x14ac:dyDescent="0.25">
      <c r="B112" s="3"/>
      <c r="C112" s="3"/>
      <c r="D112" s="3"/>
      <c r="E112" s="61"/>
      <c r="F112" s="7"/>
      <c r="G112" s="7"/>
      <c r="H112" s="7"/>
      <c r="I112" s="7"/>
      <c r="J112" s="7"/>
      <c r="K112" s="7"/>
      <c r="L112" s="7"/>
      <c r="M112" s="7"/>
      <c r="N112" s="3"/>
      <c r="O112" s="292"/>
      <c r="P112" s="4"/>
    </row>
    <row r="113" spans="1:24" ht="11.15" customHeight="1" x14ac:dyDescent="0.25">
      <c r="B113" s="3"/>
      <c r="C113" s="3"/>
      <c r="D113" s="3"/>
      <c r="E113" s="61"/>
      <c r="F113" s="7"/>
      <c r="G113" s="7"/>
      <c r="H113" s="7"/>
      <c r="I113" s="7"/>
      <c r="J113" s="7"/>
      <c r="K113" s="7"/>
      <c r="L113" s="7"/>
      <c r="M113" s="7"/>
      <c r="N113" s="3"/>
      <c r="O113" s="292"/>
      <c r="P113" s="4"/>
    </row>
    <row r="114" spans="1:24" ht="12.75" customHeight="1" x14ac:dyDescent="0.25">
      <c r="B114" s="3"/>
      <c r="C114" s="3"/>
      <c r="D114" s="3"/>
      <c r="E114" s="61"/>
      <c r="F114" s="7"/>
      <c r="G114" s="7"/>
      <c r="H114" s="7"/>
      <c r="I114" s="7"/>
      <c r="J114" s="7"/>
      <c r="K114" s="7"/>
      <c r="L114" s="7"/>
      <c r="M114" s="7"/>
      <c r="N114" s="3"/>
      <c r="O114" s="292"/>
      <c r="P114" s="4"/>
    </row>
    <row r="115" spans="1:24" ht="12.75" hidden="1" customHeight="1" x14ac:dyDescent="0.25">
      <c r="B115" s="3"/>
      <c r="C115" s="3"/>
      <c r="D115" s="3"/>
      <c r="E115" s="61"/>
      <c r="F115" s="7"/>
      <c r="G115" s="7"/>
      <c r="H115" s="7"/>
      <c r="I115" s="7"/>
      <c r="J115" s="7"/>
      <c r="K115" s="7"/>
      <c r="L115" s="7"/>
      <c r="M115" s="7"/>
      <c r="N115" s="3"/>
      <c r="O115" s="292"/>
      <c r="P115" s="4"/>
    </row>
    <row r="116" spans="1:24" hidden="1" x14ac:dyDescent="0.25">
      <c r="O116" s="291"/>
      <c r="P116" s="7"/>
    </row>
    <row r="117" spans="1:24" s="254" customFormat="1" hidden="1" x14ac:dyDescent="0.25">
      <c r="A117" s="232" t="s">
        <v>0</v>
      </c>
      <c r="B117" s="232" t="s">
        <v>147</v>
      </c>
      <c r="C117" s="232" t="s">
        <v>147</v>
      </c>
      <c r="D117" s="232" t="s">
        <v>147</v>
      </c>
      <c r="E117" s="232" t="s">
        <v>147</v>
      </c>
      <c r="F117" s="232" t="s">
        <v>147</v>
      </c>
      <c r="G117" s="232" t="s">
        <v>147</v>
      </c>
      <c r="H117" s="232" t="s">
        <v>147</v>
      </c>
      <c r="I117" s="232" t="s">
        <v>147</v>
      </c>
      <c r="J117" s="232" t="s">
        <v>147</v>
      </c>
      <c r="K117" s="232" t="s">
        <v>147</v>
      </c>
      <c r="L117" s="232" t="s">
        <v>147</v>
      </c>
      <c r="M117" s="232" t="s">
        <v>147</v>
      </c>
      <c r="N117" s="232" t="s">
        <v>147</v>
      </c>
      <c r="O117" s="299" t="s">
        <v>147</v>
      </c>
      <c r="P117" s="232" t="s">
        <v>147</v>
      </c>
      <c r="Q117" s="232" t="s">
        <v>147</v>
      </c>
      <c r="R117" s="232" t="s">
        <v>147</v>
      </c>
      <c r="S117" s="232" t="s">
        <v>147</v>
      </c>
      <c r="T117" s="232" t="s">
        <v>147</v>
      </c>
      <c r="U117" s="232" t="s">
        <v>147</v>
      </c>
      <c r="V117" s="232" t="s">
        <v>147</v>
      </c>
      <c r="W117" s="232" t="s">
        <v>147</v>
      </c>
      <c r="X117" s="232" t="s">
        <v>147</v>
      </c>
    </row>
    <row r="118" spans="1:24" s="254" customFormat="1" hidden="1" x14ac:dyDescent="0.25">
      <c r="A118" s="232" t="s">
        <v>0</v>
      </c>
      <c r="E118" s="278"/>
      <c r="O118" s="289"/>
      <c r="P118" s="259" t="s">
        <v>12</v>
      </c>
    </row>
    <row r="119" spans="1:24" ht="13" hidden="1" thickBot="1" x14ac:dyDescent="0.3">
      <c r="A119" s="232" t="s">
        <v>0</v>
      </c>
      <c r="O119" s="291"/>
      <c r="P119" s="7"/>
    </row>
    <row r="120" spans="1:24" ht="13.5" hidden="1" thickBot="1" x14ac:dyDescent="0.3">
      <c r="A120" s="232" t="s">
        <v>0</v>
      </c>
      <c r="F120" s="391"/>
      <c r="G120" s="392" t="str">
        <f>Translations!$B$451</f>
        <v>EUTL-tunniste</v>
      </c>
      <c r="H120" s="392" t="s">
        <v>148</v>
      </c>
      <c r="I120" s="392" t="str">
        <f>Translations!$B$451</f>
        <v>EUTL-tunniste</v>
      </c>
      <c r="J120" s="392"/>
      <c r="K120" s="392"/>
      <c r="L120" s="392"/>
      <c r="M120" s="393" t="str">
        <f>Translations!$B$402</f>
        <v>Vaihteluväli</v>
      </c>
      <c r="O120" s="291"/>
      <c r="P120" s="7"/>
    </row>
    <row r="121" spans="1:24" hidden="1" x14ac:dyDescent="0.25">
      <c r="A121" s="232" t="s">
        <v>0</v>
      </c>
      <c r="F121" s="394">
        <v>1</v>
      </c>
      <c r="G121" s="172" t="str">
        <f>INDEX($R$30:$R$49,F121)</f>
        <v>ei sovellettavissa</v>
      </c>
      <c r="H121" s="172" t="str">
        <f>IF(G121=EUconst_NA,"",MAX($H120:H$120)+1)</f>
        <v/>
      </c>
      <c r="I121" s="13" t="str">
        <f>IF(COUNTIF($H$121:$H$145,F121)=0,"",INDEX($G$121:$G$145,MATCH(F121,$H$121:$H$145,0)))</f>
        <v/>
      </c>
      <c r="J121" s="172"/>
      <c r="K121" s="172"/>
      <c r="L121" s="172"/>
      <c r="M121" s="395" t="str">
        <f ca="1">ADDRESS(ROW(I121),COLUMN(I121),,,T2)&amp;":"&amp;ADDRESS(ROW(I121)+COUNTIF(G121:G140,"&lt;&gt;"&amp;EUconst_NA)-1,COLUMN(I121))</f>
        <v>'D_Kaksoislaskennan välttäminen'!$I$121:$I$120</v>
      </c>
      <c r="O121" s="291"/>
      <c r="P121" s="7"/>
    </row>
    <row r="122" spans="1:24" hidden="1" x14ac:dyDescent="0.25">
      <c r="A122" s="232" t="s">
        <v>0</v>
      </c>
      <c r="F122" s="396">
        <v>2</v>
      </c>
      <c r="G122" s="175" t="str">
        <f t="shared" ref="G122:G140" si="8">INDEX($R$30:$R$49,F122)</f>
        <v>ei sovellettavissa</v>
      </c>
      <c r="H122" s="175" t="str">
        <f>IF(G122=EUconst_NA,"",MAX($H$120:H121)+1)</f>
        <v/>
      </c>
      <c r="I122" s="14" t="str">
        <f t="shared" ref="I122:I140" si="9">IF(COUNTIF($H$121:$H$145,F122)=0,"",INDEX($G$121:$G$145,MATCH(F122,$H$121:$H$145,0)))</f>
        <v/>
      </c>
      <c r="J122" s="175"/>
      <c r="K122" s="175"/>
      <c r="L122" s="175"/>
      <c r="M122" s="176"/>
      <c r="O122" s="291"/>
      <c r="P122" s="7"/>
    </row>
    <row r="123" spans="1:24" hidden="1" x14ac:dyDescent="0.25">
      <c r="A123" s="232" t="s">
        <v>0</v>
      </c>
      <c r="F123" s="396">
        <v>3</v>
      </c>
      <c r="G123" s="175" t="str">
        <f t="shared" si="8"/>
        <v>ei sovellettavissa</v>
      </c>
      <c r="H123" s="175" t="str">
        <f>IF(G123=EUconst_NA,"",MAX($H$120:H122)+1)</f>
        <v/>
      </c>
      <c r="I123" s="14" t="str">
        <f t="shared" si="9"/>
        <v/>
      </c>
      <c r="J123" s="175"/>
      <c r="K123" s="175"/>
      <c r="L123" s="175"/>
      <c r="M123" s="582" t="str">
        <f ca="1">C_Päästölaskenta!M652</f>
        <v>C_Päästölaskenta!$I$652:$I$651</v>
      </c>
      <c r="O123" s="291"/>
      <c r="P123" s="7"/>
    </row>
    <row r="124" spans="1:24" hidden="1" x14ac:dyDescent="0.25">
      <c r="A124" s="232" t="s">
        <v>0</v>
      </c>
      <c r="F124" s="396">
        <v>4</v>
      </c>
      <c r="G124" s="175" t="str">
        <f t="shared" si="8"/>
        <v>ei sovellettavissa</v>
      </c>
      <c r="H124" s="175" t="str">
        <f>IF(G124=EUconst_NA,"",MAX($H$120:H123)+1)</f>
        <v/>
      </c>
      <c r="I124" s="14" t="str">
        <f t="shared" si="9"/>
        <v/>
      </c>
      <c r="J124" s="175"/>
      <c r="K124" s="175"/>
      <c r="L124" s="175"/>
      <c r="M124" s="176"/>
      <c r="O124" s="291"/>
      <c r="P124" s="7"/>
    </row>
    <row r="125" spans="1:24" hidden="1" x14ac:dyDescent="0.25">
      <c r="A125" s="232" t="s">
        <v>0</v>
      </c>
      <c r="F125" s="396">
        <v>5</v>
      </c>
      <c r="G125" s="175" t="str">
        <f t="shared" si="8"/>
        <v>ei sovellettavissa</v>
      </c>
      <c r="H125" s="175" t="str">
        <f>IF(G125=EUconst_NA,"",MAX($H$120:H124)+1)</f>
        <v/>
      </c>
      <c r="I125" s="14" t="str">
        <f t="shared" si="9"/>
        <v/>
      </c>
      <c r="J125" s="175"/>
      <c r="K125" s="175"/>
      <c r="L125" s="175"/>
      <c r="M125" s="176"/>
      <c r="O125" s="291"/>
      <c r="P125" s="7"/>
    </row>
    <row r="126" spans="1:24" hidden="1" x14ac:dyDescent="0.25">
      <c r="A126" s="232" t="s">
        <v>0</v>
      </c>
      <c r="F126" s="396">
        <v>6</v>
      </c>
      <c r="G126" s="175" t="str">
        <f t="shared" si="8"/>
        <v>ei sovellettavissa</v>
      </c>
      <c r="H126" s="175" t="str">
        <f>IF(G126=EUconst_NA,"",MAX($H$120:H125)+1)</f>
        <v/>
      </c>
      <c r="I126" s="14" t="str">
        <f t="shared" si="9"/>
        <v/>
      </c>
      <c r="J126" s="175"/>
      <c r="K126" s="175"/>
      <c r="L126" s="175"/>
      <c r="M126" s="176"/>
      <c r="O126" s="291"/>
      <c r="P126" s="7"/>
    </row>
    <row r="127" spans="1:24" hidden="1" x14ac:dyDescent="0.25">
      <c r="A127" s="232" t="s">
        <v>0</v>
      </c>
      <c r="F127" s="396">
        <v>7</v>
      </c>
      <c r="G127" s="175" t="str">
        <f t="shared" si="8"/>
        <v>ei sovellettavissa</v>
      </c>
      <c r="H127" s="175" t="str">
        <f>IF(G127=EUconst_NA,"",MAX($H$120:H126)+1)</f>
        <v/>
      </c>
      <c r="I127" s="14" t="str">
        <f t="shared" si="9"/>
        <v/>
      </c>
      <c r="J127" s="175"/>
      <c r="K127" s="175"/>
      <c r="L127" s="175"/>
      <c r="M127" s="176"/>
      <c r="O127" s="291"/>
      <c r="P127" s="7"/>
    </row>
    <row r="128" spans="1:24" hidden="1" x14ac:dyDescent="0.25">
      <c r="A128" s="232" t="s">
        <v>0</v>
      </c>
      <c r="F128" s="396">
        <v>8</v>
      </c>
      <c r="G128" s="175" t="str">
        <f t="shared" si="8"/>
        <v>ei sovellettavissa</v>
      </c>
      <c r="H128" s="175" t="str">
        <f>IF(G128=EUconst_NA,"",MAX($H$120:H127)+1)</f>
        <v/>
      </c>
      <c r="I128" s="14" t="str">
        <f t="shared" si="9"/>
        <v/>
      </c>
      <c r="J128" s="175"/>
      <c r="K128" s="175"/>
      <c r="L128" s="175"/>
      <c r="M128" s="176"/>
      <c r="O128" s="291"/>
      <c r="P128" s="7"/>
    </row>
    <row r="129" spans="1:13" hidden="1" x14ac:dyDescent="0.25">
      <c r="A129" s="232" t="s">
        <v>0</v>
      </c>
      <c r="F129" s="396">
        <v>9</v>
      </c>
      <c r="G129" s="175" t="str">
        <f t="shared" si="8"/>
        <v>ei sovellettavissa</v>
      </c>
      <c r="H129" s="175" t="str">
        <f>IF(G129=EUconst_NA,"",MAX($H$120:H128)+1)</f>
        <v/>
      </c>
      <c r="I129" s="14" t="str">
        <f t="shared" si="9"/>
        <v/>
      </c>
      <c r="J129" s="175"/>
      <c r="K129" s="175"/>
      <c r="L129" s="175"/>
      <c r="M129" s="176"/>
    </row>
    <row r="130" spans="1:13" hidden="1" x14ac:dyDescent="0.25">
      <c r="A130" s="232" t="s">
        <v>0</v>
      </c>
      <c r="F130" s="396">
        <v>10</v>
      </c>
      <c r="G130" s="175" t="str">
        <f t="shared" si="8"/>
        <v>ei sovellettavissa</v>
      </c>
      <c r="H130" s="175" t="str">
        <f>IF(G130=EUconst_NA,"",MAX($H$120:H129)+1)</f>
        <v/>
      </c>
      <c r="I130" s="14" t="str">
        <f t="shared" si="9"/>
        <v/>
      </c>
      <c r="J130" s="175"/>
      <c r="K130" s="175"/>
      <c r="L130" s="175"/>
      <c r="M130" s="176"/>
    </row>
    <row r="131" spans="1:13" hidden="1" x14ac:dyDescent="0.25">
      <c r="A131" s="232" t="s">
        <v>0</v>
      </c>
      <c r="F131" s="396">
        <v>11</v>
      </c>
      <c r="G131" s="175" t="str">
        <f t="shared" si="8"/>
        <v>ei sovellettavissa</v>
      </c>
      <c r="H131" s="175" t="str">
        <f>IF(G131=EUconst_NA,"",MAX($H$120:H130)+1)</f>
        <v/>
      </c>
      <c r="I131" s="14" t="str">
        <f t="shared" si="9"/>
        <v/>
      </c>
      <c r="J131" s="175"/>
      <c r="K131" s="175"/>
      <c r="L131" s="175"/>
      <c r="M131" s="176"/>
    </row>
    <row r="132" spans="1:13" hidden="1" x14ac:dyDescent="0.25">
      <c r="A132" s="232" t="s">
        <v>0</v>
      </c>
      <c r="F132" s="396">
        <v>12</v>
      </c>
      <c r="G132" s="175" t="str">
        <f t="shared" si="8"/>
        <v>ei sovellettavissa</v>
      </c>
      <c r="H132" s="175" t="str">
        <f>IF(G132=EUconst_NA,"",MAX($H$120:H131)+1)</f>
        <v/>
      </c>
      <c r="I132" s="14" t="str">
        <f t="shared" si="9"/>
        <v/>
      </c>
      <c r="J132" s="175"/>
      <c r="K132" s="175"/>
      <c r="L132" s="175"/>
      <c r="M132" s="176"/>
    </row>
    <row r="133" spans="1:13" hidden="1" x14ac:dyDescent="0.25">
      <c r="A133" s="232" t="s">
        <v>0</v>
      </c>
      <c r="F133" s="396">
        <v>13</v>
      </c>
      <c r="G133" s="175" t="str">
        <f t="shared" si="8"/>
        <v>ei sovellettavissa</v>
      </c>
      <c r="H133" s="175" t="str">
        <f>IF(G133=EUconst_NA,"",MAX($H$120:H132)+1)</f>
        <v/>
      </c>
      <c r="I133" s="14" t="str">
        <f t="shared" si="9"/>
        <v/>
      </c>
      <c r="J133" s="175"/>
      <c r="K133" s="175"/>
      <c r="L133" s="175"/>
      <c r="M133" s="176"/>
    </row>
    <row r="134" spans="1:13" hidden="1" x14ac:dyDescent="0.25">
      <c r="A134" s="232" t="s">
        <v>0</v>
      </c>
      <c r="F134" s="396">
        <v>14</v>
      </c>
      <c r="G134" s="175" t="str">
        <f t="shared" si="8"/>
        <v>ei sovellettavissa</v>
      </c>
      <c r="H134" s="175" t="str">
        <f>IF(G134=EUconst_NA,"",MAX($H$120:H133)+1)</f>
        <v/>
      </c>
      <c r="I134" s="14" t="str">
        <f t="shared" si="9"/>
        <v/>
      </c>
      <c r="J134" s="175"/>
      <c r="K134" s="175"/>
      <c r="L134" s="175"/>
      <c r="M134" s="176"/>
    </row>
    <row r="135" spans="1:13" hidden="1" x14ac:dyDescent="0.25">
      <c r="A135" s="232" t="s">
        <v>0</v>
      </c>
      <c r="F135" s="396">
        <v>15</v>
      </c>
      <c r="G135" s="175" t="str">
        <f t="shared" si="8"/>
        <v>ei sovellettavissa</v>
      </c>
      <c r="H135" s="175" t="str">
        <f>IF(G135=EUconst_NA,"",MAX($H$120:H134)+1)</f>
        <v/>
      </c>
      <c r="I135" s="14" t="str">
        <f t="shared" si="9"/>
        <v/>
      </c>
      <c r="J135" s="175"/>
      <c r="K135" s="175"/>
      <c r="L135" s="175"/>
      <c r="M135" s="176"/>
    </row>
    <row r="136" spans="1:13" hidden="1" x14ac:dyDescent="0.25">
      <c r="A136" s="232" t="s">
        <v>0</v>
      </c>
      <c r="F136" s="396">
        <v>16</v>
      </c>
      <c r="G136" s="175" t="str">
        <f t="shared" si="8"/>
        <v>ei sovellettavissa</v>
      </c>
      <c r="H136" s="175" t="str">
        <f>IF(G136=EUconst_NA,"",MAX($H$120:H135)+1)</f>
        <v/>
      </c>
      <c r="I136" s="14" t="str">
        <f t="shared" si="9"/>
        <v/>
      </c>
      <c r="J136" s="175"/>
      <c r="K136" s="175"/>
      <c r="L136" s="175"/>
      <c r="M136" s="176"/>
    </row>
    <row r="137" spans="1:13" hidden="1" x14ac:dyDescent="0.25">
      <c r="A137" s="232" t="s">
        <v>0</v>
      </c>
      <c r="F137" s="396">
        <v>17</v>
      </c>
      <c r="G137" s="175" t="str">
        <f t="shared" si="8"/>
        <v>ei sovellettavissa</v>
      </c>
      <c r="H137" s="175" t="str">
        <f>IF(G137=EUconst_NA,"",MAX($H$120:H136)+1)</f>
        <v/>
      </c>
      <c r="I137" s="14" t="str">
        <f t="shared" si="9"/>
        <v/>
      </c>
      <c r="J137" s="175"/>
      <c r="K137" s="175"/>
      <c r="L137" s="175"/>
      <c r="M137" s="176"/>
    </row>
    <row r="138" spans="1:13" hidden="1" x14ac:dyDescent="0.25">
      <c r="A138" s="232" t="s">
        <v>0</v>
      </c>
      <c r="F138" s="396">
        <v>18</v>
      </c>
      <c r="G138" s="175" t="str">
        <f t="shared" si="8"/>
        <v>ei sovellettavissa</v>
      </c>
      <c r="H138" s="175" t="str">
        <f>IF(G138=EUconst_NA,"",MAX($H$120:H137)+1)</f>
        <v/>
      </c>
      <c r="I138" s="14" t="str">
        <f t="shared" si="9"/>
        <v/>
      </c>
      <c r="J138" s="175"/>
      <c r="K138" s="175"/>
      <c r="L138" s="175"/>
      <c r="M138" s="176"/>
    </row>
    <row r="139" spans="1:13" hidden="1" x14ac:dyDescent="0.25">
      <c r="A139" s="232" t="s">
        <v>0</v>
      </c>
      <c r="F139" s="396">
        <v>19</v>
      </c>
      <c r="G139" s="175" t="str">
        <f t="shared" si="8"/>
        <v>ei sovellettavissa</v>
      </c>
      <c r="H139" s="175" t="str">
        <f>IF(G139=EUconst_NA,"",MAX($H$120:H138)+1)</f>
        <v/>
      </c>
      <c r="I139" s="14" t="str">
        <f t="shared" si="9"/>
        <v/>
      </c>
      <c r="J139" s="175"/>
      <c r="K139" s="175"/>
      <c r="L139" s="175"/>
      <c r="M139" s="176"/>
    </row>
    <row r="140" spans="1:13" hidden="1" x14ac:dyDescent="0.25">
      <c r="A140" s="232" t="s">
        <v>0</v>
      </c>
      <c r="F140" s="396">
        <v>20</v>
      </c>
      <c r="G140" s="175" t="str">
        <f t="shared" si="8"/>
        <v>ei sovellettavissa</v>
      </c>
      <c r="H140" s="175" t="str">
        <f>IF(G140=EUconst_NA,"",MAX($H$120:H139)+1)</f>
        <v/>
      </c>
      <c r="I140" s="14" t="str">
        <f t="shared" si="9"/>
        <v/>
      </c>
      <c r="J140" s="175"/>
      <c r="K140" s="175"/>
      <c r="L140" s="175"/>
      <c r="M140" s="176"/>
    </row>
    <row r="141" spans="1:13" hidden="1" x14ac:dyDescent="0.25">
      <c r="A141" s="232" t="s">
        <v>0</v>
      </c>
      <c r="F141" s="396"/>
      <c r="G141" s="175"/>
      <c r="H141" s="175"/>
      <c r="I141" s="14"/>
      <c r="J141" s="175"/>
      <c r="K141" s="175"/>
      <c r="L141" s="175"/>
      <c r="M141" s="176"/>
    </row>
    <row r="142" spans="1:13" hidden="1" x14ac:dyDescent="0.25">
      <c r="A142" s="232" t="s">
        <v>0</v>
      </c>
      <c r="F142" s="396"/>
      <c r="G142" s="175"/>
      <c r="H142" s="175"/>
      <c r="I142" s="14"/>
      <c r="J142" s="175"/>
      <c r="K142" s="175"/>
      <c r="L142" s="175"/>
      <c r="M142" s="176"/>
    </row>
    <row r="143" spans="1:13" hidden="1" x14ac:dyDescent="0.25">
      <c r="A143" s="232" t="s">
        <v>0</v>
      </c>
      <c r="F143" s="396"/>
      <c r="G143" s="175"/>
      <c r="H143" s="175"/>
      <c r="I143" s="14"/>
      <c r="J143" s="175"/>
      <c r="K143" s="175"/>
      <c r="L143" s="175"/>
      <c r="M143" s="176"/>
    </row>
    <row r="144" spans="1:13" hidden="1" x14ac:dyDescent="0.25">
      <c r="A144" s="232" t="s">
        <v>0</v>
      </c>
      <c r="F144" s="396"/>
      <c r="G144" s="175"/>
      <c r="H144" s="175"/>
      <c r="I144" s="14"/>
      <c r="J144" s="175"/>
      <c r="K144" s="175"/>
      <c r="L144" s="175"/>
      <c r="M144" s="176"/>
    </row>
    <row r="145" spans="1:13" ht="13" hidden="1" thickBot="1" x14ac:dyDescent="0.3">
      <c r="A145" s="232" t="s">
        <v>0</v>
      </c>
      <c r="F145" s="397"/>
      <c r="G145" s="178"/>
      <c r="H145" s="178"/>
      <c r="I145" s="15"/>
      <c r="J145" s="178"/>
      <c r="K145" s="178"/>
      <c r="L145" s="178"/>
      <c r="M145" s="179"/>
    </row>
    <row r="146" spans="1:13" hidden="1" x14ac:dyDescent="0.25">
      <c r="A146" s="232" t="s">
        <v>0</v>
      </c>
    </row>
    <row r="147" spans="1:13" hidden="1" x14ac:dyDescent="0.25"/>
    <row r="148" spans="1:13" hidden="1" x14ac:dyDescent="0.25"/>
  </sheetData>
  <sheetProtection sheet="1" formatCells="0" formatColumns="0" formatRows="0"/>
  <mergeCells count="151">
    <mergeCell ref="E10:N10"/>
    <mergeCell ref="E26:N26"/>
    <mergeCell ref="E53:N53"/>
    <mergeCell ref="F11:N11"/>
    <mergeCell ref="F12:N12"/>
    <mergeCell ref="F13:N13"/>
    <mergeCell ref="E52:N52"/>
    <mergeCell ref="F55:G55"/>
    <mergeCell ref="F70:G70"/>
    <mergeCell ref="J36:N36"/>
    <mergeCell ref="J37:N37"/>
    <mergeCell ref="H68:I68"/>
    <mergeCell ref="H69:I69"/>
    <mergeCell ref="H66:I66"/>
    <mergeCell ref="H67:I67"/>
    <mergeCell ref="F65:G65"/>
    <mergeCell ref="H60:I60"/>
    <mergeCell ref="F56:G56"/>
    <mergeCell ref="H56:I56"/>
    <mergeCell ref="H61:I61"/>
    <mergeCell ref="F59:G59"/>
    <mergeCell ref="F60:G60"/>
    <mergeCell ref="F61:G61"/>
    <mergeCell ref="H58:I58"/>
    <mergeCell ref="H76:I76"/>
    <mergeCell ref="F74:G74"/>
    <mergeCell ref="F75:G75"/>
    <mergeCell ref="F76:G76"/>
    <mergeCell ref="F81:G81"/>
    <mergeCell ref="F82:G82"/>
    <mergeCell ref="H71:I71"/>
    <mergeCell ref="H72:I72"/>
    <mergeCell ref="H63:I63"/>
    <mergeCell ref="H64:I64"/>
    <mergeCell ref="F63:G63"/>
    <mergeCell ref="F64:G64"/>
    <mergeCell ref="H65:I65"/>
    <mergeCell ref="H73:I73"/>
    <mergeCell ref="F71:G71"/>
    <mergeCell ref="F72:G72"/>
    <mergeCell ref="F73:G73"/>
    <mergeCell ref="H74:I74"/>
    <mergeCell ref="H75:I75"/>
    <mergeCell ref="H70:I70"/>
    <mergeCell ref="F68:G68"/>
    <mergeCell ref="F69:G69"/>
    <mergeCell ref="F66:G66"/>
    <mergeCell ref="F67:G67"/>
    <mergeCell ref="F98:G98"/>
    <mergeCell ref="F99:G99"/>
    <mergeCell ref="F100:G100"/>
    <mergeCell ref="E78:N78"/>
    <mergeCell ref="F80:G80"/>
    <mergeCell ref="F93:G93"/>
    <mergeCell ref="F94:G94"/>
    <mergeCell ref="F95:G95"/>
    <mergeCell ref="F96:G96"/>
    <mergeCell ref="F97:G97"/>
    <mergeCell ref="F92:G92"/>
    <mergeCell ref="F91:G91"/>
    <mergeCell ref="F83:G83"/>
    <mergeCell ref="F84:G84"/>
    <mergeCell ref="F85:G85"/>
    <mergeCell ref="F86:G86"/>
    <mergeCell ref="F87:G87"/>
    <mergeCell ref="F88:G88"/>
    <mergeCell ref="F89:G89"/>
    <mergeCell ref="F90:G90"/>
    <mergeCell ref="M2:N2"/>
    <mergeCell ref="E3:F3"/>
    <mergeCell ref="G3:H3"/>
    <mergeCell ref="I3:J3"/>
    <mergeCell ref="K3:L3"/>
    <mergeCell ref="K2:L2"/>
    <mergeCell ref="K4:L4"/>
    <mergeCell ref="D8:N8"/>
    <mergeCell ref="M3:N3"/>
    <mergeCell ref="I2:J2"/>
    <mergeCell ref="I4:J4"/>
    <mergeCell ref="B2:D4"/>
    <mergeCell ref="E2:F2"/>
    <mergeCell ref="G2:H2"/>
    <mergeCell ref="E4:F4"/>
    <mergeCell ref="G4:H4"/>
    <mergeCell ref="M4:N4"/>
    <mergeCell ref="C6:K6"/>
    <mergeCell ref="L6:N6"/>
    <mergeCell ref="H62:I62"/>
    <mergeCell ref="F57:G57"/>
    <mergeCell ref="F58:G58"/>
    <mergeCell ref="F62:G62"/>
    <mergeCell ref="F54:G54"/>
    <mergeCell ref="H59:I59"/>
    <mergeCell ref="E51:N51"/>
    <mergeCell ref="H54:I54"/>
    <mergeCell ref="H57:I57"/>
    <mergeCell ref="J48:N48"/>
    <mergeCell ref="J49:N49"/>
    <mergeCell ref="G49:I49"/>
    <mergeCell ref="G41:I41"/>
    <mergeCell ref="H55:I55"/>
    <mergeCell ref="J40:N40"/>
    <mergeCell ref="G46:I46"/>
    <mergeCell ref="G47:I47"/>
    <mergeCell ref="G48:I48"/>
    <mergeCell ref="G43:I43"/>
    <mergeCell ref="G44:I44"/>
    <mergeCell ref="G45:I45"/>
    <mergeCell ref="J41:N41"/>
    <mergeCell ref="J42:N42"/>
    <mergeCell ref="J43:N43"/>
    <mergeCell ref="J44:N44"/>
    <mergeCell ref="J45:N45"/>
    <mergeCell ref="J46:N46"/>
    <mergeCell ref="G34:I34"/>
    <mergeCell ref="G35:I35"/>
    <mergeCell ref="G36:I36"/>
    <mergeCell ref="G37:I37"/>
    <mergeCell ref="G38:I38"/>
    <mergeCell ref="G39:I39"/>
    <mergeCell ref="G40:I40"/>
    <mergeCell ref="J47:N47"/>
    <mergeCell ref="J27:N27"/>
    <mergeCell ref="J31:N31"/>
    <mergeCell ref="J32:N32"/>
    <mergeCell ref="J33:N33"/>
    <mergeCell ref="J34:N34"/>
    <mergeCell ref="J38:N38"/>
    <mergeCell ref="J35:N35"/>
    <mergeCell ref="G42:I42"/>
    <mergeCell ref="G32:I32"/>
    <mergeCell ref="G33:I33"/>
    <mergeCell ref="G30:I30"/>
    <mergeCell ref="G31:I31"/>
    <mergeCell ref="G29:I29"/>
    <mergeCell ref="J29:N29"/>
    <mergeCell ref="J30:N30"/>
    <mergeCell ref="J39:N39"/>
    <mergeCell ref="F19:N19"/>
    <mergeCell ref="F20:N20"/>
    <mergeCell ref="F18:N18"/>
    <mergeCell ref="F21:N21"/>
    <mergeCell ref="E25:N25"/>
    <mergeCell ref="F23:N23"/>
    <mergeCell ref="G27:I27"/>
    <mergeCell ref="G28:I28"/>
    <mergeCell ref="E15:N15"/>
    <mergeCell ref="F22:N22"/>
    <mergeCell ref="F16:N16"/>
    <mergeCell ref="F17:N17"/>
    <mergeCell ref="J28:N28"/>
  </mergeCells>
  <phoneticPr fontId="6" type="noConversion"/>
  <conditionalFormatting sqref="E81:N100">
    <cfRule type="expression" dxfId="56" priority="1" stopIfTrue="1">
      <formula>$X81</formula>
    </cfRule>
  </conditionalFormatting>
  <conditionalFormatting sqref="F57:M76">
    <cfRule type="expression" dxfId="55" priority="2" stopIfTrue="1">
      <formula>$X57</formula>
    </cfRule>
  </conditionalFormatting>
  <conditionalFormatting sqref="H55">
    <cfRule type="expression" dxfId="54" priority="4" stopIfTrue="1">
      <formula>#REF!=TRUE</formula>
    </cfRule>
  </conditionalFormatting>
  <conditionalFormatting sqref="H56">
    <cfRule type="expression" dxfId="53" priority="3" stopIfTrue="1">
      <formula>#REF!=TRUE</formula>
    </cfRule>
  </conditionalFormatting>
  <dataValidations count="3">
    <dataValidation type="list" allowBlank="1" showInputMessage="1" showErrorMessage="1" sqref="H57:I76" xr:uid="{00000000-0002-0000-0500-000002000000}">
      <formula1>INDIRECT($M$123)</formula1>
    </dataValidation>
    <dataValidation type="list" allowBlank="1" showInputMessage="1" showErrorMessage="1" sqref="E57:E76" xr:uid="{DDB98D67-498C-4E03-B557-291391BC7A17}">
      <formula1>$E$30:$E$49</formula1>
    </dataValidation>
    <dataValidation type="list" allowBlank="1" showInputMessage="1" showErrorMessage="1" promptTitle="Valitse laitos" sqref="F57:G76" xr:uid="{ED777226-23CC-42FF-8C2A-A53F25B3D93D}">
      <formula1>$G$30:$G$49</formula1>
    </dataValidation>
  </dataValidations>
  <hyperlinks>
    <hyperlink ref="G3:H3" location="JUMP_K_14" display="Management" xr:uid="{00000000-0004-0000-0500-000000000000}"/>
    <hyperlink ref="I3:J3" location="JUMP_K_15" display="Data flow activities" xr:uid="{00000000-0004-0000-0500-000001000000}"/>
    <hyperlink ref="K3:L3" location="JUMP_K_16" display="Control activities" xr:uid="{00000000-0004-0000-0500-000002000000}"/>
    <hyperlink ref="G4:H4" location="JUMP_K_17" display="Definitions and abbreviations" xr:uid="{00000000-0004-0000-0500-000003000000}"/>
    <hyperlink ref="I4:J4" location="JUMP_K_18" display="Additional information" xr:uid="{00000000-0004-0000-0500-000004000000}"/>
    <hyperlink ref="K4:L4" location="JUMP_K_19" display="Changes in operation" xr:uid="{00000000-0004-0000-0500-000005000000}"/>
    <hyperlink ref="G2:H2" location="JUMP_a_Content" display="Table of contents" xr:uid="{00000000-0004-0000-0500-000006000000}"/>
  </hyperlinks>
  <pageMargins left="0.78740157480314965" right="0.78740157480314965" top="0.78740157480314965" bottom="0.78740157480314965" header="0.39370078740157483" footer="0.39370078740157483"/>
  <pageSetup paperSize="9" scale="59" fitToHeight="10" orientation="portrait" copies="2" r:id="rId1"/>
  <headerFooter alignWithMargins="0">
    <oddHeader>&amp;L&amp;F, &amp;A&amp;R&amp;D, &amp;T</oddHeader>
    <oddFooter>&amp;C&amp;P / &amp;N</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7" tint="-0.249977111117893"/>
    <pageSetUpPr fitToPage="1"/>
  </sheetPr>
  <dimension ref="A1:U50"/>
  <sheetViews>
    <sheetView zoomScale="110" zoomScaleNormal="110" workbookViewId="0">
      <pane ySplit="4" topLeftCell="A5" activePane="bottomLeft" state="frozen"/>
      <selection activeCell="B2" sqref="B2"/>
      <selection pane="bottomLeft" activeCell="W19" sqref="W19"/>
    </sheetView>
  </sheetViews>
  <sheetFormatPr defaultColWidth="9.1796875" defaultRowHeight="12.5" x14ac:dyDescent="0.25"/>
  <cols>
    <col min="1" max="1" width="2.7265625" style="4" hidden="1" customWidth="1"/>
    <col min="2" max="2" width="2.7265625" style="7" customWidth="1"/>
    <col min="3" max="3" width="4.7265625" style="22" customWidth="1"/>
    <col min="4" max="4" width="4.7265625" style="100" customWidth="1"/>
    <col min="5" max="5" width="14" style="22" customWidth="1"/>
    <col min="6" max="14" width="12.7265625" style="7" customWidth="1"/>
    <col min="15" max="15" width="7.7265625" style="7" customWidth="1"/>
    <col min="16" max="16" width="12.1796875" style="615" customWidth="1"/>
    <col min="17" max="18" width="12.7265625" style="7" hidden="1" customWidth="1"/>
    <col min="19" max="21" width="11.453125" style="4" hidden="1" customWidth="1"/>
    <col min="22" max="16384" width="9.1796875" style="4"/>
  </cols>
  <sheetData>
    <row r="1" spans="1:21" ht="13" hidden="1" thickBot="1" x14ac:dyDescent="0.3">
      <c r="A1" s="556" t="s">
        <v>0</v>
      </c>
      <c r="B1" s="557"/>
      <c r="C1" s="558"/>
      <c r="D1" s="559"/>
      <c r="E1" s="558"/>
      <c r="F1" s="557"/>
      <c r="G1" s="557"/>
      <c r="H1" s="557"/>
      <c r="I1" s="557"/>
      <c r="J1" s="557"/>
      <c r="K1" s="557"/>
      <c r="L1" s="557"/>
      <c r="M1" s="557"/>
      <c r="N1" s="557"/>
      <c r="O1" s="560"/>
      <c r="P1" s="586"/>
      <c r="Q1" s="12" t="s">
        <v>0</v>
      </c>
      <c r="R1" s="12" t="s">
        <v>0</v>
      </c>
      <c r="S1" s="12" t="s">
        <v>0</v>
      </c>
      <c r="T1" s="12" t="s">
        <v>0</v>
      </c>
      <c r="U1" s="12" t="s">
        <v>0</v>
      </c>
    </row>
    <row r="2" spans="1:21" ht="13.5" thickBot="1" x14ac:dyDescent="0.35">
      <c r="A2" s="561"/>
      <c r="B2" s="859" t="str">
        <f>Translations!$B$452</f>
        <v>E. Tietoaukot</v>
      </c>
      <c r="C2" s="1082"/>
      <c r="D2" s="1083"/>
      <c r="E2" s="873" t="str">
        <f>Translations!$B$13</f>
        <v>Navigointialue:</v>
      </c>
      <c r="F2" s="874"/>
      <c r="G2" s="875" t="str">
        <f>Translations!$B$14</f>
        <v>Sisällysluettelo</v>
      </c>
      <c r="H2" s="876"/>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O2" s="562"/>
      <c r="P2" s="586"/>
      <c r="Q2" s="245" t="s">
        <v>1</v>
      </c>
      <c r="R2" s="246" t="str">
        <f>ADDRESS(ROW($B$6),COLUMN($B$6)) &amp; ":" &amp; ADDRESS(MATCH("PRINT",$P:$P,0),COLUMN($P$6))</f>
        <v>$B$6:$P$45</v>
      </c>
      <c r="S2" s="245" t="s">
        <v>2</v>
      </c>
      <c r="T2" s="247" t="str">
        <f ca="1">IF(ISERROR(CELL("filename",U2)),"E_DataGaps",MID(CELL("filename",U2),FIND("]",CELL("filename",U2))+1,1024))</f>
        <v>ei 2024 (1)</v>
      </c>
      <c r="U2" s="37"/>
    </row>
    <row r="3" spans="1:21" x14ac:dyDescent="0.25">
      <c r="A3" s="561"/>
      <c r="B3" s="1084"/>
      <c r="C3" s="1085"/>
      <c r="D3" s="1086"/>
      <c r="E3" s="858"/>
      <c r="F3" s="858"/>
      <c r="G3" s="858"/>
      <c r="H3" s="858"/>
      <c r="I3" s="858"/>
      <c r="J3" s="858"/>
      <c r="K3" s="858"/>
      <c r="L3" s="858"/>
      <c r="M3" s="858"/>
      <c r="N3" s="858"/>
      <c r="O3" s="290"/>
      <c r="P3" s="586"/>
      <c r="Q3" s="12"/>
      <c r="R3" s="12"/>
      <c r="S3" s="37"/>
      <c r="T3" s="37"/>
      <c r="U3" s="37"/>
    </row>
    <row r="4" spans="1:21" ht="13" thickBot="1" x14ac:dyDescent="0.3">
      <c r="A4" s="561"/>
      <c r="B4" s="1087"/>
      <c r="C4" s="1088"/>
      <c r="D4" s="1089"/>
      <c r="E4" s="858"/>
      <c r="F4" s="858"/>
      <c r="G4" s="1198"/>
      <c r="H4" s="950"/>
      <c r="I4" s="858"/>
      <c r="J4" s="858"/>
      <c r="K4" s="858"/>
      <c r="L4" s="858"/>
      <c r="M4" s="858"/>
      <c r="N4" s="858"/>
      <c r="O4" s="290"/>
      <c r="P4" s="586"/>
      <c r="Q4" s="12"/>
      <c r="R4" s="12"/>
      <c r="S4" s="37"/>
      <c r="T4" s="37"/>
      <c r="U4" s="37"/>
    </row>
    <row r="5" spans="1:21" ht="29" customHeight="1" x14ac:dyDescent="0.25">
      <c r="A5" s="563"/>
      <c r="B5" s="535"/>
      <c r="C5" s="564"/>
      <c r="D5" s="6"/>
      <c r="E5" s="1205" t="s">
        <v>1771</v>
      </c>
      <c r="F5" s="1205"/>
      <c r="G5" s="1205"/>
      <c r="H5" s="1205"/>
      <c r="I5" s="4"/>
      <c r="J5" s="4"/>
      <c r="K5" s="4"/>
      <c r="L5" s="4"/>
      <c r="M5" s="3"/>
      <c r="N5" s="3"/>
      <c r="O5" s="290"/>
      <c r="P5" s="586"/>
      <c r="Q5" s="12"/>
      <c r="R5" s="12"/>
      <c r="S5" s="37"/>
      <c r="T5" s="37"/>
      <c r="U5" s="37"/>
    </row>
    <row r="6" spans="1:21" s="51" customFormat="1" ht="25.5" customHeight="1" x14ac:dyDescent="0.25">
      <c r="A6" s="318"/>
      <c r="B6" s="532"/>
      <c r="C6" s="1081" t="str">
        <f>Translations!$B$452</f>
        <v>E. Tietoaukot</v>
      </c>
      <c r="D6" s="1081"/>
      <c r="E6" s="1081"/>
      <c r="F6" s="1081"/>
      <c r="G6" s="1081"/>
      <c r="H6" s="1081"/>
      <c r="I6" s="1081"/>
      <c r="J6" s="1081"/>
      <c r="K6" s="1081"/>
      <c r="L6" s="4"/>
      <c r="M6" s="4"/>
      <c r="N6" s="4"/>
      <c r="O6" s="323"/>
      <c r="P6" s="586"/>
      <c r="Q6" s="10"/>
      <c r="R6" s="10"/>
      <c r="S6" s="10"/>
      <c r="T6" s="10"/>
      <c r="U6" s="41"/>
    </row>
    <row r="7" spans="1:21" x14ac:dyDescent="0.25">
      <c r="A7" s="563"/>
      <c r="B7" s="535"/>
      <c r="C7" s="21"/>
      <c r="D7" s="4"/>
      <c r="E7" s="21"/>
      <c r="F7" s="4"/>
      <c r="G7" s="4"/>
      <c r="H7" s="4"/>
      <c r="I7" s="4"/>
      <c r="J7" s="4"/>
      <c r="K7" s="4"/>
      <c r="L7" s="4"/>
      <c r="M7" s="4"/>
      <c r="N7" s="4"/>
      <c r="O7" s="292"/>
      <c r="P7" s="276"/>
      <c r="Q7" s="10"/>
      <c r="R7" s="10"/>
      <c r="S7" s="10"/>
      <c r="T7" s="10"/>
      <c r="U7" s="37"/>
    </row>
    <row r="8" spans="1:21" s="21" customFormat="1" ht="18.75" customHeight="1" x14ac:dyDescent="0.25">
      <c r="A8" s="318"/>
      <c r="B8" s="565"/>
      <c r="C8" s="542">
        <v>1</v>
      </c>
      <c r="D8" s="983" t="str">
        <f>Translations!$B$453</f>
        <v>Raportointivuoden aikana havaitut tietoaukot</v>
      </c>
      <c r="E8" s="983"/>
      <c r="F8" s="983"/>
      <c r="G8" s="983"/>
      <c r="H8" s="983"/>
      <c r="I8" s="983"/>
      <c r="J8" s="983"/>
      <c r="K8" s="983"/>
      <c r="L8" s="983"/>
      <c r="M8" s="983"/>
      <c r="N8" s="983"/>
      <c r="O8" s="323"/>
      <c r="P8" s="615"/>
      <c r="Q8" s="10"/>
      <c r="R8" s="10"/>
      <c r="S8" s="10"/>
      <c r="T8" s="10"/>
      <c r="U8" s="41"/>
    </row>
    <row r="9" spans="1:21" ht="12.75" customHeight="1" x14ac:dyDescent="0.25">
      <c r="A9" s="563"/>
      <c r="B9" s="539"/>
      <c r="D9" s="8"/>
      <c r="E9" s="328"/>
      <c r="G9" s="9"/>
      <c r="H9" s="9"/>
      <c r="I9" s="9"/>
      <c r="J9" s="9"/>
      <c r="L9" s="9"/>
      <c r="M9" s="9"/>
      <c r="N9" s="9"/>
      <c r="O9" s="291"/>
      <c r="Q9" s="10"/>
      <c r="R9" s="10"/>
      <c r="S9" s="10"/>
      <c r="T9" s="10"/>
      <c r="U9" s="41"/>
    </row>
    <row r="10" spans="1:21" s="7" customFormat="1" ht="15" customHeight="1" x14ac:dyDescent="0.25">
      <c r="A10" s="566"/>
      <c r="B10" s="539"/>
      <c r="C10" s="22"/>
      <c r="D10" s="567"/>
      <c r="E10" s="1172" t="str">
        <f>Translations!$B$355</f>
        <v>Käsitteet ja ohjeet:</v>
      </c>
      <c r="F10" s="1172"/>
      <c r="G10" s="1172"/>
      <c r="H10" s="1172"/>
      <c r="I10" s="1172"/>
      <c r="J10" s="1172"/>
      <c r="K10" s="1172"/>
      <c r="L10" s="1172"/>
      <c r="M10" s="1172"/>
      <c r="N10" s="1172"/>
      <c r="O10" s="291"/>
      <c r="P10" s="615"/>
      <c r="Q10" s="10"/>
      <c r="R10" s="10"/>
      <c r="S10" s="10"/>
      <c r="T10" s="10"/>
      <c r="U10" s="10"/>
    </row>
    <row r="11" spans="1:21" ht="30.65" customHeight="1" x14ac:dyDescent="0.25">
      <c r="A11" s="563"/>
      <c r="B11" s="535"/>
      <c r="C11" s="21"/>
      <c r="D11" s="4"/>
      <c r="E11" s="166" t="str">
        <f>Translations!$B$454</f>
        <v>Polttoainevirran nimi ja tunniste</v>
      </c>
      <c r="F11" s="1156" t="str">
        <f>Translations!$B$455</f>
        <v>Valitse polttoainevirta pudotusvalikosta sen ilmoittamiseksi, mitä polttoainetta tietoaukko koskee.</v>
      </c>
      <c r="G11" s="1156"/>
      <c r="H11" s="1156"/>
      <c r="I11" s="1156"/>
      <c r="J11" s="1156"/>
      <c r="K11" s="1156"/>
      <c r="L11" s="1156"/>
      <c r="M11" s="1156"/>
      <c r="N11" s="1156"/>
      <c r="O11" s="568"/>
      <c r="Q11" s="10"/>
      <c r="R11" s="10"/>
      <c r="S11" s="60"/>
      <c r="T11" s="37"/>
      <c r="U11" s="37"/>
    </row>
    <row r="12" spans="1:21" ht="12.75" customHeight="1" x14ac:dyDescent="0.25">
      <c r="A12" s="563"/>
      <c r="B12" s="535"/>
      <c r="C12" s="21"/>
      <c r="D12" s="4"/>
      <c r="E12" s="166" t="str">
        <f>Translations!$B$456</f>
        <v>alkaen/asti</v>
      </c>
      <c r="F12" s="1156" t="str">
        <f>Translations!$B$457</f>
        <v>Kirjoita tähän kunkin tietoaukon alkamis- ja päättymispäivä.</v>
      </c>
      <c r="G12" s="1156"/>
      <c r="H12" s="1156"/>
      <c r="I12" s="1156"/>
      <c r="J12" s="1156"/>
      <c r="K12" s="1156"/>
      <c r="L12" s="1156"/>
      <c r="M12" s="1156"/>
      <c r="N12" s="1156"/>
      <c r="O12" s="568"/>
      <c r="Q12" s="10"/>
      <c r="R12" s="10"/>
      <c r="S12" s="60"/>
      <c r="T12" s="37"/>
      <c r="U12" s="37"/>
    </row>
    <row r="13" spans="1:21" ht="38.25" customHeight="1" x14ac:dyDescent="0.3">
      <c r="A13" s="563"/>
      <c r="B13" s="535"/>
      <c r="C13" s="21"/>
      <c r="D13" s="4"/>
      <c r="E13" s="1149" t="str">
        <f>Translations!$B$458</f>
        <v>Kuvaus, syyt ja menetelmät</v>
      </c>
      <c r="F13" s="1152" t="str">
        <f>Translations!$B$459</f>
        <v>Kuvaile lyhyesti, millaisia tietoaukkoja on esiintynyt, ilmoita niiden syyt ja kuvaile, miten ne on korjattu 66 artiklan 1 kohdan mukaisesti. Jos tarvitset lisää tilaa, voit kirjoittaa lisäperustelut ja -kuvaukset välilehdelle F_AdditionalInformation, mutta lisää selkeä viittaus alla olevasta taulukosta löytyvään tietoaukon numeroon.</v>
      </c>
      <c r="G13" s="1152"/>
      <c r="H13" s="1152"/>
      <c r="I13" s="1152"/>
      <c r="J13" s="1152"/>
      <c r="K13" s="1152"/>
      <c r="L13" s="1152"/>
      <c r="M13" s="1152"/>
      <c r="N13" s="1152"/>
      <c r="O13" s="568"/>
      <c r="Q13" s="10"/>
      <c r="R13" s="10"/>
      <c r="S13" s="569"/>
      <c r="T13" s="37"/>
      <c r="U13" s="37"/>
    </row>
    <row r="14" spans="1:21" ht="25.5" customHeight="1" x14ac:dyDescent="0.3">
      <c r="A14" s="563"/>
      <c r="B14" s="535"/>
      <c r="C14" s="21"/>
      <c r="D14" s="4"/>
      <c r="E14" s="1199"/>
      <c r="F14" s="1151" t="str">
        <f>Translations!$B$460</f>
        <v>Ellei korvaavien tietojen arviointimenetelmää ole vielä sisällytetty tarkkailusuunnitelmaan, esitä yksityiskohtainen kuvaus arviointimenetelmästä, mukaan lukien näyttö siitä, ettei käytetty menetelmä johda päästöjen aliarviointiin kyseisenä ajanjaksona.</v>
      </c>
      <c r="G14" s="1151"/>
      <c r="H14" s="1151"/>
      <c r="I14" s="1151"/>
      <c r="J14" s="1151"/>
      <c r="K14" s="1151"/>
      <c r="L14" s="1151"/>
      <c r="M14" s="1151"/>
      <c r="N14" s="1151"/>
      <c r="O14" s="568"/>
      <c r="Q14" s="10"/>
      <c r="R14" s="10"/>
      <c r="S14" s="569"/>
      <c r="T14" s="37"/>
      <c r="U14" s="37"/>
    </row>
    <row r="15" spans="1:21" ht="25.5" customHeight="1" x14ac:dyDescent="0.25">
      <c r="A15" s="563"/>
      <c r="B15" s="535"/>
      <c r="C15" s="21"/>
      <c r="D15" s="4"/>
      <c r="E15" s="244" t="str">
        <f>Translations!$B$461</f>
        <v>Arvioidut päästöt</v>
      </c>
      <c r="F15" s="1152" t="str">
        <f>Translations!$B$462</f>
        <v>Ilmoita tässä korvaavien tietojen pohjalta lasketut päästöt. Huomaa, että tähän syötettyjä arvioituja päästöjä käytetään vain lisätietoerinä, eikä niitä lisätä muiden välilehtien päästöihin. Tämä tarkoittaa, että edellisiin välilehtiin syötettyjen päästöjen on SISÄLLETTÄVÄ myös korvaavat tiedot.</v>
      </c>
      <c r="G15" s="1152"/>
      <c r="H15" s="1152"/>
      <c r="I15" s="1152"/>
      <c r="J15" s="1152"/>
      <c r="K15" s="1152"/>
      <c r="L15" s="1152"/>
      <c r="M15" s="1152"/>
      <c r="N15" s="1152"/>
      <c r="O15" s="568"/>
      <c r="Q15" s="10"/>
      <c r="R15" s="10"/>
      <c r="S15" s="60"/>
      <c r="T15" s="37"/>
      <c r="U15" s="37"/>
    </row>
    <row r="16" spans="1:21" ht="50.15" customHeight="1" x14ac:dyDescent="0.25">
      <c r="A16" s="563"/>
      <c r="B16" s="535"/>
      <c r="C16" s="21"/>
      <c r="D16" s="4"/>
      <c r="E16" s="165"/>
      <c r="F16" s="1151" t="str">
        <f>Translations!$B$463</f>
        <v>Esimerkki: Polttoainevirran yhden erän päästökerrointiedot ovat kadonneet. Tämän erän korvaava päästökerroin on määritetty varovaisten arvioiden perusteella. Välilehdelle C_FuelStreams syötettävä päästökerroin on kaikkien erien päästökertoimien painotettu keskiarvo, mukaan lukien erä, josta tiedot puuttuvat. Lisäksi kohtaan ”tietoaukot” syötetyt arvioidut päästöt liittyvät vain erään, josta tiedot puuttuvat. Toisin sanoen päästöt (tietoaukko) = polttoainemäärät (sen erän koko, josta tiedot puuttuvat) x päästökerroin (joka on laskettu korvaavien tietojen perusteella).</v>
      </c>
      <c r="G16" s="1151"/>
      <c r="H16" s="1151"/>
      <c r="I16" s="1151"/>
      <c r="J16" s="1151"/>
      <c r="K16" s="1151"/>
      <c r="L16" s="1151"/>
      <c r="M16" s="1151"/>
      <c r="N16" s="1151"/>
      <c r="O16" s="568"/>
      <c r="Q16" s="10"/>
      <c r="R16" s="10"/>
      <c r="S16" s="60"/>
      <c r="T16" s="37"/>
      <c r="U16" s="37"/>
    </row>
    <row r="17" spans="1:21" ht="5.15" customHeight="1" x14ac:dyDescent="0.25">
      <c r="A17" s="563"/>
      <c r="B17" s="539"/>
      <c r="D17" s="8"/>
      <c r="E17" s="328"/>
      <c r="G17" s="9"/>
      <c r="H17" s="9"/>
      <c r="I17" s="9"/>
      <c r="J17" s="9"/>
      <c r="L17" s="9"/>
      <c r="M17" s="9"/>
      <c r="N17" s="9"/>
      <c r="O17" s="291"/>
      <c r="Q17" s="10"/>
      <c r="R17" s="10"/>
      <c r="S17" s="10"/>
      <c r="T17" s="10"/>
      <c r="U17" s="41"/>
    </row>
    <row r="18" spans="1:21" s="21" customFormat="1" ht="38.9" customHeight="1" x14ac:dyDescent="0.3">
      <c r="A18" s="326"/>
      <c r="B18" s="565"/>
      <c r="C18" s="22"/>
      <c r="D18" s="1200" t="str">
        <f>Translations!$B$454</f>
        <v>Polttoainevirran nimi ja tunniste</v>
      </c>
      <c r="E18" s="1200"/>
      <c r="F18" s="1200"/>
      <c r="G18" s="1200"/>
      <c r="H18" s="570" t="str">
        <f>Translations!$B$464</f>
        <v>alkaen</v>
      </c>
      <c r="I18" s="570" t="str">
        <f>Translations!$B$465</f>
        <v>päättyen</v>
      </c>
      <c r="J18" s="1201" t="str">
        <f>Translations!$B$458</f>
        <v>Kuvaus, syyt ja menetelmät</v>
      </c>
      <c r="K18" s="1201"/>
      <c r="L18" s="1201"/>
      <c r="M18" s="1201"/>
      <c r="N18" s="547" t="str">
        <f>Translations!$B$466</f>
        <v>Arvioidut päästöt (t CO2e)</v>
      </c>
      <c r="O18" s="323"/>
      <c r="P18" s="236"/>
      <c r="Q18" s="23"/>
      <c r="R18" s="23"/>
      <c r="S18" s="2"/>
      <c r="T18" s="343"/>
      <c r="U18" s="571"/>
    </row>
    <row r="19" spans="1:21" s="21" customFormat="1" ht="12.75" customHeight="1" x14ac:dyDescent="0.25">
      <c r="A19" s="326"/>
      <c r="B19" s="565"/>
      <c r="C19" s="22">
        <v>1</v>
      </c>
      <c r="D19" s="1202"/>
      <c r="E19" s="1202"/>
      <c r="F19" s="1202"/>
      <c r="G19" s="1202"/>
      <c r="H19" s="572"/>
      <c r="I19" s="572"/>
      <c r="J19" s="1203"/>
      <c r="K19" s="1203"/>
      <c r="L19" s="1203"/>
      <c r="M19" s="1204"/>
      <c r="N19" s="573"/>
      <c r="O19" s="323"/>
      <c r="P19" s="236"/>
      <c r="Q19" s="23"/>
      <c r="R19" s="23"/>
      <c r="S19" s="2"/>
      <c r="T19" s="343"/>
      <c r="U19" s="571"/>
    </row>
    <row r="20" spans="1:21" s="21" customFormat="1" ht="12.75" customHeight="1" x14ac:dyDescent="0.25">
      <c r="A20" s="326"/>
      <c r="B20" s="565"/>
      <c r="C20" s="22">
        <v>2</v>
      </c>
      <c r="D20" s="1202"/>
      <c r="E20" s="1202"/>
      <c r="F20" s="1202"/>
      <c r="G20" s="1202"/>
      <c r="H20" s="572"/>
      <c r="I20" s="572"/>
      <c r="J20" s="1203"/>
      <c r="K20" s="1203"/>
      <c r="L20" s="1203"/>
      <c r="M20" s="1203"/>
      <c r="N20" s="573"/>
      <c r="O20" s="323"/>
      <c r="P20" s="236"/>
      <c r="Q20" s="23"/>
      <c r="R20" s="23"/>
      <c r="S20" s="2"/>
      <c r="T20" s="343"/>
      <c r="U20" s="571"/>
    </row>
    <row r="21" spans="1:21" s="21" customFormat="1" ht="12.75" customHeight="1" x14ac:dyDescent="0.25">
      <c r="A21" s="326"/>
      <c r="B21" s="565"/>
      <c r="C21" s="22">
        <v>3</v>
      </c>
      <c r="D21" s="1202"/>
      <c r="E21" s="1202"/>
      <c r="F21" s="1202"/>
      <c r="G21" s="1202"/>
      <c r="H21" s="572"/>
      <c r="I21" s="572"/>
      <c r="J21" s="1203"/>
      <c r="K21" s="1203"/>
      <c r="L21" s="1203"/>
      <c r="M21" s="1203"/>
      <c r="N21" s="573"/>
      <c r="O21" s="323"/>
      <c r="P21" s="236"/>
      <c r="Q21" s="23"/>
      <c r="R21" s="23"/>
      <c r="S21" s="2"/>
      <c r="T21" s="343"/>
      <c r="U21" s="571"/>
    </row>
    <row r="22" spans="1:21" s="21" customFormat="1" ht="12.75" customHeight="1" x14ac:dyDescent="0.25">
      <c r="A22" s="326"/>
      <c r="B22" s="565"/>
      <c r="C22" s="22">
        <v>4</v>
      </c>
      <c r="D22" s="1202"/>
      <c r="E22" s="1202"/>
      <c r="F22" s="1202"/>
      <c r="G22" s="1202"/>
      <c r="H22" s="572"/>
      <c r="I22" s="572"/>
      <c r="J22" s="1203"/>
      <c r="K22" s="1203"/>
      <c r="L22" s="1203"/>
      <c r="M22" s="1203"/>
      <c r="N22" s="573"/>
      <c r="O22" s="323"/>
      <c r="P22" s="236"/>
      <c r="Q22" s="23"/>
      <c r="R22" s="23"/>
      <c r="S22" s="2"/>
      <c r="T22" s="343"/>
      <c r="U22" s="571"/>
    </row>
    <row r="23" spans="1:21" s="21" customFormat="1" ht="12.75" customHeight="1" x14ac:dyDescent="0.25">
      <c r="A23" s="326"/>
      <c r="B23" s="565"/>
      <c r="C23" s="22">
        <v>5</v>
      </c>
      <c r="D23" s="1202"/>
      <c r="E23" s="1202"/>
      <c r="F23" s="1202"/>
      <c r="G23" s="1202"/>
      <c r="H23" s="572"/>
      <c r="I23" s="572"/>
      <c r="J23" s="1203"/>
      <c r="K23" s="1203"/>
      <c r="L23" s="1203"/>
      <c r="M23" s="1203"/>
      <c r="N23" s="573"/>
      <c r="O23" s="323"/>
      <c r="P23" s="236"/>
      <c r="Q23" s="23"/>
      <c r="R23" s="23"/>
      <c r="S23" s="2"/>
      <c r="T23" s="343"/>
      <c r="U23" s="571"/>
    </row>
    <row r="24" spans="1:21" s="21" customFormat="1" ht="12.75" customHeight="1" x14ac:dyDescent="0.25">
      <c r="A24" s="326"/>
      <c r="B24" s="565"/>
      <c r="C24" s="22">
        <v>6</v>
      </c>
      <c r="D24" s="1202"/>
      <c r="E24" s="1202"/>
      <c r="F24" s="1202"/>
      <c r="G24" s="1202"/>
      <c r="H24" s="572"/>
      <c r="I24" s="572"/>
      <c r="J24" s="1203"/>
      <c r="K24" s="1203"/>
      <c r="L24" s="1203"/>
      <c r="M24" s="1203"/>
      <c r="N24" s="573"/>
      <c r="O24" s="323"/>
      <c r="P24" s="236"/>
      <c r="Q24" s="23"/>
      <c r="R24" s="23"/>
      <c r="S24" s="2"/>
      <c r="T24" s="343"/>
      <c r="U24" s="571"/>
    </row>
    <row r="25" spans="1:21" s="21" customFormat="1" ht="12.75" customHeight="1" x14ac:dyDescent="0.25">
      <c r="A25" s="326"/>
      <c r="B25" s="565"/>
      <c r="C25" s="22">
        <v>7</v>
      </c>
      <c r="D25" s="1202"/>
      <c r="E25" s="1202"/>
      <c r="F25" s="1202"/>
      <c r="G25" s="1202"/>
      <c r="H25" s="572"/>
      <c r="I25" s="572"/>
      <c r="J25" s="1203"/>
      <c r="K25" s="1203"/>
      <c r="L25" s="1203"/>
      <c r="M25" s="1203"/>
      <c r="N25" s="573"/>
      <c r="O25" s="323"/>
      <c r="P25" s="236"/>
      <c r="Q25" s="23"/>
      <c r="R25" s="23"/>
      <c r="S25" s="2"/>
      <c r="T25" s="343"/>
      <c r="U25" s="571"/>
    </row>
    <row r="26" spans="1:21" s="21" customFormat="1" ht="12.75" customHeight="1" x14ac:dyDescent="0.25">
      <c r="A26" s="326"/>
      <c r="B26" s="565"/>
      <c r="C26" s="22">
        <v>8</v>
      </c>
      <c r="D26" s="1202"/>
      <c r="E26" s="1202"/>
      <c r="F26" s="1202"/>
      <c r="G26" s="1202"/>
      <c r="H26" s="572"/>
      <c r="I26" s="572"/>
      <c r="J26" s="1203"/>
      <c r="K26" s="1203"/>
      <c r="L26" s="1203"/>
      <c r="M26" s="1203"/>
      <c r="N26" s="573"/>
      <c r="O26" s="323"/>
      <c r="P26" s="236"/>
      <c r="Q26" s="23"/>
      <c r="R26" s="23"/>
      <c r="S26" s="2"/>
      <c r="T26" s="343"/>
      <c r="U26" s="571"/>
    </row>
    <row r="27" spans="1:21" s="21" customFormat="1" ht="12.75" customHeight="1" x14ac:dyDescent="0.25">
      <c r="A27" s="326"/>
      <c r="B27" s="565"/>
      <c r="C27" s="22">
        <v>9</v>
      </c>
      <c r="D27" s="1202"/>
      <c r="E27" s="1202"/>
      <c r="F27" s="1202"/>
      <c r="G27" s="1202"/>
      <c r="H27" s="572"/>
      <c r="I27" s="572"/>
      <c r="J27" s="1203"/>
      <c r="K27" s="1203"/>
      <c r="L27" s="1203"/>
      <c r="M27" s="1203"/>
      <c r="N27" s="573"/>
      <c r="O27" s="323"/>
      <c r="P27" s="236"/>
      <c r="Q27" s="23"/>
      <c r="R27" s="23"/>
      <c r="S27" s="2"/>
      <c r="T27" s="343"/>
      <c r="U27" s="571"/>
    </row>
    <row r="28" spans="1:21" s="21" customFormat="1" ht="12.75" customHeight="1" x14ac:dyDescent="0.25">
      <c r="A28" s="326"/>
      <c r="B28" s="565"/>
      <c r="C28" s="22">
        <v>10</v>
      </c>
      <c r="D28" s="1202"/>
      <c r="E28" s="1202"/>
      <c r="F28" s="1202"/>
      <c r="G28" s="1202"/>
      <c r="H28" s="572"/>
      <c r="I28" s="572"/>
      <c r="J28" s="1203"/>
      <c r="K28" s="1203"/>
      <c r="L28" s="1203"/>
      <c r="M28" s="1203"/>
      <c r="N28" s="573"/>
      <c r="O28" s="323"/>
      <c r="P28" s="236"/>
      <c r="Q28" s="23"/>
      <c r="R28" s="23"/>
      <c r="S28" s="2"/>
      <c r="T28" s="343"/>
      <c r="U28" s="571"/>
    </row>
    <row r="29" spans="1:21" s="21" customFormat="1" ht="12.75" customHeight="1" x14ac:dyDescent="0.25">
      <c r="A29" s="326"/>
      <c r="B29" s="565"/>
      <c r="C29" s="22">
        <v>11</v>
      </c>
      <c r="D29" s="1202"/>
      <c r="E29" s="1202"/>
      <c r="F29" s="1202"/>
      <c r="G29" s="1202"/>
      <c r="H29" s="572"/>
      <c r="I29" s="572"/>
      <c r="J29" s="1203"/>
      <c r="K29" s="1203"/>
      <c r="L29" s="1203"/>
      <c r="M29" s="1203"/>
      <c r="N29" s="573"/>
      <c r="O29" s="323"/>
      <c r="P29" s="236"/>
      <c r="Q29" s="23"/>
      <c r="R29" s="23"/>
      <c r="S29" s="2"/>
      <c r="T29" s="343"/>
      <c r="U29" s="571"/>
    </row>
    <row r="30" spans="1:21" s="21" customFormat="1" ht="12.75" customHeight="1" x14ac:dyDescent="0.25">
      <c r="A30" s="326"/>
      <c r="B30" s="565"/>
      <c r="C30" s="22">
        <v>12</v>
      </c>
      <c r="D30" s="1202"/>
      <c r="E30" s="1202"/>
      <c r="F30" s="1202"/>
      <c r="G30" s="1202"/>
      <c r="H30" s="572"/>
      <c r="I30" s="572"/>
      <c r="J30" s="1203"/>
      <c r="K30" s="1203"/>
      <c r="L30" s="1203"/>
      <c r="M30" s="1203"/>
      <c r="N30" s="573"/>
      <c r="O30" s="323"/>
      <c r="P30" s="236"/>
      <c r="Q30" s="23"/>
      <c r="R30" s="23"/>
      <c r="S30" s="2"/>
      <c r="T30" s="343"/>
      <c r="U30" s="571"/>
    </row>
    <row r="31" spans="1:21" s="21" customFormat="1" ht="12.75" customHeight="1" x14ac:dyDescent="0.25">
      <c r="A31" s="326"/>
      <c r="B31" s="565"/>
      <c r="C31" s="22">
        <v>13</v>
      </c>
      <c r="D31" s="1202"/>
      <c r="E31" s="1202"/>
      <c r="F31" s="1202"/>
      <c r="G31" s="1202"/>
      <c r="H31" s="572"/>
      <c r="I31" s="572"/>
      <c r="J31" s="1203"/>
      <c r="K31" s="1203"/>
      <c r="L31" s="1203"/>
      <c r="M31" s="1203"/>
      <c r="N31" s="573"/>
      <c r="O31" s="323"/>
      <c r="P31" s="236"/>
      <c r="Q31" s="23"/>
      <c r="R31" s="23"/>
      <c r="S31" s="2"/>
      <c r="T31" s="343"/>
      <c r="U31" s="571"/>
    </row>
    <row r="32" spans="1:21" s="21" customFormat="1" ht="12.75" customHeight="1" x14ac:dyDescent="0.25">
      <c r="A32" s="326"/>
      <c r="B32" s="565"/>
      <c r="C32" s="22">
        <v>14</v>
      </c>
      <c r="D32" s="1202"/>
      <c r="E32" s="1202"/>
      <c r="F32" s="1202"/>
      <c r="G32" s="1202"/>
      <c r="H32" s="572"/>
      <c r="I32" s="572"/>
      <c r="J32" s="1203"/>
      <c r="K32" s="1203"/>
      <c r="L32" s="1203"/>
      <c r="M32" s="1203"/>
      <c r="N32" s="573"/>
      <c r="O32" s="323"/>
      <c r="P32" s="236"/>
      <c r="Q32" s="23"/>
      <c r="R32" s="23"/>
      <c r="S32" s="2"/>
      <c r="T32" s="343"/>
      <c r="U32" s="571"/>
    </row>
    <row r="33" spans="1:21" s="21" customFormat="1" ht="12.75" customHeight="1" x14ac:dyDescent="0.25">
      <c r="A33" s="326"/>
      <c r="B33" s="565"/>
      <c r="C33" s="22">
        <v>15</v>
      </c>
      <c r="D33" s="1202"/>
      <c r="E33" s="1202"/>
      <c r="F33" s="1202"/>
      <c r="G33" s="1202"/>
      <c r="H33" s="572"/>
      <c r="I33" s="572"/>
      <c r="J33" s="1203"/>
      <c r="K33" s="1203"/>
      <c r="L33" s="1203"/>
      <c r="M33" s="1203"/>
      <c r="N33" s="573"/>
      <c r="O33" s="323"/>
      <c r="P33" s="236"/>
      <c r="Q33" s="23"/>
      <c r="R33" s="23"/>
      <c r="S33" s="2"/>
      <c r="T33" s="343"/>
      <c r="U33" s="571"/>
    </row>
    <row r="34" spans="1:21" s="21" customFormat="1" ht="12.75" customHeight="1" x14ac:dyDescent="0.25">
      <c r="A34" s="326"/>
      <c r="B34" s="565"/>
      <c r="C34" s="22">
        <v>16</v>
      </c>
      <c r="D34" s="1202"/>
      <c r="E34" s="1202"/>
      <c r="F34" s="1202"/>
      <c r="G34" s="1202"/>
      <c r="H34" s="572"/>
      <c r="I34" s="572"/>
      <c r="J34" s="1203"/>
      <c r="K34" s="1203"/>
      <c r="L34" s="1203"/>
      <c r="M34" s="1203"/>
      <c r="N34" s="573"/>
      <c r="O34" s="323"/>
      <c r="P34" s="236"/>
      <c r="Q34" s="23"/>
      <c r="R34" s="23"/>
      <c r="S34" s="2"/>
      <c r="T34" s="343"/>
      <c r="U34" s="571"/>
    </row>
    <row r="35" spans="1:21" s="21" customFormat="1" ht="12.75" customHeight="1" x14ac:dyDescent="0.25">
      <c r="A35" s="326"/>
      <c r="B35" s="565"/>
      <c r="C35" s="22">
        <v>17</v>
      </c>
      <c r="D35" s="1202"/>
      <c r="E35" s="1202"/>
      <c r="F35" s="1202"/>
      <c r="G35" s="1202"/>
      <c r="H35" s="572"/>
      <c r="I35" s="572"/>
      <c r="J35" s="1203"/>
      <c r="K35" s="1203"/>
      <c r="L35" s="1203"/>
      <c r="M35" s="1203"/>
      <c r="N35" s="573"/>
      <c r="O35" s="323"/>
      <c r="P35" s="236"/>
      <c r="Q35" s="23"/>
      <c r="R35" s="23"/>
      <c r="S35" s="2"/>
      <c r="T35" s="343"/>
      <c r="U35" s="571"/>
    </row>
    <row r="36" spans="1:21" s="21" customFormat="1" ht="12.75" customHeight="1" x14ac:dyDescent="0.25">
      <c r="A36" s="326"/>
      <c r="B36" s="565"/>
      <c r="C36" s="22">
        <v>18</v>
      </c>
      <c r="D36" s="1202"/>
      <c r="E36" s="1202"/>
      <c r="F36" s="1202"/>
      <c r="G36" s="1202"/>
      <c r="H36" s="572"/>
      <c r="I36" s="572"/>
      <c r="J36" s="1203"/>
      <c r="K36" s="1203"/>
      <c r="L36" s="1203"/>
      <c r="M36" s="1203"/>
      <c r="N36" s="573"/>
      <c r="O36" s="323"/>
      <c r="P36" s="236"/>
      <c r="Q36" s="23"/>
      <c r="R36" s="23"/>
      <c r="S36" s="2"/>
      <c r="T36" s="343"/>
      <c r="U36" s="571"/>
    </row>
    <row r="37" spans="1:21" s="21" customFormat="1" ht="12.75" customHeight="1" x14ac:dyDescent="0.25">
      <c r="A37" s="326"/>
      <c r="B37" s="565"/>
      <c r="C37" s="22">
        <v>19</v>
      </c>
      <c r="D37" s="1202"/>
      <c r="E37" s="1202"/>
      <c r="F37" s="1202"/>
      <c r="G37" s="1202"/>
      <c r="H37" s="572"/>
      <c r="I37" s="572"/>
      <c r="J37" s="1203"/>
      <c r="K37" s="1203"/>
      <c r="L37" s="1203"/>
      <c r="M37" s="1203"/>
      <c r="N37" s="573"/>
      <c r="O37" s="323"/>
      <c r="P37" s="236"/>
      <c r="Q37" s="23"/>
      <c r="R37" s="23"/>
      <c r="S37" s="2"/>
      <c r="T37" s="343"/>
      <c r="U37" s="571"/>
    </row>
    <row r="38" spans="1:21" s="21" customFormat="1" ht="12.75" customHeight="1" x14ac:dyDescent="0.25">
      <c r="A38" s="326"/>
      <c r="B38" s="565"/>
      <c r="C38" s="22">
        <v>20</v>
      </c>
      <c r="D38" s="1202"/>
      <c r="E38" s="1202"/>
      <c r="F38" s="1202"/>
      <c r="G38" s="1202"/>
      <c r="H38" s="572"/>
      <c r="I38" s="572"/>
      <c r="J38" s="1203"/>
      <c r="K38" s="1203"/>
      <c r="L38" s="1203"/>
      <c r="M38" s="1203"/>
      <c r="N38" s="573"/>
      <c r="O38" s="323"/>
      <c r="P38" s="236"/>
      <c r="Q38" s="23"/>
      <c r="R38" s="23"/>
      <c r="S38" s="2"/>
      <c r="T38" s="343"/>
      <c r="U38" s="571"/>
    </row>
    <row r="39" spans="1:21" s="21" customFormat="1" ht="12.75" customHeight="1" x14ac:dyDescent="0.25">
      <c r="A39" s="326"/>
      <c r="B39" s="565"/>
      <c r="C39" s="22">
        <v>21</v>
      </c>
      <c r="D39" s="1202"/>
      <c r="E39" s="1202"/>
      <c r="F39" s="1202"/>
      <c r="G39" s="1202"/>
      <c r="H39" s="572"/>
      <c r="I39" s="572"/>
      <c r="J39" s="1203"/>
      <c r="K39" s="1203"/>
      <c r="L39" s="1203"/>
      <c r="M39" s="1203"/>
      <c r="N39" s="573"/>
      <c r="O39" s="323"/>
      <c r="P39" s="236"/>
      <c r="Q39" s="23"/>
      <c r="R39" s="23"/>
      <c r="S39" s="2"/>
      <c r="T39" s="343"/>
      <c r="U39" s="571"/>
    </row>
    <row r="40" spans="1:21" s="21" customFormat="1" ht="12.75" customHeight="1" x14ac:dyDescent="0.25">
      <c r="A40" s="326"/>
      <c r="B40" s="565"/>
      <c r="C40" s="22">
        <v>22</v>
      </c>
      <c r="D40" s="1202"/>
      <c r="E40" s="1202"/>
      <c r="F40" s="1202"/>
      <c r="G40" s="1202"/>
      <c r="H40" s="572"/>
      <c r="I40" s="572"/>
      <c r="J40" s="1203"/>
      <c r="K40" s="1203"/>
      <c r="L40" s="1203"/>
      <c r="M40" s="1203"/>
      <c r="N40" s="573"/>
      <c r="O40" s="323"/>
      <c r="P40" s="236"/>
      <c r="Q40" s="23"/>
      <c r="R40" s="23"/>
      <c r="S40" s="2"/>
      <c r="T40" s="343"/>
      <c r="U40" s="571"/>
    </row>
    <row r="41" spans="1:21" s="21" customFormat="1" ht="12.75" customHeight="1" x14ac:dyDescent="0.25">
      <c r="A41" s="326"/>
      <c r="B41" s="565"/>
      <c r="C41" s="22">
        <v>23</v>
      </c>
      <c r="D41" s="1202"/>
      <c r="E41" s="1202"/>
      <c r="F41" s="1202"/>
      <c r="G41" s="1202"/>
      <c r="H41" s="572"/>
      <c r="I41" s="572"/>
      <c r="J41" s="1203"/>
      <c r="K41" s="1203"/>
      <c r="L41" s="1203"/>
      <c r="M41" s="1203"/>
      <c r="N41" s="573"/>
      <c r="O41" s="323"/>
      <c r="P41" s="236"/>
      <c r="Q41" s="23"/>
      <c r="R41" s="23"/>
      <c r="S41" s="2"/>
      <c r="T41" s="343"/>
      <c r="U41" s="571"/>
    </row>
    <row r="42" spans="1:21" s="21" customFormat="1" ht="12.75" customHeight="1" x14ac:dyDescent="0.25">
      <c r="A42" s="326"/>
      <c r="B42" s="565"/>
      <c r="C42" s="22">
        <v>24</v>
      </c>
      <c r="D42" s="1202"/>
      <c r="E42" s="1202"/>
      <c r="F42" s="1202"/>
      <c r="G42" s="1202"/>
      <c r="H42" s="572"/>
      <c r="I42" s="572"/>
      <c r="J42" s="1203"/>
      <c r="K42" s="1203"/>
      <c r="L42" s="1203"/>
      <c r="M42" s="1203"/>
      <c r="N42" s="573"/>
      <c r="O42" s="323"/>
      <c r="P42" s="236"/>
      <c r="Q42" s="23"/>
      <c r="R42" s="23"/>
      <c r="S42" s="2"/>
      <c r="T42" s="343"/>
      <c r="U42" s="571"/>
    </row>
    <row r="43" spans="1:21" s="21" customFormat="1" ht="12.75" customHeight="1" x14ac:dyDescent="0.25">
      <c r="A43" s="326"/>
      <c r="B43" s="565"/>
      <c r="C43" s="22">
        <v>25</v>
      </c>
      <c r="D43" s="1202"/>
      <c r="E43" s="1202"/>
      <c r="F43" s="1202"/>
      <c r="G43" s="1202"/>
      <c r="H43" s="572"/>
      <c r="I43" s="572"/>
      <c r="J43" s="1203"/>
      <c r="K43" s="1203"/>
      <c r="L43" s="1203"/>
      <c r="M43" s="1203"/>
      <c r="N43" s="573"/>
      <c r="O43" s="323"/>
      <c r="P43" s="236"/>
      <c r="Q43" s="23"/>
      <c r="R43" s="23"/>
      <c r="S43" s="2"/>
      <c r="T43" s="343"/>
      <c r="U43" s="571"/>
    </row>
    <row r="44" spans="1:21" ht="13.5" thickBot="1" x14ac:dyDescent="0.3">
      <c r="A44" s="574"/>
      <c r="B44" s="575"/>
      <c r="C44" s="576"/>
      <c r="D44" s="577"/>
      <c r="E44" s="578"/>
      <c r="F44" s="579"/>
      <c r="G44" s="580"/>
      <c r="H44" s="580"/>
      <c r="I44" s="580"/>
      <c r="J44" s="580"/>
      <c r="K44" s="580"/>
      <c r="L44" s="580"/>
      <c r="M44" s="580"/>
      <c r="N44" s="580"/>
      <c r="O44" s="581"/>
      <c r="Q44" s="10"/>
      <c r="R44" s="10"/>
      <c r="S44" s="37"/>
      <c r="T44" s="37"/>
      <c r="U44" s="40"/>
    </row>
    <row r="45" spans="1:21" ht="12.75" hidden="1" customHeight="1" x14ac:dyDescent="0.25">
      <c r="A45" s="12" t="s">
        <v>0</v>
      </c>
      <c r="B45" s="12" t="s">
        <v>21</v>
      </c>
      <c r="C45" s="23" t="s">
        <v>21</v>
      </c>
      <c r="D45" s="12" t="s">
        <v>21</v>
      </c>
      <c r="E45" s="23" t="s">
        <v>21</v>
      </c>
      <c r="F45" s="12" t="s">
        <v>21</v>
      </c>
      <c r="G45" s="12" t="s">
        <v>21</v>
      </c>
      <c r="H45" s="12" t="s">
        <v>21</v>
      </c>
      <c r="I45" s="12" t="s">
        <v>21</v>
      </c>
      <c r="J45" s="12" t="s">
        <v>21</v>
      </c>
      <c r="K45" s="12" t="s">
        <v>21</v>
      </c>
      <c r="L45" s="12" t="s">
        <v>21</v>
      </c>
      <c r="M45" s="12" t="s">
        <v>21</v>
      </c>
      <c r="N45" s="12" t="s">
        <v>21</v>
      </c>
      <c r="O45" s="12" t="s">
        <v>21</v>
      </c>
      <c r="P45" s="12" t="s">
        <v>12</v>
      </c>
      <c r="Q45" s="12" t="s">
        <v>21</v>
      </c>
      <c r="R45" s="12" t="s">
        <v>21</v>
      </c>
      <c r="S45" s="12" t="s">
        <v>21</v>
      </c>
      <c r="T45" s="12" t="s">
        <v>21</v>
      </c>
      <c r="U45" s="12" t="s">
        <v>21</v>
      </c>
    </row>
    <row r="46" spans="1:21" ht="13" hidden="1" thickBot="1" x14ac:dyDescent="0.3">
      <c r="A46" s="32" t="s">
        <v>0</v>
      </c>
      <c r="P46" s="276"/>
      <c r="Q46" s="31"/>
      <c r="R46" s="31"/>
      <c r="S46" s="31"/>
      <c r="T46" s="31"/>
      <c r="U46" s="31"/>
    </row>
    <row r="47" spans="1:21" ht="12.75" hidden="1" customHeight="1" thickBot="1" x14ac:dyDescent="0.3">
      <c r="A47" s="32" t="s">
        <v>0</v>
      </c>
      <c r="B47" s="3"/>
      <c r="D47" s="3"/>
      <c r="F47" s="391"/>
      <c r="G47" s="392"/>
      <c r="H47" s="392"/>
      <c r="I47" s="392"/>
      <c r="J47" s="392"/>
      <c r="K47" s="392"/>
      <c r="L47" s="392"/>
      <c r="M47" s="393" t="str">
        <f>Translations!$B$402</f>
        <v>Vaihteluväli</v>
      </c>
      <c r="N47" s="3"/>
      <c r="O47" s="3"/>
      <c r="P47" s="276"/>
      <c r="Q47" s="31"/>
      <c r="R47" s="31"/>
      <c r="S47" s="31"/>
      <c r="T47" s="31"/>
      <c r="U47" s="31"/>
    </row>
    <row r="48" spans="1:21" s="7" customFormat="1" hidden="1" x14ac:dyDescent="0.25">
      <c r="A48" s="2" t="s">
        <v>0</v>
      </c>
      <c r="C48" s="22"/>
      <c r="E48" s="22"/>
      <c r="F48" s="394"/>
      <c r="G48" s="172"/>
      <c r="H48" s="172"/>
      <c r="I48" s="13"/>
      <c r="J48" s="172"/>
      <c r="K48" s="172"/>
      <c r="L48" s="172"/>
      <c r="M48" s="395" t="str">
        <f ca="1">C_Päästölaskenta!M652</f>
        <v>C_Päästölaskenta!$I$652:$I$651</v>
      </c>
      <c r="P48" s="276"/>
      <c r="Q48" s="31"/>
      <c r="R48" s="31"/>
      <c r="S48" s="31"/>
      <c r="T48" s="31"/>
      <c r="U48" s="31"/>
    </row>
    <row r="49" spans="1:21" s="7" customFormat="1" hidden="1" x14ac:dyDescent="0.25">
      <c r="A49" s="2" t="s">
        <v>0</v>
      </c>
      <c r="C49" s="22"/>
      <c r="E49" s="22"/>
      <c r="F49" s="396"/>
      <c r="G49" s="175"/>
      <c r="H49" s="175"/>
      <c r="I49" s="14"/>
      <c r="J49" s="175"/>
      <c r="K49" s="175"/>
      <c r="L49" s="175"/>
      <c r="M49" s="176"/>
      <c r="P49" s="276"/>
      <c r="Q49" s="31"/>
      <c r="R49" s="31"/>
      <c r="S49" s="31"/>
      <c r="T49" s="31"/>
      <c r="U49" s="31"/>
    </row>
    <row r="50" spans="1:21" hidden="1" x14ac:dyDescent="0.25">
      <c r="A50" s="2" t="s">
        <v>0</v>
      </c>
    </row>
  </sheetData>
  <sheetProtection formatCells="0" formatColumns="0" formatRows="0"/>
  <mergeCells count="79">
    <mergeCell ref="E5:H5"/>
    <mergeCell ref="D39:G39"/>
    <mergeCell ref="J39:M39"/>
    <mergeCell ref="D43:G43"/>
    <mergeCell ref="J43:M43"/>
    <mergeCell ref="D40:G40"/>
    <mergeCell ref="J40:M40"/>
    <mergeCell ref="D41:G41"/>
    <mergeCell ref="J41:M41"/>
    <mergeCell ref="D42:G42"/>
    <mergeCell ref="J42:M42"/>
    <mergeCell ref="D36:G36"/>
    <mergeCell ref="J36:M36"/>
    <mergeCell ref="D37:G37"/>
    <mergeCell ref="J37:M37"/>
    <mergeCell ref="D38:G38"/>
    <mergeCell ref="J38:M38"/>
    <mergeCell ref="D33:G33"/>
    <mergeCell ref="J33:M33"/>
    <mergeCell ref="D34:G34"/>
    <mergeCell ref="J34:M34"/>
    <mergeCell ref="D35:G35"/>
    <mergeCell ref="J35:M35"/>
    <mergeCell ref="D30:G30"/>
    <mergeCell ref="J30:M30"/>
    <mergeCell ref="D31:G31"/>
    <mergeCell ref="J31:M31"/>
    <mergeCell ref="D32:G32"/>
    <mergeCell ref="J32:M32"/>
    <mergeCell ref="D27:G27"/>
    <mergeCell ref="J27:M27"/>
    <mergeCell ref="D28:G28"/>
    <mergeCell ref="J28:M28"/>
    <mergeCell ref="D29:G29"/>
    <mergeCell ref="J29:M29"/>
    <mergeCell ref="D24:G24"/>
    <mergeCell ref="J24:M24"/>
    <mergeCell ref="D25:G25"/>
    <mergeCell ref="J25:M25"/>
    <mergeCell ref="D26:G26"/>
    <mergeCell ref="J26:M26"/>
    <mergeCell ref="D21:G21"/>
    <mergeCell ref="J21:M21"/>
    <mergeCell ref="D22:G22"/>
    <mergeCell ref="J22:M22"/>
    <mergeCell ref="D23:G23"/>
    <mergeCell ref="J23:M23"/>
    <mergeCell ref="D18:G18"/>
    <mergeCell ref="J18:M18"/>
    <mergeCell ref="D19:G19"/>
    <mergeCell ref="J19:M19"/>
    <mergeCell ref="D20:G20"/>
    <mergeCell ref="J20:M20"/>
    <mergeCell ref="E13:E14"/>
    <mergeCell ref="F13:N13"/>
    <mergeCell ref="F14:N14"/>
    <mergeCell ref="F15:N15"/>
    <mergeCell ref="F16:N16"/>
    <mergeCell ref="C6:K6"/>
    <mergeCell ref="D8:N8"/>
    <mergeCell ref="E10:N10"/>
    <mergeCell ref="F11:N11"/>
    <mergeCell ref="F12:N12"/>
    <mergeCell ref="K3:L3"/>
    <mergeCell ref="M4:N4"/>
    <mergeCell ref="B2:D4"/>
    <mergeCell ref="E2:F2"/>
    <mergeCell ref="G2:H2"/>
    <mergeCell ref="I2:J2"/>
    <mergeCell ref="K2:L2"/>
    <mergeCell ref="M2:N2"/>
    <mergeCell ref="E3:F3"/>
    <mergeCell ref="G3:H3"/>
    <mergeCell ref="I3:J3"/>
    <mergeCell ref="M3:N3"/>
    <mergeCell ref="E4:F4"/>
    <mergeCell ref="G4:H4"/>
    <mergeCell ref="I4:J4"/>
    <mergeCell ref="K4:L4"/>
  </mergeCells>
  <conditionalFormatting sqref="D19:D43 H19:J43">
    <cfRule type="expression" dxfId="52" priority="1182" stopIfTrue="1">
      <formula>#REF!=TRUE</formula>
    </cfRule>
  </conditionalFormatting>
  <dataValidations count="1">
    <dataValidation type="list" allowBlank="1" showInputMessage="1" sqref="D19:G43" xr:uid="{00000000-0002-0000-0600-000000000000}">
      <formula1>INDIRECT($M$48)</formula1>
    </dataValidation>
  </dataValidations>
  <hyperlinks>
    <hyperlink ref="G2:H2" location="JUMP_a_Content" display="Table of contents" xr:uid="{00000000-0004-0000-0600-000000000000}"/>
  </hyperlinks>
  <pageMargins left="0.70866141732283472" right="0.70866141732283472" top="0.78740157480314965" bottom="0.78740157480314965" header="0.31496062992125984" footer="0.31496062992125984"/>
  <pageSetup paperSize="9" scale="60" fitToHeight="10" orientation="portrait" r:id="rId1"/>
  <headerFooter>
    <oddHeader>&amp;L&amp;F, &amp;A&amp;R&amp;D, &amp;T</oddHeader>
    <oddFooter>&amp;C&amp;P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CCFFFF"/>
    <pageSetUpPr fitToPage="1"/>
  </sheetPr>
  <dimension ref="A1:X133"/>
  <sheetViews>
    <sheetView topLeftCell="B1" zoomScaleNormal="100" workbookViewId="0">
      <pane ySplit="4" topLeftCell="A5" activePane="bottomLeft" state="frozen"/>
      <selection activeCell="B2" sqref="B2"/>
      <selection pane="bottomLeft" activeCell="AC25" sqref="AC25"/>
    </sheetView>
  </sheetViews>
  <sheetFormatPr defaultColWidth="9.1796875" defaultRowHeight="12.5" x14ac:dyDescent="0.25"/>
  <cols>
    <col min="1" max="1" width="2.7265625" style="254" hidden="1" customWidth="1"/>
    <col min="2" max="2" width="2.7265625" style="4" customWidth="1"/>
    <col min="3" max="4" width="4.7265625" style="4" customWidth="1"/>
    <col min="5" max="5" width="20.7265625" style="43" customWidth="1"/>
    <col min="6" max="14" width="12.7265625" style="4" customWidth="1"/>
    <col min="15" max="15" width="2.7265625" style="298" customWidth="1"/>
    <col min="16" max="16" width="11.453125" style="134" customWidth="1"/>
    <col min="17" max="24" width="11.453125" style="232" hidden="1" customWidth="1"/>
    <col min="25" max="16384" width="9.1796875" style="276"/>
  </cols>
  <sheetData>
    <row r="1" spans="1:24" ht="13" hidden="1" thickBot="1" x14ac:dyDescent="0.3">
      <c r="A1" s="232" t="s">
        <v>0</v>
      </c>
      <c r="B1" s="37"/>
      <c r="C1" s="37"/>
      <c r="D1" s="40"/>
      <c r="E1" s="37"/>
      <c r="F1" s="37"/>
      <c r="G1" s="37"/>
      <c r="H1" s="37"/>
      <c r="I1" s="37"/>
      <c r="J1" s="37"/>
      <c r="K1" s="37"/>
      <c r="L1" s="37"/>
      <c r="M1" s="37"/>
      <c r="N1" s="37"/>
      <c r="O1" s="292"/>
      <c r="P1" s="4"/>
      <c r="Q1" s="232" t="s">
        <v>0</v>
      </c>
      <c r="R1" s="232" t="s">
        <v>0</v>
      </c>
      <c r="S1" s="232" t="s">
        <v>0</v>
      </c>
      <c r="T1" s="232" t="s">
        <v>0</v>
      </c>
      <c r="U1" s="232" t="s">
        <v>0</v>
      </c>
      <c r="V1" s="232" t="s">
        <v>0</v>
      </c>
      <c r="W1" s="232" t="s">
        <v>0</v>
      </c>
      <c r="X1" s="232" t="s">
        <v>0</v>
      </c>
    </row>
    <row r="2" spans="1:24" ht="13.5" customHeight="1" thickBot="1" x14ac:dyDescent="0.35">
      <c r="A2" s="232"/>
      <c r="B2" s="859" t="str">
        <f>Translations!$B$467</f>
        <v>F. Ajoituksen työkalu</v>
      </c>
      <c r="C2" s="860"/>
      <c r="D2" s="861"/>
      <c r="E2" s="873" t="str">
        <f>Translations!$B$13</f>
        <v>Navigointialue:</v>
      </c>
      <c r="F2" s="874"/>
      <c r="G2" s="875" t="str">
        <f>Translations!$B$14</f>
        <v>Sisällysluettelo</v>
      </c>
      <c r="H2" s="876"/>
      <c r="I2" s="875" t="str">
        <f ca="1">HYPERLINK("#"&amp;INDEX('ei koske 2024'!$R$4:$R$45,MATCH(INDEX('ei koske 2024'!$T$4:$T$45,MATCH($T$2,'ei koske 2024'!$S$4:$S$45,0))-1,'ei koske 2024'!$T$4:$T$45,0)),EUconst_PreviousSheet)</f>
        <v>Edellinen välilehti</v>
      </c>
      <c r="J2" s="876"/>
      <c r="K2" s="875" t="str">
        <f ca="1">HYPERLINK("#"&amp;INDEX('ei koske 2024'!$R$4:$R$45,MATCH(INDEX('ei koske 2024'!$T$4:$T$45,MATCH($T$2,'ei koske 2024'!$S$4:$S$45,0))+1,'ei koske 2024'!$T$4:$T$45,0)),EUconst_NextSheet)</f>
        <v>Seuraava välilehti</v>
      </c>
      <c r="L2" s="876"/>
      <c r="M2" s="870" t="str">
        <f ca="1">HYPERLINK("#"&amp;'ei koske 2024'!$R$42,INDIRECT('ei koske 2024'!$R$42))</f>
        <v>G. Yhteenveto</v>
      </c>
      <c r="N2" s="871"/>
      <c r="O2" s="292"/>
      <c r="P2" s="4"/>
      <c r="Q2" s="245" t="s">
        <v>1</v>
      </c>
      <c r="R2" s="246" t="str">
        <f>ADDRESS(ROW($B$6),COLUMN($B$6)) &amp; ":" &amp; ADDRESS(MATCH("PRINT",$P:$P,0),COLUMN($P$6))</f>
        <v>$B$6:$P$105</v>
      </c>
      <c r="S2" s="245" t="s">
        <v>2</v>
      </c>
      <c r="T2" s="247" t="str">
        <f ca="1">IF(ISERROR(CELL("filename",U2)),"F_ManagementControl",MID(CELL("filename",U2),FIND("]",CELL("filename",U2))+1,1024))</f>
        <v>ei 2024 (2)</v>
      </c>
    </row>
    <row r="3" spans="1:24" ht="12.75" customHeight="1" x14ac:dyDescent="0.25">
      <c r="A3" s="232"/>
      <c r="B3" s="862"/>
      <c r="C3" s="863"/>
      <c r="D3" s="864"/>
      <c r="E3" s="858"/>
      <c r="F3" s="858"/>
      <c r="G3" s="858" t="str">
        <f>IFERROR(HYPERLINK("#"&amp;ADDRESS(ROW($A$1)+MATCH(Q3,$A:$A,0)-1,3),INDEX($Q:$Q,MATCH(Q3,$A:$A,0))),"")</f>
        <v>Työkalun esittely</v>
      </c>
      <c r="H3" s="858"/>
      <c r="I3" s="858" t="str">
        <f>IFERROR(HYPERLINK("#"&amp;ADDRESS(ROW($A$1)+MATCH(S3,$A:$A,0)-1,3),INDEX($Q:$Q,MATCH(S3,$A:$A,0))),"")</f>
        <v>Työkalu 1</v>
      </c>
      <c r="J3" s="858"/>
      <c r="K3" s="858" t="str">
        <f>IFERROR(HYPERLINK("#"&amp;ADDRESS(ROW($A$1)+MATCH(U3,$A:$A,0)-1,3),INDEX($Q:$Q,MATCH(U3,$A:$A,0))),"")</f>
        <v>Työkalu 2</v>
      </c>
      <c r="L3" s="858"/>
      <c r="M3" s="858" t="str">
        <f>IFERROR(HYPERLINK("#"&amp;ADDRESS(ROW($A$1)+MATCH(W3,$A:$A,0)-1,3),INDEX($Q:$Q,MATCH(W3,$A:$A,0))),"")</f>
        <v/>
      </c>
      <c r="N3" s="858"/>
      <c r="O3" s="292"/>
      <c r="P3" s="4"/>
      <c r="Q3" s="260">
        <v>1</v>
      </c>
      <c r="R3" s="261"/>
      <c r="S3" s="261">
        <v>2</v>
      </c>
      <c r="T3" s="261"/>
      <c r="U3" s="261">
        <v>3</v>
      </c>
      <c r="V3" s="261"/>
      <c r="W3" s="262">
        <v>4</v>
      </c>
    </row>
    <row r="4" spans="1:24" ht="13.5" customHeight="1" thickBot="1" x14ac:dyDescent="0.3">
      <c r="A4" s="232"/>
      <c r="B4" s="865"/>
      <c r="C4" s="866"/>
      <c r="D4" s="867"/>
      <c r="E4" s="858"/>
      <c r="F4" s="858"/>
      <c r="G4" s="858" t="str">
        <f>IFERROR(HYPERLINK("#"&amp;ADDRESS(ROW($A$1)+MATCH(Q4,$A:$A,0)-1,3),INDEX($Q:$Q,MATCH(Q4,$A:$A,0))),"")</f>
        <v/>
      </c>
      <c r="H4" s="858"/>
      <c r="I4" s="858" t="str">
        <f>IFERROR(HYPERLINK("#"&amp;ADDRESS(ROW($A$1)+MATCH(S4,$A:$A,0)-1,3),INDEX($Q:$Q,MATCH(S4,$A:$A,0))),"")</f>
        <v/>
      </c>
      <c r="J4" s="858"/>
      <c r="K4" s="858" t="str">
        <f>IFERROR(HYPERLINK("#"&amp;ADDRESS(ROW($A$1)+MATCH(U4,$A:$A,0)-1,3),INDEX($Q:$Q,MATCH(U4,$A:$A,0))),"")</f>
        <v/>
      </c>
      <c r="L4" s="858"/>
      <c r="M4" s="858" t="str">
        <f>IFERROR(HYPERLINK("#"&amp;ADDRESS(ROW($A$1)+MATCH(W4,$A:$A,0)-1,3),INDEX($Q:$Q,MATCH(W4,$A:$A,0))),"")</f>
        <v/>
      </c>
      <c r="N4" s="858"/>
      <c r="O4" s="292"/>
      <c r="P4" s="4"/>
      <c r="Q4" s="263">
        <v>5</v>
      </c>
      <c r="R4" s="264"/>
      <c r="S4" s="264">
        <v>6</v>
      </c>
      <c r="T4" s="264"/>
      <c r="U4" s="264">
        <v>7</v>
      </c>
      <c r="V4" s="264"/>
      <c r="W4" s="265">
        <v>8</v>
      </c>
    </row>
    <row r="5" spans="1:24" ht="45" customHeight="1" x14ac:dyDescent="0.3">
      <c r="C5" s="5"/>
      <c r="D5" s="6"/>
      <c r="E5" s="840" t="s">
        <v>1771</v>
      </c>
      <c r="F5" s="839"/>
      <c r="G5" s="839"/>
      <c r="H5" s="839"/>
      <c r="L5" s="3"/>
      <c r="M5" s="3"/>
      <c r="N5" s="3"/>
      <c r="O5" s="292"/>
      <c r="P5" s="4"/>
    </row>
    <row r="6" spans="1:24" s="699" customFormat="1" ht="25.5" customHeight="1" x14ac:dyDescent="0.25">
      <c r="A6" s="277"/>
      <c r="B6" s="21"/>
      <c r="C6" s="1081" t="str">
        <f>Translations!$B$468</f>
        <v>F. Työkalu luovutettujen polttoainemäärien määrittämiseksi, jos 75 j artiklan 2 kohta on merkityksellinen</v>
      </c>
      <c r="D6" s="1081"/>
      <c r="E6" s="1081"/>
      <c r="F6" s="1081"/>
      <c r="G6" s="1081"/>
      <c r="H6" s="1081"/>
      <c r="I6" s="1081"/>
      <c r="J6" s="1081"/>
      <c r="K6" s="1081"/>
      <c r="L6" s="1081"/>
      <c r="M6" s="1081"/>
      <c r="N6" s="1081"/>
      <c r="O6" s="288"/>
      <c r="P6" s="21"/>
      <c r="Q6" s="232"/>
      <c r="R6" s="232"/>
      <c r="S6" s="232"/>
      <c r="T6" s="232"/>
      <c r="U6" s="232"/>
      <c r="V6" s="698"/>
      <c r="W6" s="698"/>
      <c r="X6" s="698"/>
    </row>
    <row r="7" spans="1:24" x14ac:dyDescent="0.25">
      <c r="B7" s="3"/>
      <c r="C7" s="3"/>
      <c r="D7" s="3"/>
      <c r="E7" s="616"/>
      <c r="F7" s="3"/>
      <c r="G7" s="3"/>
      <c r="H7" s="3"/>
      <c r="I7" s="3"/>
      <c r="J7" s="3"/>
      <c r="K7" s="3"/>
      <c r="L7" s="3"/>
      <c r="M7" s="3"/>
      <c r="N7" s="3"/>
      <c r="O7" s="292"/>
      <c r="P7" s="4"/>
    </row>
    <row r="8" spans="1:24" s="233" customFormat="1" ht="18.75" customHeight="1" x14ac:dyDescent="0.25">
      <c r="A8" s="161">
        <f>C8</f>
        <v>1</v>
      </c>
      <c r="B8" s="22"/>
      <c r="C8" s="24">
        <v>1</v>
      </c>
      <c r="D8" s="983" t="str">
        <f>Translations!$B$469</f>
        <v>Työkalun esittely</v>
      </c>
      <c r="E8" s="983"/>
      <c r="F8" s="983"/>
      <c r="G8" s="983"/>
      <c r="H8" s="983"/>
      <c r="I8" s="983"/>
      <c r="J8" s="983"/>
      <c r="K8" s="983"/>
      <c r="L8" s="983"/>
      <c r="M8" s="983"/>
      <c r="N8" s="983"/>
      <c r="O8" s="292"/>
      <c r="P8" s="4"/>
      <c r="Q8" s="33" t="str">
        <f>D8</f>
        <v>Työkalun esittely</v>
      </c>
      <c r="R8" s="232"/>
      <c r="S8" s="232"/>
      <c r="T8" s="232"/>
      <c r="U8" s="232"/>
      <c r="V8" s="301"/>
      <c r="W8" s="301"/>
      <c r="X8" s="301"/>
    </row>
    <row r="9" spans="1:24" ht="12.75" customHeight="1" x14ac:dyDescent="0.25">
      <c r="B9" s="3"/>
      <c r="C9" s="3"/>
      <c r="D9" s="3"/>
      <c r="E9" s="61"/>
      <c r="F9" s="7"/>
      <c r="G9" s="7"/>
      <c r="H9" s="7"/>
      <c r="I9" s="7"/>
      <c r="J9" s="7"/>
      <c r="K9" s="7"/>
      <c r="L9" s="7"/>
      <c r="M9" s="7"/>
      <c r="N9" s="3"/>
      <c r="O9" s="292"/>
      <c r="P9" s="4"/>
    </row>
    <row r="10" spans="1:24" ht="25.5" customHeight="1" x14ac:dyDescent="0.25">
      <c r="A10" s="31"/>
      <c r="C10" s="43"/>
      <c r="D10" s="19"/>
      <c r="E10" s="972" t="str">
        <f>Translations!$B$470</f>
        <v>Teoriassa varastot olisi määritettävä keskiyöllä joka vuoden joulukuun 31. päivä, mikä ei liene mahdollista käytännössä. Tämän vuoksi tarkkailuasetuksen 75 j artiklan 2 kohdassa sallitaan seuraavan sopivimman päivän valinta erottamaan raportointikaudet toisistaan.</v>
      </c>
      <c r="F10" s="972"/>
      <c r="G10" s="972"/>
      <c r="H10" s="972"/>
      <c r="I10" s="972"/>
      <c r="J10" s="972"/>
      <c r="K10" s="972"/>
      <c r="L10" s="972"/>
      <c r="M10" s="972"/>
      <c r="N10" s="972"/>
      <c r="O10" s="292"/>
      <c r="P10" s="4"/>
      <c r="Q10" s="702"/>
      <c r="R10" s="2"/>
      <c r="S10" s="32"/>
      <c r="T10" s="32"/>
      <c r="U10" s="32"/>
      <c r="V10" s="32"/>
      <c r="W10" s="32"/>
      <c r="X10" s="32"/>
    </row>
    <row r="11" spans="1:24" ht="38.9" customHeight="1" x14ac:dyDescent="0.25">
      <c r="A11" s="31"/>
      <c r="C11" s="43"/>
      <c r="D11" s="19"/>
      <c r="E11" s="972" t="str">
        <f>Translations!$B$471</f>
        <v>Joissakin tapauksissa vuotuisten määrien katkaisuaika voi olla jopa myöhempi kuin vuotuisten päästöselvitysten todentamispäivä. Yleinen esimerkki tällaisesta tapauksesta ovat maakaasun toimittajat, jotka saavat jakeluverkonhaltijoiden suorittaman mittarinluvun tulokset edellisen vuoden kulutustasoista (vähintään osasta luovutettuja määriä) vasta sen päivän jälkeen, jona vuotuinen päästöselvitys todennetaan.</v>
      </c>
      <c r="F11" s="972"/>
      <c r="G11" s="972"/>
      <c r="H11" s="972"/>
      <c r="I11" s="972"/>
      <c r="J11" s="972"/>
      <c r="K11" s="972"/>
      <c r="L11" s="972"/>
      <c r="M11" s="972"/>
      <c r="N11" s="972"/>
      <c r="O11" s="292"/>
      <c r="P11" s="4"/>
      <c r="Q11" s="702"/>
      <c r="R11" s="2"/>
      <c r="S11" s="32"/>
      <c r="T11" s="32"/>
      <c r="U11" s="32"/>
      <c r="V11" s="32"/>
      <c r="W11" s="32"/>
      <c r="X11" s="32"/>
    </row>
    <row r="12" spans="1:24" ht="25.5" customHeight="1" x14ac:dyDescent="0.25">
      <c r="A12" s="31"/>
      <c r="C12" s="43"/>
      <c r="D12" s="19"/>
      <c r="E12" s="1066" t="str">
        <f>Translations!$B$472</f>
        <v>Tämän välilehden työkalut tukevat vuotuisten luovutettujen polttoainemäärien täsmäytystä siinä tapauksessa, että ainakin joidenkin määrien katkaisuaika on sen päivän jälkeen, jona vuotuinen päästöselvitys todennetaan. Voit käyttää kutakin alla olevaa työkalua yhden polttoainevirran luovutettujen polttoainemäärien määrittämiseen.</v>
      </c>
      <c r="F12" s="1066"/>
      <c r="G12" s="1066"/>
      <c r="H12" s="1066"/>
      <c r="I12" s="1066"/>
      <c r="J12" s="1066"/>
      <c r="K12" s="1066"/>
      <c r="L12" s="1066"/>
      <c r="M12" s="1066"/>
      <c r="N12" s="1066"/>
      <c r="O12" s="292"/>
      <c r="P12" s="4"/>
      <c r="Q12" s="702"/>
      <c r="R12" s="2"/>
      <c r="S12" s="32"/>
      <c r="T12" s="32"/>
      <c r="U12" s="32"/>
      <c r="V12" s="32"/>
      <c r="W12" s="32"/>
      <c r="X12" s="32"/>
    </row>
    <row r="13" spans="1:24" ht="19.5" customHeight="1" x14ac:dyDescent="0.25">
      <c r="A13" s="31"/>
      <c r="C13" s="43"/>
      <c r="D13" s="19"/>
      <c r="E13" s="1066" t="str">
        <f>Translations!$B$473</f>
        <v>Huomaathan, että tämän työkalun tulokset on syötettävä manuaalisesti välilehdelle C! Niitä ei siirretä automaattisesti, ja ne on tarkoitettu ainoastaan läpinäkyvyyden varmistamiseen.</v>
      </c>
      <c r="F13" s="1066"/>
      <c r="G13" s="1066"/>
      <c r="H13" s="1066"/>
      <c r="I13" s="1066"/>
      <c r="J13" s="1066"/>
      <c r="K13" s="1066"/>
      <c r="L13" s="1066"/>
      <c r="M13" s="1066"/>
      <c r="N13" s="1066"/>
      <c r="O13" s="292"/>
      <c r="P13" s="4"/>
      <c r="Q13" s="702"/>
      <c r="R13" s="2"/>
      <c r="S13" s="32"/>
      <c r="T13" s="32"/>
      <c r="U13" s="32"/>
      <c r="V13" s="32"/>
      <c r="W13" s="32"/>
      <c r="X13" s="32"/>
    </row>
    <row r="14" spans="1:24" ht="12.75" customHeight="1" x14ac:dyDescent="0.25">
      <c r="A14" s="31"/>
      <c r="C14" s="43"/>
      <c r="D14" s="19"/>
      <c r="E14" s="34"/>
      <c r="F14" s="34"/>
      <c r="G14" s="34"/>
      <c r="H14" s="34"/>
      <c r="I14" s="34"/>
      <c r="J14" s="34"/>
      <c r="K14" s="34"/>
      <c r="L14" s="34"/>
      <c r="M14" s="34"/>
      <c r="N14" s="34"/>
      <c r="O14" s="292"/>
      <c r="P14" s="4"/>
      <c r="Q14" s="2"/>
      <c r="R14" s="2"/>
      <c r="S14" s="32"/>
      <c r="T14" s="32"/>
      <c r="U14" s="32"/>
      <c r="V14" s="32"/>
      <c r="W14" s="32"/>
      <c r="X14" s="32"/>
    </row>
    <row r="15" spans="1:24" ht="12.75" customHeight="1" x14ac:dyDescent="0.25">
      <c r="B15" s="3"/>
      <c r="C15" s="3"/>
      <c r="D15" s="3"/>
      <c r="E15" s="1172" t="str">
        <f>Translations!$B$355</f>
        <v>Käsitteet ja ohjeet:</v>
      </c>
      <c r="F15" s="1172"/>
      <c r="G15" s="1172"/>
      <c r="H15" s="1172"/>
      <c r="I15" s="1172"/>
      <c r="J15" s="1172"/>
      <c r="K15" s="1172"/>
      <c r="L15" s="1172"/>
      <c r="M15" s="1172"/>
      <c r="N15" s="1172"/>
      <c r="O15" s="292"/>
      <c r="P15" s="4"/>
    </row>
    <row r="16" spans="1:24" ht="12.75" customHeight="1" x14ac:dyDescent="0.25">
      <c r="B16" s="3"/>
      <c r="C16" s="3"/>
      <c r="D16" s="3"/>
      <c r="E16" s="244" t="str">
        <f>EUconst_ToolBestEstimate</f>
        <v>Paras arvio</v>
      </c>
      <c r="F16" s="1152" t="str">
        <f>Translations!$B$474</f>
        <v>Tämä on raportointivuoden paras arvio luovutetuista polttoainemääristä eli paras arvio vuonna Y-1 luovutetuista määristä, jotka on ilmoitettava 30.4.Y mennessä.</v>
      </c>
      <c r="G16" s="1152"/>
      <c r="H16" s="1152"/>
      <c r="I16" s="1152"/>
      <c r="J16" s="1152"/>
      <c r="K16" s="1152"/>
      <c r="L16" s="1152"/>
      <c r="M16" s="1152"/>
      <c r="N16" s="1152"/>
      <c r="O16" s="292"/>
      <c r="P16" s="4"/>
    </row>
    <row r="17" spans="1:24" ht="25.5" customHeight="1" x14ac:dyDescent="0.25">
      <c r="B17" s="3"/>
      <c r="C17" s="3"/>
      <c r="D17" s="3"/>
      <c r="E17" s="244" t="str">
        <f>EUconst_ToolActualAmounts</f>
        <v>Toteutuneet päästöt</v>
      </c>
      <c r="F17" s="1152" t="str">
        <f>Translations!$B$475</f>
        <v>Tämä on vuodelle Y-1 luovutetun polttoaineen todellinen määrä eli lopullinen määrä, joka on tiedossa vasta tämän vuoden päästöselvityksen todentamisen jälkeen. Todellinen määrä on siis tiedossa vasta 30.4. mennessä toimitettavassa päästöselvityksessä Y+1, jossa ilmoitetaan päästöt vuonna Y.</v>
      </c>
      <c r="G17" s="1152"/>
      <c r="H17" s="1152"/>
      <c r="I17" s="1152"/>
      <c r="J17" s="1152"/>
      <c r="K17" s="1152"/>
      <c r="L17" s="1152"/>
      <c r="M17" s="1152"/>
      <c r="N17" s="1152"/>
      <c r="O17" s="292"/>
      <c r="P17" s="4"/>
    </row>
    <row r="18" spans="1:24" ht="25.5" customHeight="1" x14ac:dyDescent="0.25">
      <c r="B18" s="3"/>
      <c r="C18" s="3"/>
      <c r="D18" s="3"/>
      <c r="E18" s="166" t="str">
        <f>K46</f>
        <v>Ilmoitettavat määrät</v>
      </c>
      <c r="F18" s="1156" t="str">
        <f>Translations!$B$476</f>
        <v>Nämä ovat luovutetut polttoainemäärät, jotka on ilmoitettava kyseisen polttoainevirran osalta kyseisenä vuoden Y-1 aikana luovutetuista määristä parhaita arvioita koskevien kirjausten perusteella ja korjaamalla (ks. jäljempänä) ilmoitettujen ja vuoden Y-1 toteutuneiden määrien välistä tasetta.</v>
      </c>
      <c r="G18" s="1156"/>
      <c r="H18" s="1156"/>
      <c r="I18" s="1156"/>
      <c r="J18" s="1156"/>
      <c r="K18" s="1156"/>
      <c r="L18" s="1156"/>
      <c r="M18" s="1156"/>
      <c r="N18" s="1156"/>
      <c r="O18" s="292"/>
      <c r="P18" s="4"/>
      <c r="Q18" s="637"/>
    </row>
    <row r="19" spans="1:24" ht="12.75" customHeight="1" x14ac:dyDescent="0.25">
      <c r="B19" s="3"/>
      <c r="C19" s="3"/>
      <c r="D19" s="3"/>
      <c r="E19" s="166" t="str">
        <f>M46</f>
        <v>Tase</v>
      </c>
      <c r="F19" s="1156" t="str">
        <f>Translations!$B$477</f>
        <v>Tämä on ilmoitettujen luovutettujen polttoainemäärien ja toteutuneiden määrien välinen erotus.</v>
      </c>
      <c r="G19" s="1156"/>
      <c r="H19" s="1156"/>
      <c r="I19" s="1156"/>
      <c r="J19" s="1156"/>
      <c r="K19" s="1156"/>
      <c r="L19" s="1156"/>
      <c r="M19" s="1156"/>
      <c r="N19" s="1156"/>
      <c r="O19" s="292"/>
      <c r="P19" s="4"/>
    </row>
    <row r="20" spans="1:24" ht="12.75" customHeight="1" x14ac:dyDescent="0.25">
      <c r="A20" s="31"/>
      <c r="C20" s="43"/>
      <c r="D20" s="19"/>
      <c r="E20" s="34"/>
      <c r="F20" s="34"/>
      <c r="G20" s="34"/>
      <c r="H20" s="34"/>
      <c r="I20" s="34"/>
      <c r="J20" s="34"/>
      <c r="K20" s="34"/>
      <c r="L20" s="34"/>
      <c r="M20" s="34"/>
      <c r="N20" s="34"/>
      <c r="O20" s="292"/>
      <c r="P20" s="4"/>
      <c r="Q20" s="2"/>
      <c r="R20" s="2"/>
      <c r="S20" s="32"/>
      <c r="T20" s="32"/>
      <c r="U20" s="32"/>
      <c r="V20" s="32"/>
      <c r="W20" s="32"/>
      <c r="X20" s="32"/>
    </row>
    <row r="21" spans="1:24" ht="12.75" customHeight="1" x14ac:dyDescent="0.25">
      <c r="B21" s="3"/>
      <c r="C21" s="3"/>
      <c r="D21" s="3"/>
      <c r="E21" s="1172" t="str">
        <f>Translations!$B$478</f>
        <v>Esimerkki (joka perustuu vastaavaan esimerkkiin ETS2-yhteisöjä koskevien yleisten ohjeiden 5.3.2 jaksossa):</v>
      </c>
      <c r="F21" s="1172"/>
      <c r="G21" s="1172"/>
      <c r="H21" s="1172"/>
      <c r="I21" s="1172"/>
      <c r="J21" s="1172"/>
      <c r="K21" s="1172"/>
      <c r="L21" s="1172"/>
      <c r="M21" s="1172"/>
      <c r="N21" s="1172"/>
      <c r="O21" s="292"/>
      <c r="P21" s="4"/>
    </row>
    <row r="22" spans="1:24" ht="25.5" customHeight="1" x14ac:dyDescent="0.25">
      <c r="A22" s="31"/>
      <c r="C22" s="43"/>
      <c r="D22" s="19"/>
      <c r="E22" s="972" t="str">
        <f>Translations!$B$479</f>
        <v>Maakaasun toimittajalla (tässä esimerkissä ETS2-yhteisö) on suorat sopimussuhteet kotitalouksiin. Vuotuinen maakaasun kulutus mitataan kerran vuodessa 15. toukokuuta maakaasun jakeluverkonhaltijan omistamalla ja lukemalla virtausmittarilla.</v>
      </c>
      <c r="F22" s="972"/>
      <c r="G22" s="972"/>
      <c r="H22" s="972"/>
      <c r="I22" s="972"/>
      <c r="J22" s="972"/>
      <c r="K22" s="972"/>
      <c r="L22" s="972"/>
      <c r="M22" s="972"/>
      <c r="N22" s="972"/>
      <c r="O22" s="292"/>
      <c r="P22" s="4"/>
      <c r="Q22" s="702"/>
      <c r="R22" s="2"/>
      <c r="S22" s="32"/>
      <c r="T22" s="32"/>
      <c r="U22" s="32"/>
      <c r="V22" s="32"/>
      <c r="W22" s="32"/>
      <c r="X22" s="32"/>
    </row>
    <row r="23" spans="1:24" ht="32.5" customHeight="1" x14ac:dyDescent="0.25">
      <c r="A23" s="31"/>
      <c r="C23" s="43"/>
      <c r="D23" s="19"/>
      <c r="E23" s="167" t="s">
        <v>52</v>
      </c>
      <c r="F23" s="972" t="str">
        <f>Translations!$B$480</f>
        <v>Aikaisempien kulutustasojen ja ennusteiden perusteella oletat, että luovutetun polttoaineen määrä on 2 500 kWh, joka on paras saatavilla oleva tieto luovutettujen polttoainemäärien arvioimiseksi koko kalenterivuodelta 2024 ja ilmoitat tämän luvun 30.4.2025 mennessä toimitettavassa vuotuisessa päästöselvityksessä. Merkinnät näyttäisivät näin ollen seuraavilta:</v>
      </c>
      <c r="G23" s="972"/>
      <c r="H23" s="972"/>
      <c r="I23" s="972"/>
      <c r="J23" s="972"/>
      <c r="K23" s="972"/>
      <c r="L23" s="972"/>
      <c r="M23" s="972"/>
      <c r="N23" s="972"/>
      <c r="O23" s="292"/>
      <c r="P23" s="4"/>
      <c r="Q23" s="702"/>
      <c r="R23" s="2"/>
      <c r="S23" s="32"/>
      <c r="T23" s="32"/>
      <c r="U23" s="32"/>
      <c r="V23" s="32"/>
      <c r="W23" s="32"/>
      <c r="X23" s="32"/>
    </row>
    <row r="24" spans="1:24" ht="12.75" customHeight="1" x14ac:dyDescent="0.25">
      <c r="A24" s="31"/>
      <c r="C24" s="43"/>
      <c r="D24" s="19"/>
      <c r="E24" s="167"/>
      <c r="F24" s="972" t="str">
        <f>Translations!$B$481</f>
        <v>30.4.2025 mennessä toimitettavan selvityksen merkinnät työkalussa näyttävät seuraavilta:</v>
      </c>
      <c r="G24" s="972"/>
      <c r="H24" s="972"/>
      <c r="I24" s="972"/>
      <c r="J24" s="972"/>
      <c r="K24" s="972"/>
      <c r="L24" s="972"/>
      <c r="M24" s="972"/>
      <c r="N24" s="972"/>
      <c r="O24" s="292"/>
      <c r="P24" s="4"/>
      <c r="Q24" s="702"/>
      <c r="R24" s="2"/>
      <c r="S24" s="32"/>
      <c r="T24" s="32"/>
      <c r="U24" s="32"/>
      <c r="V24" s="32"/>
      <c r="W24" s="32"/>
      <c r="X24" s="32"/>
    </row>
    <row r="25" spans="1:24" ht="12.75" customHeight="1" x14ac:dyDescent="0.25">
      <c r="A25" s="31"/>
      <c r="C25" s="43"/>
      <c r="D25" s="3"/>
      <c r="E25" s="137"/>
      <c r="F25" s="697"/>
      <c r="G25" s="1244" t="str">
        <f>Translations!$B$482</f>
        <v>Paras arvio</v>
      </c>
      <c r="H25" s="1246"/>
      <c r="I25" s="1244" t="str">
        <f>Translations!$B$483</f>
        <v>Toteutuneet päästöt</v>
      </c>
      <c r="J25" s="1245"/>
      <c r="K25" s="1244" t="str">
        <f>Translations!$B$484</f>
        <v>Ilmoitettavat määrät</v>
      </c>
      <c r="L25" s="1245"/>
      <c r="M25" s="1246" t="str">
        <f>Translations!$B$485</f>
        <v>Tase</v>
      </c>
      <c r="N25" s="1245"/>
      <c r="O25" s="292"/>
      <c r="P25" s="4"/>
      <c r="Q25" s="702"/>
      <c r="R25" s="2"/>
      <c r="S25" s="32"/>
      <c r="T25" s="32"/>
      <c r="U25" s="32"/>
      <c r="V25" s="32"/>
      <c r="W25" s="32"/>
      <c r="X25" s="32"/>
    </row>
    <row r="26" spans="1:24" ht="12.75" customHeight="1" x14ac:dyDescent="0.25">
      <c r="A26" s="31"/>
      <c r="C26" s="43"/>
      <c r="D26" s="3"/>
      <c r="E26" s="137"/>
      <c r="F26" s="697"/>
      <c r="G26" s="1247" t="str">
        <f>Translations!$B$486</f>
        <v xml:space="preserve"> (vuodelle Y-1)</v>
      </c>
      <c r="H26" s="1241"/>
      <c r="I26" s="1247" t="str">
        <f>Translations!$B$487</f>
        <v>(vuonna Y-1)</v>
      </c>
      <c r="J26" s="1242"/>
      <c r="K26" s="1247" t="str">
        <f>Translations!$B$488</f>
        <v>(vuonna Y vuodelle Y-1)</v>
      </c>
      <c r="L26" s="1242"/>
      <c r="M26" s="1241" t="str">
        <f>Translations!$B$489</f>
        <v>(ilmoitettu - todellinen)</v>
      </c>
      <c r="N26" s="1242"/>
      <c r="O26" s="292"/>
      <c r="P26" s="4"/>
      <c r="Q26" s="702"/>
      <c r="R26" s="2"/>
      <c r="S26" s="32"/>
      <c r="T26" s="32"/>
      <c r="U26" s="32"/>
      <c r="V26" s="32"/>
      <c r="W26" s="32"/>
      <c r="X26" s="32"/>
    </row>
    <row r="27" spans="1:24" ht="12.75" customHeight="1" x14ac:dyDescent="0.25">
      <c r="A27" s="31"/>
      <c r="C27" s="43"/>
      <c r="D27" s="1234">
        <v>2025</v>
      </c>
      <c r="E27" s="1236" t="str">
        <f>Translations!$B$490</f>
        <v>Paras arvio 2024</v>
      </c>
      <c r="F27" s="1237"/>
      <c r="G27" s="1228">
        <v>2500</v>
      </c>
      <c r="H27" s="1228"/>
      <c r="I27" s="1228"/>
      <c r="J27" s="1228"/>
      <c r="K27" s="1228">
        <v>2500</v>
      </c>
      <c r="L27" s="1243"/>
      <c r="M27" s="1228"/>
      <c r="N27" s="1228"/>
      <c r="O27" s="292"/>
      <c r="P27" s="4"/>
      <c r="Q27" s="702"/>
      <c r="R27" s="2"/>
      <c r="S27" s="32"/>
      <c r="T27" s="32"/>
      <c r="U27" s="32"/>
      <c r="V27" s="32"/>
      <c r="W27" s="32"/>
      <c r="X27" s="32"/>
    </row>
    <row r="28" spans="1:24" ht="12.75" customHeight="1" x14ac:dyDescent="0.25">
      <c r="A28" s="31"/>
      <c r="C28" s="43"/>
      <c r="D28" s="1235"/>
      <c r="E28" s="1229" t="str">
        <f>Translations!$B$491</f>
        <v>Toteutuneet päästöt 2024</v>
      </c>
      <c r="F28" s="1230"/>
      <c r="G28" s="1231"/>
      <c r="H28" s="1231"/>
      <c r="I28" s="1231"/>
      <c r="J28" s="1231"/>
      <c r="K28" s="1232"/>
      <c r="L28" s="1233"/>
      <c r="M28" s="1231"/>
      <c r="N28" s="1231"/>
      <c r="O28" s="292"/>
      <c r="P28" s="4"/>
      <c r="Q28" s="702"/>
      <c r="R28" s="2"/>
      <c r="S28" s="32"/>
      <c r="T28" s="32"/>
      <c r="U28" s="32"/>
      <c r="V28" s="32"/>
      <c r="W28" s="32"/>
      <c r="X28" s="32"/>
    </row>
    <row r="29" spans="1:24" ht="5.15" customHeight="1" x14ac:dyDescent="0.25">
      <c r="A29" s="31"/>
      <c r="C29" s="43"/>
      <c r="D29" s="19"/>
      <c r="E29" s="167"/>
      <c r="F29" s="34"/>
      <c r="G29" s="34"/>
      <c r="H29" s="34"/>
      <c r="I29" s="34"/>
      <c r="J29" s="34"/>
      <c r="K29" s="34"/>
      <c r="L29" s="34"/>
      <c r="M29" s="34"/>
      <c r="N29" s="34"/>
      <c r="O29" s="292"/>
      <c r="P29" s="4"/>
      <c r="Q29" s="702"/>
      <c r="R29" s="2"/>
      <c r="S29" s="32"/>
      <c r="T29" s="32"/>
      <c r="U29" s="32"/>
      <c r="V29" s="32"/>
      <c r="W29" s="32"/>
      <c r="X29" s="32"/>
    </row>
    <row r="30" spans="1:24" ht="44.15" customHeight="1" x14ac:dyDescent="0.25">
      <c r="A30" s="31"/>
      <c r="C30" s="43"/>
      <c r="D30" s="19"/>
      <c r="E30" s="167" t="s">
        <v>52</v>
      </c>
      <c r="F30" s="972" t="str">
        <f>Translations!$B$492</f>
        <v>Vuoden 2024 päästöjä koskevan kertomuksen toimittamisen jälkeen jakeluverkonhaltija ilmoittaa 15.5.2025 säännellylle yhteisölle, että todellinen kulutus 15.5.2024–15.5.2025 on ollut 2 300 kWh. Näin ollen vuoden 2025 päästöjen selvittämiseksi määräaikaan 30.4.2026 mennessä parhaat saatavilla olevat tiedot luovutetuista polttoainemääristä ovat 2 300 kWh. Edellisen vuoden yliraportoinnin oikaisemiseksi säännellyn yhteisön on kuitenkin vähennettävä 2 500–2 300 kWh = 200 kWh, mikä johtaa siihen, että ilmoitettu luovutettu polttoainemäärä vuonna 2025 on 2 100 kWh.</v>
      </c>
      <c r="G30" s="972"/>
      <c r="H30" s="972"/>
      <c r="I30" s="972"/>
      <c r="J30" s="972"/>
      <c r="K30" s="972"/>
      <c r="L30" s="972"/>
      <c r="M30" s="972"/>
      <c r="N30" s="972"/>
      <c r="O30" s="292"/>
      <c r="P30" s="4"/>
      <c r="Q30" s="702"/>
      <c r="R30" s="2"/>
      <c r="S30" s="32"/>
      <c r="T30" s="32"/>
      <c r="U30" s="32"/>
      <c r="V30" s="32"/>
      <c r="W30" s="32"/>
      <c r="X30" s="32"/>
    </row>
    <row r="31" spans="1:24" ht="39.65" customHeight="1" x14ac:dyDescent="0.25">
      <c r="A31" s="31"/>
      <c r="C31" s="43"/>
      <c r="D31" s="19"/>
      <c r="E31" s="167"/>
      <c r="F31" s="972" t="str">
        <f>Translations!$B$493</f>
        <v>Näin ollen vuoden 2025 päästöjen selvittämiseksi määräaikaan 30.4.2026 mennessä parhaat saatavilla olevat tiedot luovutetuista polttoainemääristä ovat 2 300 kWh. Edellisen vuoden yliraportoinnin oikaisemiseksi sinun on kuitenkin vähennettävä 2 500–2 300 kWh = 200 kWh, mikä johtaa siihen, että ilmoitettu luovutettu polttoainemäärä vuonna 2025 on 2 100 kWh.</v>
      </c>
      <c r="G31" s="972"/>
      <c r="H31" s="972"/>
      <c r="I31" s="972"/>
      <c r="J31" s="972"/>
      <c r="K31" s="972"/>
      <c r="L31" s="972"/>
      <c r="M31" s="972"/>
      <c r="N31" s="972"/>
      <c r="O31" s="292"/>
      <c r="P31" s="4"/>
      <c r="Q31" s="702"/>
      <c r="R31" s="2"/>
      <c r="S31" s="32"/>
      <c r="T31" s="32"/>
      <c r="U31" s="32"/>
      <c r="V31" s="32"/>
      <c r="W31" s="32"/>
      <c r="X31" s="32"/>
    </row>
    <row r="32" spans="1:24" ht="12.75" customHeight="1" x14ac:dyDescent="0.25">
      <c r="A32" s="31"/>
      <c r="C32" s="43"/>
      <c r="D32" s="19"/>
      <c r="E32" s="167"/>
      <c r="F32" s="972" t="str">
        <f>Translations!$B$494</f>
        <v>30.4.2026 mennessä toimitettavan selvityksen merkinnät työkalussa näyttävät seuraavilta:</v>
      </c>
      <c r="G32" s="972"/>
      <c r="H32" s="972"/>
      <c r="I32" s="972"/>
      <c r="J32" s="972"/>
      <c r="K32" s="972"/>
      <c r="L32" s="972"/>
      <c r="M32" s="972"/>
      <c r="N32" s="972"/>
      <c r="O32" s="292"/>
      <c r="P32" s="4"/>
      <c r="Q32" s="702"/>
      <c r="R32" s="2"/>
      <c r="S32" s="32"/>
      <c r="T32" s="32"/>
      <c r="U32" s="32"/>
      <c r="V32" s="32"/>
      <c r="W32" s="32"/>
      <c r="X32" s="32"/>
    </row>
    <row r="33" spans="1:24" ht="12.75" customHeight="1" x14ac:dyDescent="0.25">
      <c r="B33" s="3"/>
      <c r="C33" s="3"/>
      <c r="D33" s="703"/>
      <c r="E33" s="704"/>
      <c r="F33" s="705"/>
      <c r="G33" s="1238" t="str">
        <f>EUconst_ToolBestEstimate</f>
        <v>Paras arvio</v>
      </c>
      <c r="H33" s="1239"/>
      <c r="I33" s="1238" t="str">
        <f>EUconst_ToolActualAmounts</f>
        <v>Toteutuneet päästöt</v>
      </c>
      <c r="J33" s="1240"/>
      <c r="K33" s="1238" t="str">
        <f>Translations!$B$484</f>
        <v>Ilmoitettavat määrät</v>
      </c>
      <c r="L33" s="1240"/>
      <c r="M33" s="1239" t="str">
        <f>Translations!$B$485</f>
        <v>Tase</v>
      </c>
      <c r="N33" s="1240"/>
      <c r="O33" s="292"/>
      <c r="P33" s="4"/>
    </row>
    <row r="34" spans="1:24" ht="12.75" customHeight="1" x14ac:dyDescent="0.25">
      <c r="B34" s="3"/>
      <c r="C34" s="3"/>
      <c r="D34" s="703"/>
      <c r="E34" s="704"/>
      <c r="F34" s="705"/>
      <c r="G34" s="1248" t="str">
        <f>Translations!$B$486</f>
        <v xml:space="preserve"> (vuodelle Y-1)</v>
      </c>
      <c r="H34" s="1249"/>
      <c r="I34" s="1248" t="str">
        <f>Translations!$B$487</f>
        <v>(vuonna Y-1)</v>
      </c>
      <c r="J34" s="1250"/>
      <c r="K34" s="1248" t="str">
        <f>Translations!$B$488</f>
        <v>(vuonna Y vuodelle Y-1)</v>
      </c>
      <c r="L34" s="1250"/>
      <c r="M34" s="1249" t="str">
        <f>Translations!$B$489</f>
        <v>(ilmoitettu - todellinen)</v>
      </c>
      <c r="N34" s="1250"/>
      <c r="O34" s="292"/>
      <c r="P34" s="4"/>
    </row>
    <row r="35" spans="1:24" ht="12.75" customHeight="1" x14ac:dyDescent="0.25">
      <c r="B35" s="3"/>
      <c r="C35" s="3"/>
      <c r="D35" s="1234">
        <v>2025</v>
      </c>
      <c r="E35" s="1236" t="str">
        <f>EUconst_ToolBestEstimate &amp; " " &amp;D35-1</f>
        <v>Paras arvio 2024</v>
      </c>
      <c r="F35" s="1237"/>
      <c r="G35" s="1228">
        <v>2500</v>
      </c>
      <c r="H35" s="1228"/>
      <c r="I35" s="1228"/>
      <c r="J35" s="1228"/>
      <c r="K35" s="1228">
        <f>IF(G35="","",MAX(0,G35-SUM(M34)))</f>
        <v>2500</v>
      </c>
      <c r="L35" s="1243"/>
      <c r="M35" s="1228"/>
      <c r="N35" s="1228"/>
      <c r="O35" s="292"/>
      <c r="P35" s="4"/>
    </row>
    <row r="36" spans="1:24" ht="12.75" customHeight="1" x14ac:dyDescent="0.25">
      <c r="B36" s="3"/>
      <c r="C36" s="3"/>
      <c r="D36" s="1235"/>
      <c r="E36" s="1229" t="str">
        <f>EUconst_ToolActualAmounts  &amp; " " &amp;D35-1</f>
        <v>Toteutuneet päästöt 2024</v>
      </c>
      <c r="F36" s="1230"/>
      <c r="G36" s="1231"/>
      <c r="H36" s="1231"/>
      <c r="I36" s="1231">
        <v>2300</v>
      </c>
      <c r="J36" s="1231"/>
      <c r="K36" s="1232"/>
      <c r="L36" s="1233"/>
      <c r="M36" s="1231">
        <f>IF(I36="","",M35+G35-SUM(I35:J36))</f>
        <v>200</v>
      </c>
      <c r="N36" s="1231"/>
      <c r="O36" s="292"/>
      <c r="P36" s="4"/>
    </row>
    <row r="37" spans="1:24" ht="12.75" customHeight="1" x14ac:dyDescent="0.25">
      <c r="B37" s="3"/>
      <c r="C37" s="3"/>
      <c r="D37" s="1234">
        <f>D35+1</f>
        <v>2026</v>
      </c>
      <c r="E37" s="1236" t="str">
        <f>EUconst_ToolBestEstimate &amp; " " &amp;D37-1</f>
        <v>Paras arvio 2025</v>
      </c>
      <c r="F37" s="1237"/>
      <c r="G37" s="1228">
        <v>2300</v>
      </c>
      <c r="H37" s="1228"/>
      <c r="I37" s="1228"/>
      <c r="J37" s="1228"/>
      <c r="K37" s="1228">
        <f>IF(G37="","",MAX(0,G37-SUM(M36)))</f>
        <v>2100</v>
      </c>
      <c r="L37" s="1243"/>
      <c r="M37" s="1228">
        <f>IF(M36="","",SUM(K37:L$48)-SUM(I36:J$48)-G37)</f>
        <v>-2500</v>
      </c>
      <c r="N37" s="1228"/>
      <c r="O37" s="292"/>
      <c r="P37" s="4"/>
    </row>
    <row r="38" spans="1:24" ht="12.75" customHeight="1" x14ac:dyDescent="0.25">
      <c r="B38" s="3"/>
      <c r="C38" s="3"/>
      <c r="D38" s="1235"/>
      <c r="E38" s="1229" t="str">
        <f>EUconst_ToolActualAmounts  &amp; " " &amp;D37-1</f>
        <v>Toteutuneet päästöt 2025</v>
      </c>
      <c r="F38" s="1230"/>
      <c r="G38" s="1231"/>
      <c r="H38" s="1231"/>
      <c r="I38" s="1231"/>
      <c r="J38" s="1231"/>
      <c r="K38" s="1232"/>
      <c r="L38" s="1233"/>
      <c r="M38" s="1231" t="str">
        <f>IF(I38="","",M37+G37-SUM(I37:J38))</f>
        <v/>
      </c>
      <c r="N38" s="1231"/>
      <c r="O38" s="292"/>
      <c r="P38" s="4"/>
    </row>
    <row r="39" spans="1:24" ht="5.15" customHeight="1" x14ac:dyDescent="0.25">
      <c r="B39" s="3"/>
      <c r="C39" s="3"/>
      <c r="D39" s="3"/>
      <c r="E39" s="61"/>
      <c r="F39" s="7"/>
      <c r="G39" s="7"/>
      <c r="H39" s="7"/>
      <c r="I39" s="7"/>
      <c r="J39" s="7"/>
      <c r="K39" s="7"/>
      <c r="L39" s="7"/>
      <c r="M39" s="7"/>
      <c r="N39" s="3"/>
      <c r="O39" s="292"/>
      <c r="P39" s="4"/>
    </row>
    <row r="40" spans="1:24" ht="12.75" customHeight="1" x14ac:dyDescent="0.25">
      <c r="B40" s="3"/>
      <c r="C40" s="3"/>
      <c r="D40" s="3"/>
      <c r="E40" s="167" t="s">
        <v>52</v>
      </c>
      <c r="F40" s="972" t="str">
        <f>Translations!$B$495</f>
        <v>Edellä mainitut vaiheet olisi ilmoitettava myös seuraavilta vuosilta.</v>
      </c>
      <c r="G40" s="972"/>
      <c r="H40" s="972"/>
      <c r="I40" s="972"/>
      <c r="J40" s="972"/>
      <c r="K40" s="972"/>
      <c r="L40" s="972"/>
      <c r="M40" s="972"/>
      <c r="N40" s="972"/>
      <c r="O40" s="292"/>
      <c r="P40" s="4"/>
    </row>
    <row r="41" spans="1:24" ht="12.75" customHeight="1" x14ac:dyDescent="0.25">
      <c r="B41" s="3"/>
      <c r="C41" s="3"/>
      <c r="D41" s="3"/>
      <c r="E41" s="61"/>
      <c r="F41" s="7"/>
      <c r="G41" s="7"/>
      <c r="H41" s="7"/>
      <c r="I41" s="7"/>
      <c r="J41" s="7"/>
      <c r="K41" s="7"/>
      <c r="L41" s="7"/>
      <c r="M41" s="7"/>
      <c r="N41" s="3"/>
      <c r="O41" s="292"/>
      <c r="P41" s="4"/>
    </row>
    <row r="42" spans="1:24" s="233" customFormat="1" ht="18.75" customHeight="1" x14ac:dyDescent="0.25">
      <c r="A42" s="161">
        <f>C42</f>
        <v>2</v>
      </c>
      <c r="B42" s="22"/>
      <c r="C42" s="24">
        <v>2</v>
      </c>
      <c r="D42" s="983" t="str">
        <f>Translations!$B$496</f>
        <v>Työkalu 1</v>
      </c>
      <c r="E42" s="983"/>
      <c r="F42" s="983"/>
      <c r="G42" s="983"/>
      <c r="H42" s="983"/>
      <c r="I42" s="983"/>
      <c r="J42" s="983"/>
      <c r="K42" s="983"/>
      <c r="L42" s="983"/>
      <c r="M42" s="983"/>
      <c r="N42" s="983"/>
      <c r="O42" s="292"/>
      <c r="P42" s="4"/>
      <c r="Q42" s="33" t="str">
        <f>D42</f>
        <v>Työkalu 1</v>
      </c>
      <c r="R42" s="232"/>
      <c r="S42" s="232"/>
      <c r="T42" s="232"/>
      <c r="U42" s="232"/>
      <c r="V42" s="301"/>
      <c r="W42" s="301"/>
      <c r="X42" s="301"/>
    </row>
    <row r="43" spans="1:24" ht="12.75" customHeight="1" x14ac:dyDescent="0.25">
      <c r="B43" s="3"/>
      <c r="C43" s="3"/>
      <c r="D43" s="3"/>
      <c r="E43" s="61"/>
      <c r="F43" s="7"/>
      <c r="G43" s="7"/>
      <c r="H43" s="7"/>
      <c r="I43" s="7"/>
      <c r="J43" s="7"/>
      <c r="K43" s="7"/>
      <c r="L43" s="7"/>
      <c r="M43" s="7"/>
      <c r="N43" s="3"/>
      <c r="O43" s="292"/>
      <c r="P43" s="4"/>
    </row>
    <row r="44" spans="1:24" ht="12.75" customHeight="1" x14ac:dyDescent="0.25">
      <c r="B44" s="3"/>
      <c r="C44" s="3"/>
      <c r="D44" s="3"/>
      <c r="E44" s="137"/>
      <c r="F44" s="276"/>
      <c r="G44" s="697"/>
      <c r="H44" s="706" t="str">
        <f>Translations!$B$497</f>
        <v>Polttoainevirta, johon tämän työkalun merkinnät liittyvät:</v>
      </c>
      <c r="I44" s="1224"/>
      <c r="J44" s="1224"/>
      <c r="K44" s="1224"/>
      <c r="L44" s="1224"/>
      <c r="M44" s="1224"/>
      <c r="N44" s="1224"/>
      <c r="O44" s="292"/>
      <c r="P44" s="4"/>
    </row>
    <row r="45" spans="1:24" ht="12.75" customHeight="1" x14ac:dyDescent="0.25">
      <c r="B45" s="3"/>
      <c r="C45" s="3"/>
      <c r="D45" s="3"/>
      <c r="E45" s="61"/>
      <c r="F45" s="7"/>
      <c r="G45" s="7"/>
      <c r="H45" s="7"/>
      <c r="I45" s="7"/>
      <c r="J45" s="7"/>
      <c r="K45" s="7"/>
      <c r="L45" s="7"/>
      <c r="M45" s="7"/>
      <c r="N45" s="3"/>
      <c r="O45" s="292"/>
      <c r="P45" s="4"/>
    </row>
    <row r="46" spans="1:24" ht="12.75" customHeight="1" x14ac:dyDescent="0.25">
      <c r="B46" s="3"/>
      <c r="C46" s="3"/>
      <c r="D46" s="3"/>
      <c r="E46" s="707" t="str">
        <f>Translations!$B$498</f>
        <v>Yksiköt:</v>
      </c>
      <c r="F46" s="708" t="str">
        <f>IF(I44="","",INDEX(C_Päästölaskenta!BM:BM,MATCH(I44,C_Päästölaskenta!BI:BI,0)))</f>
        <v/>
      </c>
      <c r="G46" s="1225" t="str">
        <f>EUconst_ToolBestEstimate</f>
        <v>Paras arvio</v>
      </c>
      <c r="H46" s="1226"/>
      <c r="I46" s="1225" t="str">
        <f>EUconst_ToolActualAmounts</f>
        <v>Toteutuneet päästöt</v>
      </c>
      <c r="J46" s="1227"/>
      <c r="K46" s="1225" t="str">
        <f>Translations!$B$484</f>
        <v>Ilmoitettavat määrät</v>
      </c>
      <c r="L46" s="1227"/>
      <c r="M46" s="1226" t="str">
        <f>Translations!$B$485</f>
        <v>Tase</v>
      </c>
      <c r="N46" s="1227"/>
      <c r="O46" s="292"/>
      <c r="P46" s="4"/>
    </row>
    <row r="47" spans="1:24" ht="12.75" customHeight="1" x14ac:dyDescent="0.25">
      <c r="B47" s="3"/>
      <c r="C47" s="3"/>
      <c r="D47" s="3"/>
      <c r="E47" s="137"/>
      <c r="F47" s="697"/>
      <c r="G47" s="1221" t="str">
        <f>Translations!$B$486</f>
        <v xml:space="preserve"> (vuodelle Y-1)</v>
      </c>
      <c r="H47" s="1222"/>
      <c r="I47" s="1221" t="str">
        <f>Translations!$B$487</f>
        <v>(vuonna Y-1)</v>
      </c>
      <c r="J47" s="1223"/>
      <c r="K47" s="1221" t="str">
        <f>Translations!$B$488</f>
        <v>(vuonna Y vuodelle Y-1)</v>
      </c>
      <c r="L47" s="1223"/>
      <c r="M47" s="1222" t="str">
        <f>Translations!$B$489</f>
        <v>(ilmoitettu - todellinen)</v>
      </c>
      <c r="N47" s="1223"/>
      <c r="O47" s="292"/>
      <c r="P47" s="4"/>
      <c r="W47" s="232" t="s">
        <v>149</v>
      </c>
    </row>
    <row r="48" spans="1:24" ht="12.75" customHeight="1" x14ac:dyDescent="0.25">
      <c r="B48" s="3"/>
      <c r="C48" s="3"/>
      <c r="D48" s="1209">
        <v>2025</v>
      </c>
      <c r="E48" s="1211" t="str">
        <f>EUconst_ToolBestEstimate &amp; " " &amp;D48-1</f>
        <v>Paras arvio 2024</v>
      </c>
      <c r="F48" s="1212"/>
      <c r="G48" s="1213"/>
      <c r="H48" s="1213"/>
      <c r="I48" s="1214"/>
      <c r="J48" s="1214"/>
      <c r="K48" s="1215" t="str">
        <f>IF(G48="","",MAX(0,G48-SUM(M47)))</f>
        <v/>
      </c>
      <c r="L48" s="1216"/>
      <c r="M48" s="1214"/>
      <c r="N48" s="1214"/>
      <c r="O48" s="292"/>
      <c r="P48" s="4"/>
      <c r="R48" s="304">
        <f>D48</f>
        <v>2025</v>
      </c>
      <c r="W48" s="700" t="b">
        <f>OR(AND(COUNTA('B_Polttoainevirtojen tiedot'!$E$67:$M$91)&gt;0,R49&gt;MAX(CNTR_ReportingYear,2024)+1),W47)</f>
        <v>0</v>
      </c>
    </row>
    <row r="49" spans="2:23" ht="12.75" customHeight="1" x14ac:dyDescent="0.25">
      <c r="B49" s="3"/>
      <c r="C49" s="3"/>
      <c r="D49" s="1210"/>
      <c r="E49" s="1217" t="str">
        <f>EUconst_ToolActualAmounts  &amp; " " &amp;D48-1</f>
        <v>Toteutuneet päästöt 2024</v>
      </c>
      <c r="F49" s="1218"/>
      <c r="G49" s="1219"/>
      <c r="H49" s="1219"/>
      <c r="I49" s="1220"/>
      <c r="J49" s="1220"/>
      <c r="K49" s="1206"/>
      <c r="L49" s="1207"/>
      <c r="M49" s="1208" t="str">
        <f>IF(I49="","",M48+G48-SUM(I48:J49))</f>
        <v/>
      </c>
      <c r="N49" s="1208"/>
      <c r="O49" s="292"/>
      <c r="P49" s="4"/>
      <c r="R49" s="304">
        <f>R48</f>
        <v>2025</v>
      </c>
      <c r="W49" s="700" t="b">
        <f>OR(AND(COUNTA('B_Polttoainevirtojen tiedot'!$E$67:$M$91)&gt;0,R50&gt;MAX(CNTR_ReportingYear,2024)+1),W48)</f>
        <v>0</v>
      </c>
    </row>
    <row r="50" spans="2:23" ht="12.75" customHeight="1" x14ac:dyDescent="0.25">
      <c r="B50" s="3"/>
      <c r="C50" s="3"/>
      <c r="D50" s="1209">
        <f>D48+1</f>
        <v>2026</v>
      </c>
      <c r="E50" s="1211" t="str">
        <f>EUconst_ToolBestEstimate &amp; " " &amp;D50-1</f>
        <v>Paras arvio 2025</v>
      </c>
      <c r="F50" s="1212"/>
      <c r="G50" s="1213"/>
      <c r="H50" s="1213"/>
      <c r="I50" s="1214"/>
      <c r="J50" s="1214"/>
      <c r="K50" s="1215" t="str">
        <f>IF(G50="","",MAX(0,G50-SUM(M49)))</f>
        <v/>
      </c>
      <c r="L50" s="1216"/>
      <c r="M50" s="1215" t="str">
        <f>IF(M49="","",SUM(K$48:L50)-SUM(I$48:J49)-G50)</f>
        <v/>
      </c>
      <c r="N50" s="1215"/>
      <c r="O50" s="292"/>
      <c r="P50" s="4"/>
      <c r="R50" s="304">
        <f>D50</f>
        <v>2026</v>
      </c>
      <c r="W50" s="700" t="b">
        <f>OR(AND(COUNTA('B_Polttoainevirtojen tiedot'!$E$67:$M$91)&gt;0,R51&gt;MAX(CNTR_ReportingYear,2024)+1),W49)</f>
        <v>0</v>
      </c>
    </row>
    <row r="51" spans="2:23" ht="12.75" customHeight="1" x14ac:dyDescent="0.25">
      <c r="B51" s="3"/>
      <c r="C51" s="3"/>
      <c r="D51" s="1210"/>
      <c r="E51" s="1217" t="str">
        <f>EUconst_ToolActualAmounts  &amp; " " &amp;D50-1</f>
        <v>Toteutuneet päästöt 2025</v>
      </c>
      <c r="F51" s="1218"/>
      <c r="G51" s="1219"/>
      <c r="H51" s="1219"/>
      <c r="I51" s="1220"/>
      <c r="J51" s="1220"/>
      <c r="K51" s="1206"/>
      <c r="L51" s="1207"/>
      <c r="M51" s="1208" t="str">
        <f>IF(I51="","",M50+G50-SUM(I50:J51))</f>
        <v/>
      </c>
      <c r="N51" s="1208"/>
      <c r="O51" s="292"/>
      <c r="P51" s="4"/>
      <c r="R51" s="304">
        <f>R50</f>
        <v>2026</v>
      </c>
      <c r="W51" s="700" t="b">
        <f>OR(AND(COUNTA('B_Polttoainevirtojen tiedot'!$E$67:$M$91)&gt;0,R52&gt;MAX(CNTR_ReportingYear,2024)+1),W50)</f>
        <v>0</v>
      </c>
    </row>
    <row r="52" spans="2:23" ht="12.75" customHeight="1" x14ac:dyDescent="0.25">
      <c r="B52" s="3"/>
      <c r="C52" s="3"/>
      <c r="D52" s="1209">
        <f>D50+1</f>
        <v>2027</v>
      </c>
      <c r="E52" s="1211" t="str">
        <f>EUconst_ToolBestEstimate &amp; " " &amp;D52-1</f>
        <v>Paras arvio 2026</v>
      </c>
      <c r="F52" s="1212"/>
      <c r="G52" s="1213"/>
      <c r="H52" s="1213"/>
      <c r="I52" s="1214"/>
      <c r="J52" s="1214"/>
      <c r="K52" s="1215" t="str">
        <f>IF(G52="","",MAX(0,G52-SUM(M51)))</f>
        <v/>
      </c>
      <c r="L52" s="1216"/>
      <c r="M52" s="1215" t="str">
        <f>IF(M51="","",SUM(K$48:L52)-SUM(I$48:J51)-G52)</f>
        <v/>
      </c>
      <c r="N52" s="1215"/>
      <c r="O52" s="292"/>
      <c r="P52" s="4"/>
      <c r="R52" s="304">
        <f>D52</f>
        <v>2027</v>
      </c>
      <c r="W52" s="700" t="b">
        <f>OR(AND(COUNTA('B_Polttoainevirtojen tiedot'!$E$67:$M$91)&gt;0,R53&gt;MAX(CNTR_ReportingYear,2024)+1),W51)</f>
        <v>0</v>
      </c>
    </row>
    <row r="53" spans="2:23" ht="12.75" customHeight="1" x14ac:dyDescent="0.25">
      <c r="B53" s="3"/>
      <c r="C53" s="3"/>
      <c r="D53" s="1210"/>
      <c r="E53" s="1217" t="str">
        <f>EUconst_ToolActualAmounts  &amp; " " &amp;D52-1</f>
        <v>Toteutuneet päästöt 2026</v>
      </c>
      <c r="F53" s="1218"/>
      <c r="G53" s="1219"/>
      <c r="H53" s="1219"/>
      <c r="I53" s="1220"/>
      <c r="J53" s="1220"/>
      <c r="K53" s="1206"/>
      <c r="L53" s="1207"/>
      <c r="M53" s="1208" t="str">
        <f>IF(I53="","",M52+G52-SUM(I52:J53))</f>
        <v/>
      </c>
      <c r="N53" s="1208"/>
      <c r="O53" s="292"/>
      <c r="P53" s="4"/>
      <c r="R53" s="304">
        <f>R52</f>
        <v>2027</v>
      </c>
      <c r="W53" s="700" t="b">
        <f>OR(AND(COUNTA('B_Polttoainevirtojen tiedot'!$E$67:$M$91)&gt;0,R54&gt;MAX(CNTR_ReportingYear,2024)+1),W52)</f>
        <v>0</v>
      </c>
    </row>
    <row r="54" spans="2:23" ht="12.75" customHeight="1" x14ac:dyDescent="0.25">
      <c r="B54" s="3"/>
      <c r="C54" s="3"/>
      <c r="D54" s="1209">
        <f>D52+1</f>
        <v>2028</v>
      </c>
      <c r="E54" s="1211" t="str">
        <f>EUconst_ToolBestEstimate &amp; " " &amp;D54-1</f>
        <v>Paras arvio 2027</v>
      </c>
      <c r="F54" s="1212"/>
      <c r="G54" s="1213"/>
      <c r="H54" s="1213"/>
      <c r="I54" s="1214"/>
      <c r="J54" s="1214"/>
      <c r="K54" s="1215" t="str">
        <f>IF(G54="","",MAX(0,G54-SUM(M53)))</f>
        <v/>
      </c>
      <c r="L54" s="1216"/>
      <c r="M54" s="1215" t="str">
        <f>IF(M53="","",SUM(K$48:L54)-SUM(I$48:J53)-G54)</f>
        <v/>
      </c>
      <c r="N54" s="1215"/>
      <c r="O54" s="292"/>
      <c r="P54" s="4"/>
      <c r="R54" s="304">
        <f>D54</f>
        <v>2028</v>
      </c>
      <c r="W54" s="700" t="b">
        <f>OR(AND(COUNTA('B_Polttoainevirtojen tiedot'!$E$67:$M$91)&gt;0,R55&gt;MAX(CNTR_ReportingYear,2024)+1),W53)</f>
        <v>0</v>
      </c>
    </row>
    <row r="55" spans="2:23" ht="12.75" customHeight="1" x14ac:dyDescent="0.25">
      <c r="B55" s="3"/>
      <c r="C55" s="3"/>
      <c r="D55" s="1210"/>
      <c r="E55" s="1217" t="str">
        <f>EUconst_ToolActualAmounts  &amp; " " &amp;D54-1</f>
        <v>Toteutuneet päästöt 2027</v>
      </c>
      <c r="F55" s="1218"/>
      <c r="G55" s="1219"/>
      <c r="H55" s="1219"/>
      <c r="I55" s="1220"/>
      <c r="J55" s="1220"/>
      <c r="K55" s="1206"/>
      <c r="L55" s="1207"/>
      <c r="M55" s="1208" t="str">
        <f>IF(I55="","",M54+G54-SUM(I54:J55))</f>
        <v/>
      </c>
      <c r="N55" s="1208"/>
      <c r="O55" s="292"/>
      <c r="P55" s="4"/>
      <c r="R55" s="304">
        <f>R54</f>
        <v>2028</v>
      </c>
      <c r="W55" s="700" t="b">
        <f>OR(AND(COUNTA('B_Polttoainevirtojen tiedot'!$E$67:$M$91)&gt;0,R56&gt;MAX(CNTR_ReportingYear,2024)+1),W54)</f>
        <v>0</v>
      </c>
    </row>
    <row r="56" spans="2:23" ht="12.75" customHeight="1" x14ac:dyDescent="0.25">
      <c r="B56" s="3"/>
      <c r="C56" s="3"/>
      <c r="D56" s="1209">
        <f>D54+1</f>
        <v>2029</v>
      </c>
      <c r="E56" s="1211" t="str">
        <f>EUconst_ToolBestEstimate &amp; " " &amp;D56-1</f>
        <v>Paras arvio 2028</v>
      </c>
      <c r="F56" s="1212"/>
      <c r="G56" s="1213"/>
      <c r="H56" s="1213"/>
      <c r="I56" s="1214"/>
      <c r="J56" s="1214"/>
      <c r="K56" s="1215" t="str">
        <f>IF(G56="","",MAX(0,G56-SUM(M55)))</f>
        <v/>
      </c>
      <c r="L56" s="1216"/>
      <c r="M56" s="1215" t="str">
        <f>IF(M55="","",SUM(K$48:L56)-SUM(I$48:J55)-G56)</f>
        <v/>
      </c>
      <c r="N56" s="1215"/>
      <c r="O56" s="292"/>
      <c r="P56" s="4"/>
      <c r="R56" s="304">
        <f>D56</f>
        <v>2029</v>
      </c>
      <c r="W56" s="700" t="b">
        <f>OR(AND(COUNTA('B_Polttoainevirtojen tiedot'!$E$67:$M$91)&gt;0,R57&gt;MAX(CNTR_ReportingYear,2024)+1),W55)</f>
        <v>0</v>
      </c>
    </row>
    <row r="57" spans="2:23" ht="12.75" customHeight="1" x14ac:dyDescent="0.25">
      <c r="B57" s="3"/>
      <c r="C57" s="3"/>
      <c r="D57" s="1210"/>
      <c r="E57" s="1217" t="str">
        <f>EUconst_ToolActualAmounts  &amp; " " &amp;D56-1</f>
        <v>Toteutuneet päästöt 2028</v>
      </c>
      <c r="F57" s="1218"/>
      <c r="G57" s="1219"/>
      <c r="H57" s="1219"/>
      <c r="I57" s="1220"/>
      <c r="J57" s="1220"/>
      <c r="K57" s="1206"/>
      <c r="L57" s="1207"/>
      <c r="M57" s="1208" t="str">
        <f>IF(I57="","",M56+G56-SUM(I56:J57))</f>
        <v/>
      </c>
      <c r="N57" s="1208"/>
      <c r="O57" s="292"/>
      <c r="P57" s="4"/>
      <c r="R57" s="304">
        <f>R56</f>
        <v>2029</v>
      </c>
      <c r="W57" s="700" t="b">
        <f>OR(AND(COUNTA('B_Polttoainevirtojen tiedot'!$E$67:$M$91)&gt;0,R58&gt;MAX(CNTR_ReportingYear,2024)+1),W56)</f>
        <v>0</v>
      </c>
    </row>
    <row r="58" spans="2:23" ht="12.75" customHeight="1" x14ac:dyDescent="0.25">
      <c r="B58" s="3"/>
      <c r="C58" s="3"/>
      <c r="D58" s="1209">
        <f>D56+1</f>
        <v>2030</v>
      </c>
      <c r="E58" s="1211" t="str">
        <f>EUconst_ToolBestEstimate &amp; " " &amp;D58-1</f>
        <v>Paras arvio 2029</v>
      </c>
      <c r="F58" s="1212"/>
      <c r="G58" s="1213"/>
      <c r="H58" s="1213"/>
      <c r="I58" s="1214"/>
      <c r="J58" s="1214"/>
      <c r="K58" s="1215" t="str">
        <f>IF(G58="","",MAX(0,G58-SUM(M57)))</f>
        <v/>
      </c>
      <c r="L58" s="1216"/>
      <c r="M58" s="1215" t="str">
        <f>IF(M57="","",SUM(K$48:L58)-SUM(I$48:J57)-G58)</f>
        <v/>
      </c>
      <c r="N58" s="1215"/>
      <c r="O58" s="292"/>
      <c r="P58" s="4"/>
      <c r="R58" s="304">
        <f>D58</f>
        <v>2030</v>
      </c>
      <c r="W58" s="700" t="b">
        <f>OR(AND(COUNTA('B_Polttoainevirtojen tiedot'!$E$67:$M$91)&gt;0,R59&gt;MAX(CNTR_ReportingYear,2024)+1),W57)</f>
        <v>0</v>
      </c>
    </row>
    <row r="59" spans="2:23" ht="12.75" customHeight="1" x14ac:dyDescent="0.25">
      <c r="B59" s="3"/>
      <c r="C59" s="3"/>
      <c r="D59" s="1210"/>
      <c r="E59" s="1217" t="str">
        <f>EUconst_ToolActualAmounts  &amp; " " &amp;D58-1</f>
        <v>Toteutuneet päästöt 2029</v>
      </c>
      <c r="F59" s="1218"/>
      <c r="G59" s="1219"/>
      <c r="H59" s="1219"/>
      <c r="I59" s="1220"/>
      <c r="J59" s="1220"/>
      <c r="K59" s="1206"/>
      <c r="L59" s="1207"/>
      <c r="M59" s="1208" t="str">
        <f>IF(I59="","",M58+G58-SUM(I58:J59))</f>
        <v/>
      </c>
      <c r="N59" s="1208"/>
      <c r="O59" s="292"/>
      <c r="P59" s="4"/>
      <c r="R59" s="304">
        <f>R58</f>
        <v>2030</v>
      </c>
      <c r="W59" s="700" t="b">
        <f>OR(AND(COUNTA('B_Polttoainevirtojen tiedot'!$E$67:$M$91)&gt;0,R60&gt;MAX(CNTR_ReportingYear,2024)+1),W58)</f>
        <v>0</v>
      </c>
    </row>
    <row r="60" spans="2:23" ht="12.75" customHeight="1" x14ac:dyDescent="0.25">
      <c r="B60" s="3"/>
      <c r="C60" s="3"/>
      <c r="D60" s="1209">
        <f>D58+1</f>
        <v>2031</v>
      </c>
      <c r="E60" s="1211" t="str">
        <f>EUconst_ToolBestEstimate &amp; " " &amp;D60-1</f>
        <v>Paras arvio 2030</v>
      </c>
      <c r="F60" s="1212"/>
      <c r="G60" s="1213"/>
      <c r="H60" s="1213"/>
      <c r="I60" s="1214"/>
      <c r="J60" s="1214"/>
      <c r="K60" s="1215" t="str">
        <f>IF(G60="","",MAX(0,G60-SUM(M59)))</f>
        <v/>
      </c>
      <c r="L60" s="1216"/>
      <c r="M60" s="1215" t="str">
        <f>IF(M59="","",SUM(K$48:L60)-SUM(I$48:J59)-G60)</f>
        <v/>
      </c>
      <c r="N60" s="1215"/>
      <c r="O60" s="292"/>
      <c r="P60" s="4"/>
      <c r="R60" s="304">
        <f>D60</f>
        <v>2031</v>
      </c>
      <c r="W60" s="700" t="b">
        <f>OR(AND(COUNTA('B_Polttoainevirtojen tiedot'!$E$67:$M$91)&gt;0,R61&gt;MAX(CNTR_ReportingYear,2024)+1),W59)</f>
        <v>0</v>
      </c>
    </row>
    <row r="61" spans="2:23" ht="12.75" customHeight="1" x14ac:dyDescent="0.25">
      <c r="B61" s="3"/>
      <c r="C61" s="3"/>
      <c r="D61" s="1210"/>
      <c r="E61" s="1217" t="str">
        <f>EUconst_ToolActualAmounts  &amp; " " &amp;D60-1</f>
        <v>Toteutuneet päästöt 2030</v>
      </c>
      <c r="F61" s="1218"/>
      <c r="G61" s="1219"/>
      <c r="H61" s="1219"/>
      <c r="I61" s="1220"/>
      <c r="J61" s="1220"/>
      <c r="K61" s="1206"/>
      <c r="L61" s="1207"/>
      <c r="M61" s="1208" t="str">
        <f>IF(I61="","",M60+G60-SUM(I60:J61))</f>
        <v/>
      </c>
      <c r="N61" s="1208"/>
      <c r="O61" s="292"/>
      <c r="P61" s="4"/>
      <c r="R61" s="304">
        <f>R60</f>
        <v>2031</v>
      </c>
      <c r="W61" s="700" t="b">
        <f>OR(AND(COUNTA('B_Polttoainevirtojen tiedot'!$E$67:$M$91)&gt;0,R62&gt;MAX(CNTR_ReportingYear,2024)+1),W60)</f>
        <v>0</v>
      </c>
    </row>
    <row r="62" spans="2:23" ht="12.75" customHeight="1" x14ac:dyDescent="0.25">
      <c r="B62" s="3"/>
      <c r="C62" s="3"/>
      <c r="D62" s="1209">
        <f>D60+1</f>
        <v>2032</v>
      </c>
      <c r="E62" s="1211" t="str">
        <f>EUconst_ToolBestEstimate &amp; " " &amp;D62-1</f>
        <v>Paras arvio 2031</v>
      </c>
      <c r="F62" s="1212"/>
      <c r="G62" s="1213"/>
      <c r="H62" s="1213"/>
      <c r="I62" s="1214"/>
      <c r="J62" s="1214"/>
      <c r="K62" s="1215" t="str">
        <f>IF(G62="","",MAX(0,G62-SUM(M61)))</f>
        <v/>
      </c>
      <c r="L62" s="1216"/>
      <c r="M62" s="1215" t="str">
        <f>IF(M61="","",SUM(K$48:L62)-SUM(I$48:J61)-G62)</f>
        <v/>
      </c>
      <c r="N62" s="1215"/>
      <c r="O62" s="292"/>
      <c r="P62" s="4"/>
      <c r="R62" s="304">
        <f>D62</f>
        <v>2032</v>
      </c>
      <c r="W62" s="700" t="b">
        <f>OR(AND(COUNTA('B_Polttoainevirtojen tiedot'!$E$67:$M$91)&gt;0,R63&gt;MAX(CNTR_ReportingYear,2024)+1),W61)</f>
        <v>0</v>
      </c>
    </row>
    <row r="63" spans="2:23" ht="12.75" customHeight="1" x14ac:dyDescent="0.25">
      <c r="B63" s="3"/>
      <c r="C63" s="3"/>
      <c r="D63" s="1210"/>
      <c r="E63" s="1217" t="str">
        <f>EUconst_ToolActualAmounts  &amp; " " &amp;D62-1</f>
        <v>Toteutuneet päästöt 2031</v>
      </c>
      <c r="F63" s="1218"/>
      <c r="G63" s="1219"/>
      <c r="H63" s="1219"/>
      <c r="I63" s="1220"/>
      <c r="J63" s="1220"/>
      <c r="K63" s="1206"/>
      <c r="L63" s="1207"/>
      <c r="M63" s="1208" t="str">
        <f>IF(I63="","",M62+G62-SUM(I62:J63))</f>
        <v/>
      </c>
      <c r="N63" s="1208"/>
      <c r="O63" s="292"/>
      <c r="P63" s="4"/>
      <c r="R63" s="304">
        <f>R62</f>
        <v>2032</v>
      </c>
      <c r="W63" s="700" t="b">
        <f>OR(AND(COUNTA('B_Polttoainevirtojen tiedot'!$E$67:$M$91)&gt;0,R64&gt;MAX(CNTR_ReportingYear,2024)+1),W62)</f>
        <v>0</v>
      </c>
    </row>
    <row r="64" spans="2:23" ht="12.75" customHeight="1" x14ac:dyDescent="0.25">
      <c r="B64" s="3"/>
      <c r="C64" s="3"/>
      <c r="D64" s="1209">
        <f>D62+1</f>
        <v>2033</v>
      </c>
      <c r="E64" s="1211" t="str">
        <f>EUconst_ToolBestEstimate &amp; " " &amp;D64-1</f>
        <v>Paras arvio 2032</v>
      </c>
      <c r="F64" s="1212"/>
      <c r="G64" s="1213"/>
      <c r="H64" s="1213"/>
      <c r="I64" s="1214"/>
      <c r="J64" s="1214"/>
      <c r="K64" s="1215" t="str">
        <f>IF(G64="","",MAX(0,G64-SUM(M63)))</f>
        <v/>
      </c>
      <c r="L64" s="1216"/>
      <c r="M64" s="1215" t="str">
        <f>IF(M63="","",SUM(K$48:L64)-SUM(I$48:J63)-G64)</f>
        <v/>
      </c>
      <c r="N64" s="1215"/>
      <c r="O64" s="292"/>
      <c r="P64" s="4"/>
      <c r="R64" s="304">
        <f>D64</f>
        <v>2033</v>
      </c>
      <c r="W64" s="700" t="b">
        <f>OR(AND(COUNTA('B_Polttoainevirtojen tiedot'!$E$67:$M$91)&gt;0,R65&gt;MAX(CNTR_ReportingYear,2024)+1),W63)</f>
        <v>0</v>
      </c>
    </row>
    <row r="65" spans="1:24" ht="12.75" customHeight="1" x14ac:dyDescent="0.25">
      <c r="B65" s="3"/>
      <c r="C65" s="3"/>
      <c r="D65" s="1210"/>
      <c r="E65" s="1217" t="str">
        <f>EUconst_ToolActualAmounts  &amp; " " &amp;D64-1</f>
        <v>Toteutuneet päästöt 2032</v>
      </c>
      <c r="F65" s="1218"/>
      <c r="G65" s="1219"/>
      <c r="H65" s="1219"/>
      <c r="I65" s="1220"/>
      <c r="J65" s="1220"/>
      <c r="K65" s="1206"/>
      <c r="L65" s="1207"/>
      <c r="M65" s="1208" t="str">
        <f>IF(I65="","",M64+G64-SUM(I64:J65))</f>
        <v/>
      </c>
      <c r="N65" s="1208"/>
      <c r="O65" s="292"/>
      <c r="P65" s="4"/>
      <c r="R65" s="304">
        <f>R64</f>
        <v>2033</v>
      </c>
      <c r="W65" s="700" t="b">
        <f>OR(AND(COUNTA('B_Polttoainevirtojen tiedot'!$E$67:$M$91)&gt;0,R66&gt;MAX(CNTR_ReportingYear,2024)+1),W64)</f>
        <v>0</v>
      </c>
    </row>
    <row r="66" spans="1:24" ht="12.75" customHeight="1" x14ac:dyDescent="0.25">
      <c r="B66" s="3"/>
      <c r="C66" s="3"/>
      <c r="D66" s="1209">
        <f>D64+1</f>
        <v>2034</v>
      </c>
      <c r="E66" s="1211" t="str">
        <f>EUconst_ToolBestEstimate &amp; " " &amp;D66-1</f>
        <v>Paras arvio 2033</v>
      </c>
      <c r="F66" s="1212"/>
      <c r="G66" s="1213"/>
      <c r="H66" s="1213"/>
      <c r="I66" s="1214"/>
      <c r="J66" s="1214"/>
      <c r="K66" s="1215" t="str">
        <f>IF(G66="","",MAX(0,G66-SUM(M65)))</f>
        <v/>
      </c>
      <c r="L66" s="1216"/>
      <c r="M66" s="1215" t="str">
        <f>IF(M65="","",SUM(K$48:L66)-SUM(I$48:J65)-G66)</f>
        <v/>
      </c>
      <c r="N66" s="1215"/>
      <c r="O66" s="292"/>
      <c r="P66" s="4"/>
      <c r="R66" s="304">
        <f>D66</f>
        <v>2034</v>
      </c>
      <c r="W66" s="700" t="b">
        <f>OR(AND(COUNTA('B_Polttoainevirtojen tiedot'!$E$67:$M$91)&gt;0,R67&gt;MAX(CNTR_ReportingYear,2024)+1),W65)</f>
        <v>0</v>
      </c>
    </row>
    <row r="67" spans="1:24" ht="12.75" customHeight="1" x14ac:dyDescent="0.25">
      <c r="B67" s="3"/>
      <c r="C67" s="3"/>
      <c r="D67" s="1210"/>
      <c r="E67" s="1217" t="str">
        <f>EUconst_ToolActualAmounts  &amp; " " &amp;D66-1</f>
        <v>Toteutuneet päästöt 2033</v>
      </c>
      <c r="F67" s="1218"/>
      <c r="G67" s="1219"/>
      <c r="H67" s="1219"/>
      <c r="I67" s="1220"/>
      <c r="J67" s="1220"/>
      <c r="K67" s="1206"/>
      <c r="L67" s="1207"/>
      <c r="M67" s="1208" t="str">
        <f>IF(I67="","",M66+G66-SUM(I66:J67))</f>
        <v/>
      </c>
      <c r="N67" s="1208"/>
      <c r="O67" s="292"/>
      <c r="P67" s="4"/>
      <c r="R67" s="304">
        <f>R66</f>
        <v>2034</v>
      </c>
      <c r="W67" s="700" t="b">
        <f>OR(AND(COUNTA('B_Polttoainevirtojen tiedot'!$E$67:$M$91)&gt;0,R68&gt;MAX(CNTR_ReportingYear,2024)+1),W66)</f>
        <v>0</v>
      </c>
    </row>
    <row r="68" spans="1:24" ht="12.75" customHeight="1" x14ac:dyDescent="0.25">
      <c r="B68" s="3"/>
      <c r="C68" s="3"/>
      <c r="D68" s="1209">
        <f>D66+1</f>
        <v>2035</v>
      </c>
      <c r="E68" s="1211" t="str">
        <f>EUconst_ToolBestEstimate &amp; " " &amp;D68-1</f>
        <v>Paras arvio 2034</v>
      </c>
      <c r="F68" s="1212"/>
      <c r="G68" s="1213"/>
      <c r="H68" s="1213"/>
      <c r="I68" s="1214"/>
      <c r="J68" s="1214"/>
      <c r="K68" s="1215" t="str">
        <f>IF(G68="","",MAX(0,G68-SUM(M67)))</f>
        <v/>
      </c>
      <c r="L68" s="1216"/>
      <c r="M68" s="1215" t="str">
        <f>IF(M67="","",SUM(K$48:L68)-SUM(I$48:J67)-G68)</f>
        <v/>
      </c>
      <c r="N68" s="1215"/>
      <c r="O68" s="292"/>
      <c r="P68" s="4"/>
      <c r="R68" s="304">
        <f>D68</f>
        <v>2035</v>
      </c>
      <c r="W68" s="700" t="b">
        <f>OR(AND(COUNTA('B_Polttoainevirtojen tiedot'!$E$67:$M$91)&gt;0,R69&gt;MAX(CNTR_ReportingYear,2024)+1),W67)</f>
        <v>0</v>
      </c>
    </row>
    <row r="69" spans="1:24" ht="12.75" customHeight="1" x14ac:dyDescent="0.25">
      <c r="B69" s="3"/>
      <c r="C69" s="3"/>
      <c r="D69" s="1210"/>
      <c r="E69" s="1217" t="str">
        <f>EUconst_ToolActualAmounts  &amp; " " &amp;D68-1</f>
        <v>Toteutuneet päästöt 2034</v>
      </c>
      <c r="F69" s="1218"/>
      <c r="G69" s="1219"/>
      <c r="H69" s="1219"/>
      <c r="I69" s="1220"/>
      <c r="J69" s="1220"/>
      <c r="K69" s="1206"/>
      <c r="L69" s="1207"/>
      <c r="M69" s="1208" t="str">
        <f>IF(I69="","",M68+G68-SUM(I68:J69))</f>
        <v/>
      </c>
      <c r="N69" s="1208"/>
      <c r="O69" s="292"/>
      <c r="P69" s="4"/>
      <c r="R69" s="304">
        <f>R68</f>
        <v>2035</v>
      </c>
      <c r="W69" s="700" t="b">
        <f>OR(AND(COUNTA('B_Polttoainevirtojen tiedot'!$E$67:$M$91)&gt;0,R70&gt;MAX(CNTR_ReportingYear,2024)+1),W68)</f>
        <v>0</v>
      </c>
    </row>
    <row r="70" spans="1:24" ht="12.75" customHeight="1" x14ac:dyDescent="0.25">
      <c r="B70" s="3"/>
      <c r="C70" s="3"/>
      <c r="D70" s="3"/>
      <c r="E70" s="61"/>
      <c r="F70" s="7"/>
      <c r="G70" s="7"/>
      <c r="H70" s="7"/>
      <c r="I70" s="7"/>
      <c r="J70" s="7"/>
      <c r="K70" s="7"/>
      <c r="L70" s="7"/>
      <c r="M70" s="7"/>
      <c r="N70" s="3"/>
      <c r="O70" s="292"/>
      <c r="P70" s="4"/>
    </row>
    <row r="71" spans="1:24" s="233" customFormat="1" ht="18.75" customHeight="1" x14ac:dyDescent="0.25">
      <c r="A71" s="161">
        <f>C71</f>
        <v>3</v>
      </c>
      <c r="B71" s="22"/>
      <c r="C71" s="24">
        <v>3</v>
      </c>
      <c r="D71" s="983" t="str">
        <f>Translations!$B$499</f>
        <v>Työkalu 2</v>
      </c>
      <c r="E71" s="983"/>
      <c r="F71" s="983"/>
      <c r="G71" s="983"/>
      <c r="H71" s="983"/>
      <c r="I71" s="983"/>
      <c r="J71" s="983"/>
      <c r="K71" s="983"/>
      <c r="L71" s="983"/>
      <c r="M71" s="983"/>
      <c r="N71" s="983"/>
      <c r="O71" s="292"/>
      <c r="P71" s="4"/>
      <c r="Q71" s="33" t="str">
        <f>D71</f>
        <v>Työkalu 2</v>
      </c>
      <c r="R71" s="232"/>
      <c r="S71" s="232"/>
      <c r="T71" s="232"/>
      <c r="U71" s="232"/>
      <c r="V71" s="301"/>
      <c r="W71" s="301"/>
      <c r="X71" s="301"/>
    </row>
    <row r="72" spans="1:24" ht="12.75" customHeight="1" x14ac:dyDescent="0.25">
      <c r="B72" s="3"/>
      <c r="C72" s="3"/>
      <c r="D72" s="3"/>
      <c r="E72" s="61"/>
      <c r="F72" s="7"/>
      <c r="G72" s="7"/>
      <c r="H72" s="7"/>
      <c r="I72" s="7"/>
      <c r="J72" s="7"/>
      <c r="K72" s="7"/>
      <c r="L72" s="7"/>
      <c r="M72" s="7"/>
      <c r="N72" s="3"/>
      <c r="O72" s="292"/>
      <c r="P72" s="4"/>
    </row>
    <row r="73" spans="1:24" ht="12.75" customHeight="1" x14ac:dyDescent="0.25">
      <c r="B73" s="3"/>
      <c r="C73" s="3"/>
      <c r="D73" s="3"/>
      <c r="E73" s="137"/>
      <c r="F73" s="276"/>
      <c r="G73" s="697"/>
      <c r="H73" s="706" t="str">
        <f>Translations!$B$497</f>
        <v>Polttoainevirta, johon tämän työkalun merkinnät liittyvät:</v>
      </c>
      <c r="I73" s="1224"/>
      <c r="J73" s="1224"/>
      <c r="K73" s="1224"/>
      <c r="L73" s="1224"/>
      <c r="M73" s="1224"/>
      <c r="N73" s="1224"/>
      <c r="O73" s="292"/>
      <c r="P73" s="4"/>
    </row>
    <row r="74" spans="1:24" ht="12.75" customHeight="1" x14ac:dyDescent="0.25">
      <c r="B74" s="3"/>
      <c r="C74" s="3"/>
      <c r="D74" s="3"/>
      <c r="E74" s="61"/>
      <c r="F74" s="7"/>
      <c r="G74" s="7"/>
      <c r="H74" s="7"/>
      <c r="I74" s="7"/>
      <c r="J74" s="7"/>
      <c r="K74" s="7"/>
      <c r="L74" s="7"/>
      <c r="M74" s="7"/>
      <c r="N74" s="3"/>
      <c r="O74" s="292"/>
      <c r="P74" s="4"/>
    </row>
    <row r="75" spans="1:24" ht="12.75" customHeight="1" x14ac:dyDescent="0.25">
      <c r="B75" s="3"/>
      <c r="C75" s="3"/>
      <c r="D75" s="3"/>
      <c r="E75" s="707" t="str">
        <f>Translations!$B$498</f>
        <v>Yksiköt:</v>
      </c>
      <c r="F75" s="708" t="str">
        <f>IF(I73="","",INDEX(C_Päästölaskenta!BM:BM,MATCH(I73,C_Päästölaskenta!BI:BI,0)))</f>
        <v/>
      </c>
      <c r="G75" s="1225" t="str">
        <f>EUconst_ToolBestEstimate</f>
        <v>Paras arvio</v>
      </c>
      <c r="H75" s="1226"/>
      <c r="I75" s="1225" t="str">
        <f>EUconst_ToolActualAmounts</f>
        <v>Toteutuneet päästöt</v>
      </c>
      <c r="J75" s="1227"/>
      <c r="K75" s="1225" t="str">
        <f>Translations!$B$484</f>
        <v>Ilmoitettavat määrät</v>
      </c>
      <c r="L75" s="1227"/>
      <c r="M75" s="1226" t="str">
        <f>Translations!$B$485</f>
        <v>Tase</v>
      </c>
      <c r="N75" s="1227"/>
      <c r="O75" s="292"/>
      <c r="P75" s="4"/>
    </row>
    <row r="76" spans="1:24" ht="12.75" customHeight="1" x14ac:dyDescent="0.25">
      <c r="B76" s="3"/>
      <c r="C76" s="3"/>
      <c r="D76" s="3"/>
      <c r="E76" s="137"/>
      <c r="F76" s="697"/>
      <c r="G76" s="1221" t="str">
        <f>Translations!$B$486</f>
        <v xml:space="preserve"> (vuodelle Y-1)</v>
      </c>
      <c r="H76" s="1222"/>
      <c r="I76" s="1221" t="str">
        <f>Translations!$B$487</f>
        <v>(vuonna Y-1)</v>
      </c>
      <c r="J76" s="1223"/>
      <c r="K76" s="1221" t="str">
        <f>Translations!$B$488</f>
        <v>(vuonna Y vuodelle Y-1)</v>
      </c>
      <c r="L76" s="1223"/>
      <c r="M76" s="1222" t="str">
        <f>Translations!$B$489</f>
        <v>(ilmoitettu - todellinen)</v>
      </c>
      <c r="N76" s="1223"/>
      <c r="O76" s="292"/>
      <c r="P76" s="4"/>
      <c r="T76" s="232" t="s">
        <v>150</v>
      </c>
      <c r="U76" s="232" t="s">
        <v>149</v>
      </c>
      <c r="W76" s="232" t="s">
        <v>149</v>
      </c>
    </row>
    <row r="77" spans="1:24" ht="12.75" customHeight="1" x14ac:dyDescent="0.25">
      <c r="B77" s="3"/>
      <c r="C77" s="3"/>
      <c r="D77" s="1209">
        <v>2025</v>
      </c>
      <c r="E77" s="1211" t="str">
        <f>EUconst_ToolBestEstimate &amp; " " &amp;D77-1</f>
        <v>Paras arvio 2024</v>
      </c>
      <c r="F77" s="1212"/>
      <c r="G77" s="1213"/>
      <c r="H77" s="1213"/>
      <c r="I77" s="1214"/>
      <c r="J77" s="1214"/>
      <c r="K77" s="1215" t="str">
        <f>IF(G77="","",MAX(0,G77-SUM(M76)))</f>
        <v/>
      </c>
      <c r="L77" s="1216"/>
      <c r="M77" s="1214"/>
      <c r="N77" s="1214"/>
      <c r="O77" s="292"/>
      <c r="P77" s="4"/>
      <c r="R77" s="304">
        <f>D77</f>
        <v>2025</v>
      </c>
      <c r="U77" s="700" t="b">
        <f>AND(COUNTA('B_Polttoainevirtojen tiedot'!$E$67:$M$91)&gt;0,R77&gt;CNTR_ReportingYear+1)</f>
        <v>0</v>
      </c>
      <c r="W77" s="700" t="b">
        <f>OR(U78,W76)</f>
        <v>0</v>
      </c>
    </row>
    <row r="78" spans="1:24" ht="12.75" customHeight="1" x14ac:dyDescent="0.25">
      <c r="B78" s="3"/>
      <c r="C78" s="3"/>
      <c r="D78" s="1210"/>
      <c r="E78" s="1217" t="str">
        <f>EUconst_ToolActualAmounts  &amp; " " &amp;D77-1</f>
        <v>Toteutuneet päästöt 2024</v>
      </c>
      <c r="F78" s="1218"/>
      <c r="G78" s="1219"/>
      <c r="H78" s="1219"/>
      <c r="I78" s="1220"/>
      <c r="J78" s="1220"/>
      <c r="K78" s="1206"/>
      <c r="L78" s="1207"/>
      <c r="M78" s="1208" t="str">
        <f>IF(I78="","",M77+G77-SUM(I77:J78))</f>
        <v/>
      </c>
      <c r="N78" s="1208"/>
      <c r="O78" s="292"/>
      <c r="P78" s="4"/>
      <c r="R78" s="304">
        <f>R77</f>
        <v>2025</v>
      </c>
      <c r="U78" s="700" t="b">
        <f>AND(COUNTA('B_Polttoainevirtojen tiedot'!$E$67:$M$91)&gt;0,R78&gt;CNTR_ReportingYear+1)</f>
        <v>0</v>
      </c>
      <c r="W78" s="700" t="b">
        <f t="shared" ref="W78:W98" si="0">OR(U79,W77)</f>
        <v>0</v>
      </c>
    </row>
    <row r="79" spans="1:24" ht="12.75" customHeight="1" x14ac:dyDescent="0.25">
      <c r="B79" s="3"/>
      <c r="C79" s="3"/>
      <c r="D79" s="1209">
        <f>D77+1</f>
        <v>2026</v>
      </c>
      <c r="E79" s="1211" t="str">
        <f>EUconst_ToolBestEstimate &amp; " " &amp;D79-1</f>
        <v>Paras arvio 2025</v>
      </c>
      <c r="F79" s="1212"/>
      <c r="G79" s="1213"/>
      <c r="H79" s="1213"/>
      <c r="I79" s="1214"/>
      <c r="J79" s="1214"/>
      <c r="K79" s="1215" t="str">
        <f>IF(G79="","",MAX(0,G79-SUM(M78)))</f>
        <v/>
      </c>
      <c r="L79" s="1216"/>
      <c r="M79" s="1215" t="str">
        <f>IF(M78="","",SUM(K$77:L79)-SUM(I$77:J78)-G79)</f>
        <v/>
      </c>
      <c r="N79" s="1215"/>
      <c r="O79" s="292"/>
      <c r="P79" s="4"/>
      <c r="R79" s="304">
        <f>D79</f>
        <v>2026</v>
      </c>
      <c r="U79" s="700" t="b">
        <f>AND(COUNTA('B_Polttoainevirtojen tiedot'!$E$67:$M$91)&gt;0,R79&gt;CNTR_ReportingYear+1)</f>
        <v>0</v>
      </c>
      <c r="W79" s="700" t="b">
        <f t="shared" si="0"/>
        <v>0</v>
      </c>
    </row>
    <row r="80" spans="1:24" ht="12.75" customHeight="1" x14ac:dyDescent="0.25">
      <c r="B80" s="3"/>
      <c r="C80" s="3"/>
      <c r="D80" s="1210"/>
      <c r="E80" s="1217" t="str">
        <f>EUconst_ToolActualAmounts  &amp; " " &amp;D79-1</f>
        <v>Toteutuneet päästöt 2025</v>
      </c>
      <c r="F80" s="1218"/>
      <c r="G80" s="1219"/>
      <c r="H80" s="1219"/>
      <c r="I80" s="1220"/>
      <c r="J80" s="1220"/>
      <c r="K80" s="1206"/>
      <c r="L80" s="1207"/>
      <c r="M80" s="1208" t="str">
        <f>IF(I80="","",M79+G79-SUM(I79:J80))</f>
        <v/>
      </c>
      <c r="N80" s="1208"/>
      <c r="O80" s="292"/>
      <c r="P80" s="4"/>
      <c r="R80" s="304">
        <f>R79</f>
        <v>2026</v>
      </c>
      <c r="U80" s="700" t="b">
        <f>AND(COUNTA('B_Polttoainevirtojen tiedot'!$E$67:$M$91)&gt;0,R80&gt;CNTR_ReportingYear+1)</f>
        <v>0</v>
      </c>
      <c r="W80" s="700" t="b">
        <f t="shared" si="0"/>
        <v>0</v>
      </c>
    </row>
    <row r="81" spans="2:23" ht="12.75" customHeight="1" x14ac:dyDescent="0.25">
      <c r="B81" s="3"/>
      <c r="C81" s="3"/>
      <c r="D81" s="1209">
        <f>D79+1</f>
        <v>2027</v>
      </c>
      <c r="E81" s="1211" t="str">
        <f>EUconst_ToolBestEstimate &amp; " " &amp;D81-1</f>
        <v>Paras arvio 2026</v>
      </c>
      <c r="F81" s="1212"/>
      <c r="G81" s="1213"/>
      <c r="H81" s="1213"/>
      <c r="I81" s="1214"/>
      <c r="J81" s="1214"/>
      <c r="K81" s="1215" t="str">
        <f>IF(G81="","",MAX(0,G81-SUM(M80)))</f>
        <v/>
      </c>
      <c r="L81" s="1216"/>
      <c r="M81" s="1215" t="str">
        <f>IF(M80="","",SUM(K$77:L81)-SUM(I$77:J80)-G81)</f>
        <v/>
      </c>
      <c r="N81" s="1215"/>
      <c r="O81" s="292"/>
      <c r="P81" s="4"/>
      <c r="R81" s="304">
        <f>D81</f>
        <v>2027</v>
      </c>
      <c r="U81" s="700" t="b">
        <f>AND(COUNTA('B_Polttoainevirtojen tiedot'!$E$67:$M$91)&gt;0,R81&gt;CNTR_ReportingYear+1)</f>
        <v>0</v>
      </c>
      <c r="W81" s="700" t="b">
        <f t="shared" si="0"/>
        <v>0</v>
      </c>
    </row>
    <row r="82" spans="2:23" ht="12.75" customHeight="1" x14ac:dyDescent="0.25">
      <c r="B82" s="3"/>
      <c r="C82" s="3"/>
      <c r="D82" s="1210"/>
      <c r="E82" s="1217" t="str">
        <f>EUconst_ToolActualAmounts  &amp; " " &amp;D81-1</f>
        <v>Toteutuneet päästöt 2026</v>
      </c>
      <c r="F82" s="1218"/>
      <c r="G82" s="1219"/>
      <c r="H82" s="1219"/>
      <c r="I82" s="1220"/>
      <c r="J82" s="1220"/>
      <c r="K82" s="1206"/>
      <c r="L82" s="1207"/>
      <c r="M82" s="1208" t="str">
        <f>IF(I82="","",M81+G81-SUM(I81:J82))</f>
        <v/>
      </c>
      <c r="N82" s="1208"/>
      <c r="O82" s="292"/>
      <c r="P82" s="4"/>
      <c r="R82" s="304">
        <f>R81</f>
        <v>2027</v>
      </c>
      <c r="U82" s="700" t="b">
        <f>AND(COUNTA('B_Polttoainevirtojen tiedot'!$E$67:$M$91)&gt;0,R82&gt;CNTR_ReportingYear+1)</f>
        <v>0</v>
      </c>
      <c r="W82" s="700" t="b">
        <f t="shared" si="0"/>
        <v>0</v>
      </c>
    </row>
    <row r="83" spans="2:23" ht="12.75" customHeight="1" x14ac:dyDescent="0.25">
      <c r="B83" s="3"/>
      <c r="C83" s="3"/>
      <c r="D83" s="1209">
        <f>D81+1</f>
        <v>2028</v>
      </c>
      <c r="E83" s="1211" t="str">
        <f>EUconst_ToolBestEstimate &amp; " " &amp;D83-1</f>
        <v>Paras arvio 2027</v>
      </c>
      <c r="F83" s="1212"/>
      <c r="G83" s="1213"/>
      <c r="H83" s="1213"/>
      <c r="I83" s="1214"/>
      <c r="J83" s="1214"/>
      <c r="K83" s="1215" t="str">
        <f>IF(G83="","",MAX(0,G83-SUM(M82)))</f>
        <v/>
      </c>
      <c r="L83" s="1216"/>
      <c r="M83" s="1215" t="str">
        <f>IF(M82="","",SUM(K$77:L83)-SUM(I$77:J82)-G83)</f>
        <v/>
      </c>
      <c r="N83" s="1215"/>
      <c r="O83" s="292"/>
      <c r="P83" s="4"/>
      <c r="R83" s="304">
        <f>D83</f>
        <v>2028</v>
      </c>
      <c r="U83" s="700" t="b">
        <f>AND(COUNTA('B_Polttoainevirtojen tiedot'!$E$67:$M$91)&gt;0,R83&gt;CNTR_ReportingYear+1)</f>
        <v>0</v>
      </c>
      <c r="W83" s="700" t="b">
        <f t="shared" si="0"/>
        <v>0</v>
      </c>
    </row>
    <row r="84" spans="2:23" ht="12.75" customHeight="1" x14ac:dyDescent="0.25">
      <c r="B84" s="3"/>
      <c r="C84" s="3"/>
      <c r="D84" s="1210"/>
      <c r="E84" s="1217" t="str">
        <f>EUconst_ToolActualAmounts  &amp; " " &amp;D83-1</f>
        <v>Toteutuneet päästöt 2027</v>
      </c>
      <c r="F84" s="1218"/>
      <c r="G84" s="1219"/>
      <c r="H84" s="1219"/>
      <c r="I84" s="1220"/>
      <c r="J84" s="1220"/>
      <c r="K84" s="1206"/>
      <c r="L84" s="1207"/>
      <c r="M84" s="1208" t="str">
        <f>IF(I84="","",M83+G83-SUM(I83:J84))</f>
        <v/>
      </c>
      <c r="N84" s="1208"/>
      <c r="O84" s="292"/>
      <c r="P84" s="4"/>
      <c r="R84" s="304">
        <f>R83</f>
        <v>2028</v>
      </c>
      <c r="U84" s="700" t="b">
        <f>AND(COUNTA('B_Polttoainevirtojen tiedot'!$E$67:$M$91)&gt;0,R84&gt;CNTR_ReportingYear+1)</f>
        <v>0</v>
      </c>
      <c r="W84" s="700" t="b">
        <f t="shared" si="0"/>
        <v>0</v>
      </c>
    </row>
    <row r="85" spans="2:23" ht="12.75" customHeight="1" x14ac:dyDescent="0.25">
      <c r="B85" s="3"/>
      <c r="C85" s="3"/>
      <c r="D85" s="1209">
        <f>D83+1</f>
        <v>2029</v>
      </c>
      <c r="E85" s="1211" t="str">
        <f>EUconst_ToolBestEstimate &amp; " " &amp;D85-1</f>
        <v>Paras arvio 2028</v>
      </c>
      <c r="F85" s="1212"/>
      <c r="G85" s="1213"/>
      <c r="H85" s="1213"/>
      <c r="I85" s="1214"/>
      <c r="J85" s="1214"/>
      <c r="K85" s="1215" t="str">
        <f>IF(G85="","",MAX(0,G85-SUM(M84)))</f>
        <v/>
      </c>
      <c r="L85" s="1216"/>
      <c r="M85" s="1215" t="str">
        <f>IF(M84="","",SUM(K$77:L85)-SUM(I$77:J84)-G85)</f>
        <v/>
      </c>
      <c r="N85" s="1215"/>
      <c r="O85" s="292"/>
      <c r="P85" s="4"/>
      <c r="R85" s="304">
        <f>D85</f>
        <v>2029</v>
      </c>
      <c r="U85" s="700" t="b">
        <f>AND(COUNTA('B_Polttoainevirtojen tiedot'!$E$67:$M$91)&gt;0,R85&gt;CNTR_ReportingYear+1)</f>
        <v>0</v>
      </c>
      <c r="W85" s="700" t="b">
        <f t="shared" si="0"/>
        <v>0</v>
      </c>
    </row>
    <row r="86" spans="2:23" ht="12.75" customHeight="1" x14ac:dyDescent="0.25">
      <c r="B86" s="3"/>
      <c r="C86" s="3"/>
      <c r="D86" s="1210"/>
      <c r="E86" s="1217" t="str">
        <f>EUconst_ToolActualAmounts  &amp; " " &amp;D85-1</f>
        <v>Toteutuneet päästöt 2028</v>
      </c>
      <c r="F86" s="1218"/>
      <c r="G86" s="1219"/>
      <c r="H86" s="1219"/>
      <c r="I86" s="1220"/>
      <c r="J86" s="1220"/>
      <c r="K86" s="1206"/>
      <c r="L86" s="1207"/>
      <c r="M86" s="1208" t="str">
        <f>IF(I86="","",M85+G85-SUM(I85:J86))</f>
        <v/>
      </c>
      <c r="N86" s="1208"/>
      <c r="O86" s="292"/>
      <c r="P86" s="4"/>
      <c r="R86" s="304">
        <f>R85</f>
        <v>2029</v>
      </c>
      <c r="U86" s="700" t="b">
        <f>AND(COUNTA('B_Polttoainevirtojen tiedot'!$E$67:$M$91)&gt;0,R86&gt;CNTR_ReportingYear+1)</f>
        <v>0</v>
      </c>
      <c r="W86" s="700" t="b">
        <f t="shared" si="0"/>
        <v>0</v>
      </c>
    </row>
    <row r="87" spans="2:23" ht="12.75" customHeight="1" x14ac:dyDescent="0.25">
      <c r="B87" s="3"/>
      <c r="C87" s="3"/>
      <c r="D87" s="1209">
        <f>D85+1</f>
        <v>2030</v>
      </c>
      <c r="E87" s="1211" t="str">
        <f>EUconst_ToolBestEstimate &amp; " " &amp;D87-1</f>
        <v>Paras arvio 2029</v>
      </c>
      <c r="F87" s="1212"/>
      <c r="G87" s="1213"/>
      <c r="H87" s="1213"/>
      <c r="I87" s="1214"/>
      <c r="J87" s="1214"/>
      <c r="K87" s="1215" t="str">
        <f>IF(G87="","",MAX(0,G87-SUM(M86)))</f>
        <v/>
      </c>
      <c r="L87" s="1216"/>
      <c r="M87" s="1215" t="str">
        <f>IF(M86="","",SUM(K$77:L87)-SUM(I$77:J86)-G87)</f>
        <v/>
      </c>
      <c r="N87" s="1215"/>
      <c r="O87" s="292"/>
      <c r="P87" s="4"/>
      <c r="R87" s="304">
        <f>D87</f>
        <v>2030</v>
      </c>
      <c r="U87" s="700" t="b">
        <f>AND(COUNTA('B_Polttoainevirtojen tiedot'!$E$67:$M$91)&gt;0,R87&gt;CNTR_ReportingYear+1)</f>
        <v>0</v>
      </c>
      <c r="W87" s="700" t="b">
        <f t="shared" si="0"/>
        <v>0</v>
      </c>
    </row>
    <row r="88" spans="2:23" ht="12.75" customHeight="1" x14ac:dyDescent="0.25">
      <c r="B88" s="3"/>
      <c r="C88" s="3"/>
      <c r="D88" s="1210"/>
      <c r="E88" s="1217" t="str">
        <f>EUconst_ToolActualAmounts  &amp; " " &amp;D87-1</f>
        <v>Toteutuneet päästöt 2029</v>
      </c>
      <c r="F88" s="1218"/>
      <c r="G88" s="1219"/>
      <c r="H88" s="1219"/>
      <c r="I88" s="1220"/>
      <c r="J88" s="1220"/>
      <c r="K88" s="1206"/>
      <c r="L88" s="1207"/>
      <c r="M88" s="1208" t="str">
        <f>IF(I88="","",M87+G87-SUM(I87:J88))</f>
        <v/>
      </c>
      <c r="N88" s="1208"/>
      <c r="O88" s="292"/>
      <c r="P88" s="4"/>
      <c r="R88" s="304">
        <f>R87</f>
        <v>2030</v>
      </c>
      <c r="U88" s="700" t="b">
        <f>AND(COUNTA('B_Polttoainevirtojen tiedot'!$E$67:$M$91)&gt;0,R88&gt;CNTR_ReportingYear+1)</f>
        <v>0</v>
      </c>
      <c r="W88" s="700" t="b">
        <f t="shared" si="0"/>
        <v>0</v>
      </c>
    </row>
    <row r="89" spans="2:23" ht="12.75" customHeight="1" x14ac:dyDescent="0.25">
      <c r="B89" s="3"/>
      <c r="C89" s="3"/>
      <c r="D89" s="1209">
        <f>D87+1</f>
        <v>2031</v>
      </c>
      <c r="E89" s="1211" t="str">
        <f>EUconst_ToolBestEstimate &amp; " " &amp;D89-1</f>
        <v>Paras arvio 2030</v>
      </c>
      <c r="F89" s="1212"/>
      <c r="G89" s="1213"/>
      <c r="H89" s="1213"/>
      <c r="I89" s="1214"/>
      <c r="J89" s="1214"/>
      <c r="K89" s="1215" t="str">
        <f>IF(G89="","",MAX(0,G89-SUM(M88)))</f>
        <v/>
      </c>
      <c r="L89" s="1216"/>
      <c r="M89" s="1215" t="str">
        <f>IF(M88="","",SUM(K$77:L89)-SUM(I$77:J88)-G89)</f>
        <v/>
      </c>
      <c r="N89" s="1215"/>
      <c r="O89" s="292"/>
      <c r="P89" s="4"/>
      <c r="R89" s="304">
        <f>D89</f>
        <v>2031</v>
      </c>
      <c r="U89" s="700" t="b">
        <f>AND(COUNTA('B_Polttoainevirtojen tiedot'!$E$67:$M$91)&gt;0,R89&gt;CNTR_ReportingYear+1)</f>
        <v>0</v>
      </c>
      <c r="W89" s="700" t="b">
        <f t="shared" si="0"/>
        <v>0</v>
      </c>
    </row>
    <row r="90" spans="2:23" ht="12.75" customHeight="1" x14ac:dyDescent="0.25">
      <c r="B90" s="3"/>
      <c r="C90" s="3"/>
      <c r="D90" s="1210"/>
      <c r="E90" s="1217" t="str">
        <f>EUconst_ToolActualAmounts  &amp; " " &amp;D89-1</f>
        <v>Toteutuneet päästöt 2030</v>
      </c>
      <c r="F90" s="1218"/>
      <c r="G90" s="1219"/>
      <c r="H90" s="1219"/>
      <c r="I90" s="1220"/>
      <c r="J90" s="1220"/>
      <c r="K90" s="1206"/>
      <c r="L90" s="1207"/>
      <c r="M90" s="1208" t="str">
        <f>IF(I90="","",M89+G89-SUM(I89:J90))</f>
        <v/>
      </c>
      <c r="N90" s="1208"/>
      <c r="O90" s="292"/>
      <c r="P90" s="4"/>
      <c r="R90" s="304">
        <f>R89</f>
        <v>2031</v>
      </c>
      <c r="U90" s="700" t="b">
        <f>AND(COUNTA('B_Polttoainevirtojen tiedot'!$E$67:$M$91)&gt;0,R90&gt;CNTR_ReportingYear+1)</f>
        <v>0</v>
      </c>
      <c r="W90" s="700" t="b">
        <f t="shared" si="0"/>
        <v>0</v>
      </c>
    </row>
    <row r="91" spans="2:23" ht="12.75" customHeight="1" x14ac:dyDescent="0.25">
      <c r="B91" s="3"/>
      <c r="C91" s="3"/>
      <c r="D91" s="1209">
        <f>D89+1</f>
        <v>2032</v>
      </c>
      <c r="E91" s="1211" t="str">
        <f>EUconst_ToolBestEstimate &amp; " " &amp;D91-1</f>
        <v>Paras arvio 2031</v>
      </c>
      <c r="F91" s="1212"/>
      <c r="G91" s="1213"/>
      <c r="H91" s="1213"/>
      <c r="I91" s="1214"/>
      <c r="J91" s="1214"/>
      <c r="K91" s="1215" t="str">
        <f>IF(G91="","",MAX(0,G91-SUM(M90)))</f>
        <v/>
      </c>
      <c r="L91" s="1216"/>
      <c r="M91" s="1215" t="str">
        <f>IF(M90="","",SUM(K$77:L91)-SUM(I$77:J90)-G91)</f>
        <v/>
      </c>
      <c r="N91" s="1215"/>
      <c r="O91" s="292"/>
      <c r="P91" s="4"/>
      <c r="R91" s="304">
        <f>D91</f>
        <v>2032</v>
      </c>
      <c r="U91" s="700" t="b">
        <f>AND(COUNTA('B_Polttoainevirtojen tiedot'!$E$67:$M$91)&gt;0,R91&gt;CNTR_ReportingYear+1)</f>
        <v>0</v>
      </c>
      <c r="W91" s="700" t="b">
        <f t="shared" si="0"/>
        <v>0</v>
      </c>
    </row>
    <row r="92" spans="2:23" ht="12.75" customHeight="1" x14ac:dyDescent="0.25">
      <c r="B92" s="3"/>
      <c r="C92" s="3"/>
      <c r="D92" s="1210"/>
      <c r="E92" s="1217" t="str">
        <f>EUconst_ToolActualAmounts  &amp; " " &amp;D91-1</f>
        <v>Toteutuneet päästöt 2031</v>
      </c>
      <c r="F92" s="1218"/>
      <c r="G92" s="1219"/>
      <c r="H92" s="1219"/>
      <c r="I92" s="1220"/>
      <c r="J92" s="1220"/>
      <c r="K92" s="1206"/>
      <c r="L92" s="1207"/>
      <c r="M92" s="1208" t="str">
        <f>IF(I92="","",M91+G91-SUM(I91:J92))</f>
        <v/>
      </c>
      <c r="N92" s="1208"/>
      <c r="O92" s="292"/>
      <c r="P92" s="4"/>
      <c r="R92" s="304">
        <f>R91</f>
        <v>2032</v>
      </c>
      <c r="U92" s="700" t="b">
        <f>AND(COUNTA('B_Polttoainevirtojen tiedot'!$E$67:$M$91)&gt;0,R92&gt;CNTR_ReportingYear+1)</f>
        <v>0</v>
      </c>
      <c r="W92" s="700" t="b">
        <f t="shared" si="0"/>
        <v>0</v>
      </c>
    </row>
    <row r="93" spans="2:23" ht="12.75" customHeight="1" x14ac:dyDescent="0.25">
      <c r="B93" s="3"/>
      <c r="C93" s="3"/>
      <c r="D93" s="1209">
        <f>D91+1</f>
        <v>2033</v>
      </c>
      <c r="E93" s="1211" t="str">
        <f>EUconst_ToolBestEstimate &amp; " " &amp;D93-1</f>
        <v>Paras arvio 2032</v>
      </c>
      <c r="F93" s="1212"/>
      <c r="G93" s="1213"/>
      <c r="H93" s="1213"/>
      <c r="I93" s="1214"/>
      <c r="J93" s="1214"/>
      <c r="K93" s="1215" t="str">
        <f>IF(G93="","",MAX(0,G93-SUM(M92)))</f>
        <v/>
      </c>
      <c r="L93" s="1216"/>
      <c r="M93" s="1215" t="str">
        <f>IF(M92="","",SUM(K$77:L93)-SUM(I$77:J92)-G93)</f>
        <v/>
      </c>
      <c r="N93" s="1215"/>
      <c r="O93" s="292"/>
      <c r="P93" s="4"/>
      <c r="R93" s="304">
        <f>D93</f>
        <v>2033</v>
      </c>
      <c r="U93" s="700" t="b">
        <f>AND(COUNTA('B_Polttoainevirtojen tiedot'!$E$67:$M$91)&gt;0,R93&gt;CNTR_ReportingYear+1)</f>
        <v>0</v>
      </c>
      <c r="W93" s="700" t="b">
        <f t="shared" si="0"/>
        <v>0</v>
      </c>
    </row>
    <row r="94" spans="2:23" ht="12.75" customHeight="1" x14ac:dyDescent="0.25">
      <c r="B94" s="3"/>
      <c r="C94" s="3"/>
      <c r="D94" s="1210"/>
      <c r="E94" s="1217" t="str">
        <f>EUconst_ToolActualAmounts  &amp; " " &amp;D93-1</f>
        <v>Toteutuneet päästöt 2032</v>
      </c>
      <c r="F94" s="1218"/>
      <c r="G94" s="1219"/>
      <c r="H94" s="1219"/>
      <c r="I94" s="1220"/>
      <c r="J94" s="1220"/>
      <c r="K94" s="1206"/>
      <c r="L94" s="1207"/>
      <c r="M94" s="1208" t="str">
        <f>IF(I94="","",M93+G93-SUM(I93:J94))</f>
        <v/>
      </c>
      <c r="N94" s="1208"/>
      <c r="O94" s="292"/>
      <c r="P94" s="4"/>
      <c r="R94" s="304">
        <f>R93</f>
        <v>2033</v>
      </c>
      <c r="U94" s="700" t="b">
        <f>AND(COUNTA('B_Polttoainevirtojen tiedot'!$E$67:$M$91)&gt;0,R94&gt;CNTR_ReportingYear+1)</f>
        <v>0</v>
      </c>
      <c r="W94" s="700" t="b">
        <f t="shared" si="0"/>
        <v>0</v>
      </c>
    </row>
    <row r="95" spans="2:23" ht="12.75" customHeight="1" x14ac:dyDescent="0.25">
      <c r="B95" s="3"/>
      <c r="C95" s="3"/>
      <c r="D95" s="1209">
        <f>D93+1</f>
        <v>2034</v>
      </c>
      <c r="E95" s="1211" t="str">
        <f>EUconst_ToolBestEstimate &amp; " " &amp;D95-1</f>
        <v>Paras arvio 2033</v>
      </c>
      <c r="F95" s="1212"/>
      <c r="G95" s="1213"/>
      <c r="H95" s="1213"/>
      <c r="I95" s="1214"/>
      <c r="J95" s="1214"/>
      <c r="K95" s="1215" t="str">
        <f>IF(G95="","",MAX(0,G95-SUM(M94)))</f>
        <v/>
      </c>
      <c r="L95" s="1216"/>
      <c r="M95" s="1215" t="str">
        <f>IF(M94="","",SUM(K$77:L95)-SUM(I$77:J94)-G95)</f>
        <v/>
      </c>
      <c r="N95" s="1215"/>
      <c r="O95" s="292"/>
      <c r="P95" s="4"/>
      <c r="R95" s="304">
        <f>D95</f>
        <v>2034</v>
      </c>
      <c r="U95" s="700" t="b">
        <f>AND(COUNTA('B_Polttoainevirtojen tiedot'!$E$67:$M$91)&gt;0,R95&gt;CNTR_ReportingYear+1)</f>
        <v>0</v>
      </c>
      <c r="W95" s="700" t="b">
        <f t="shared" si="0"/>
        <v>0</v>
      </c>
    </row>
    <row r="96" spans="2:23" ht="12.75" customHeight="1" x14ac:dyDescent="0.25">
      <c r="B96" s="3"/>
      <c r="C96" s="3"/>
      <c r="D96" s="1210"/>
      <c r="E96" s="1217" t="str">
        <f>EUconst_ToolActualAmounts  &amp; " " &amp;D95-1</f>
        <v>Toteutuneet päästöt 2033</v>
      </c>
      <c r="F96" s="1218"/>
      <c r="G96" s="1219"/>
      <c r="H96" s="1219"/>
      <c r="I96" s="1220"/>
      <c r="J96" s="1220"/>
      <c r="K96" s="1206"/>
      <c r="L96" s="1207"/>
      <c r="M96" s="1208" t="str">
        <f>IF(I96="","",M95+G95-SUM(I95:J96))</f>
        <v/>
      </c>
      <c r="N96" s="1208"/>
      <c r="O96" s="292"/>
      <c r="P96" s="4"/>
      <c r="R96" s="304">
        <f>R95</f>
        <v>2034</v>
      </c>
      <c r="U96" s="700" t="b">
        <f>AND(COUNTA('B_Polttoainevirtojen tiedot'!$E$67:$M$91)&gt;0,R96&gt;CNTR_ReportingYear+1)</f>
        <v>0</v>
      </c>
      <c r="W96" s="700" t="b">
        <f t="shared" si="0"/>
        <v>0</v>
      </c>
    </row>
    <row r="97" spans="1:24" ht="12.75" customHeight="1" x14ac:dyDescent="0.25">
      <c r="B97" s="3"/>
      <c r="C97" s="3"/>
      <c r="D97" s="1209">
        <f>D95+1</f>
        <v>2035</v>
      </c>
      <c r="E97" s="1211" t="str">
        <f>EUconst_ToolBestEstimate &amp; " " &amp;D97-1</f>
        <v>Paras arvio 2034</v>
      </c>
      <c r="F97" s="1212"/>
      <c r="G97" s="1213"/>
      <c r="H97" s="1213"/>
      <c r="I97" s="1214"/>
      <c r="J97" s="1214"/>
      <c r="K97" s="1215" t="str">
        <f>IF(G97="","",MAX(0,G97-SUM(M96)))</f>
        <v/>
      </c>
      <c r="L97" s="1216"/>
      <c r="M97" s="1215" t="str">
        <f>IF(M96="","",SUM(K$77:L97)-SUM(I$77:J96)-G97)</f>
        <v/>
      </c>
      <c r="N97" s="1215"/>
      <c r="O97" s="292"/>
      <c r="P97" s="4"/>
      <c r="R97" s="304">
        <f>D97</f>
        <v>2035</v>
      </c>
      <c r="U97" s="700" t="b">
        <f>AND(COUNTA('B_Polttoainevirtojen tiedot'!$E$67:$M$91)&gt;0,R97&gt;CNTR_ReportingYear+1)</f>
        <v>0</v>
      </c>
      <c r="W97" s="700" t="b">
        <f t="shared" si="0"/>
        <v>0</v>
      </c>
    </row>
    <row r="98" spans="1:24" ht="12.75" customHeight="1" x14ac:dyDescent="0.25">
      <c r="B98" s="3"/>
      <c r="C98" s="3"/>
      <c r="D98" s="1210"/>
      <c r="E98" s="1217" t="str">
        <f>EUconst_ToolActualAmounts  &amp; " " &amp;D97-1</f>
        <v>Toteutuneet päästöt 2034</v>
      </c>
      <c r="F98" s="1218"/>
      <c r="G98" s="1219"/>
      <c r="H98" s="1219"/>
      <c r="I98" s="1220"/>
      <c r="J98" s="1220"/>
      <c r="K98" s="1206"/>
      <c r="L98" s="1207"/>
      <c r="M98" s="1208" t="str">
        <f>IF(I98="","",M97+G97-SUM(I97:J98))</f>
        <v/>
      </c>
      <c r="N98" s="1208"/>
      <c r="O98" s="292"/>
      <c r="P98" s="4"/>
      <c r="R98" s="304">
        <f>R97</f>
        <v>2035</v>
      </c>
      <c r="U98" s="700" t="b">
        <f>AND(COUNTA('B_Polttoainevirtojen tiedot'!$E$67:$M$91)&gt;0,R98&gt;CNTR_ReportingYear+1)</f>
        <v>0</v>
      </c>
      <c r="W98" s="700" t="b">
        <f t="shared" si="0"/>
        <v>0</v>
      </c>
    </row>
    <row r="99" spans="1:24" ht="12.75" customHeight="1" x14ac:dyDescent="0.25">
      <c r="B99" s="3"/>
      <c r="C99" s="3"/>
      <c r="D99" s="3"/>
      <c r="E99" s="61"/>
      <c r="F99" s="7"/>
      <c r="G99" s="7"/>
      <c r="H99" s="7"/>
      <c r="I99" s="7"/>
      <c r="J99" s="7"/>
      <c r="K99" s="7"/>
      <c r="L99" s="7"/>
      <c r="M99" s="7"/>
      <c r="N99" s="3"/>
      <c r="O99" s="292"/>
      <c r="P99" s="4"/>
    </row>
    <row r="100" spans="1:24" ht="12.75" customHeight="1" x14ac:dyDescent="0.25">
      <c r="B100" s="3"/>
      <c r="C100" s="3"/>
      <c r="D100" s="3"/>
      <c r="E100" s="61"/>
      <c r="F100" s="7"/>
      <c r="G100" s="7"/>
      <c r="H100" s="7"/>
      <c r="I100" s="7"/>
      <c r="J100" s="7"/>
      <c r="K100" s="7"/>
      <c r="L100" s="7"/>
      <c r="M100" s="7"/>
      <c r="N100" s="3"/>
      <c r="O100" s="292"/>
      <c r="P100" s="4"/>
    </row>
    <row r="101" spans="1:24" ht="12.75" customHeight="1" x14ac:dyDescent="0.25">
      <c r="B101" s="3"/>
      <c r="C101" s="3"/>
      <c r="D101" s="3"/>
      <c r="E101" s="61"/>
      <c r="F101" s="7"/>
      <c r="G101" s="7"/>
      <c r="H101" s="7"/>
      <c r="I101" s="7"/>
      <c r="J101" s="7"/>
      <c r="K101" s="7"/>
      <c r="L101" s="7"/>
      <c r="M101" s="7"/>
      <c r="N101" s="3"/>
      <c r="O101" s="292"/>
      <c r="P101" s="4"/>
    </row>
    <row r="102" spans="1:24" ht="12.75" customHeight="1" x14ac:dyDescent="0.25">
      <c r="B102" s="3"/>
      <c r="C102" s="3"/>
      <c r="D102" s="3"/>
      <c r="E102" s="61"/>
      <c r="F102" s="7"/>
      <c r="G102" s="7"/>
      <c r="H102" s="7"/>
      <c r="I102" s="7"/>
      <c r="J102" s="7"/>
      <c r="K102" s="7"/>
      <c r="L102" s="7"/>
      <c r="M102" s="7"/>
      <c r="N102" s="3"/>
      <c r="O102" s="292"/>
      <c r="P102" s="4"/>
    </row>
    <row r="104" spans="1:24" hidden="1" x14ac:dyDescent="0.25">
      <c r="A104" s="232" t="s">
        <v>0</v>
      </c>
      <c r="B104" s="232" t="s">
        <v>147</v>
      </c>
      <c r="C104" s="232" t="s">
        <v>147</v>
      </c>
      <c r="D104" s="232" t="s">
        <v>147</v>
      </c>
      <c r="E104" s="232" t="s">
        <v>147</v>
      </c>
      <c r="F104" s="232" t="s">
        <v>147</v>
      </c>
      <c r="G104" s="232" t="s">
        <v>147</v>
      </c>
      <c r="H104" s="232" t="s">
        <v>147</v>
      </c>
      <c r="I104" s="232" t="s">
        <v>147</v>
      </c>
      <c r="J104" s="232" t="s">
        <v>147</v>
      </c>
      <c r="K104" s="232" t="s">
        <v>147</v>
      </c>
      <c r="L104" s="232" t="s">
        <v>147</v>
      </c>
      <c r="M104" s="232" t="s">
        <v>147</v>
      </c>
      <c r="N104" s="232" t="s">
        <v>147</v>
      </c>
      <c r="O104" s="299" t="s">
        <v>147</v>
      </c>
      <c r="P104" s="232" t="s">
        <v>147</v>
      </c>
      <c r="Q104" s="232" t="s">
        <v>147</v>
      </c>
      <c r="R104" s="232" t="s">
        <v>147</v>
      </c>
      <c r="S104" s="232" t="s">
        <v>147</v>
      </c>
      <c r="T104" s="232" t="s">
        <v>147</v>
      </c>
      <c r="U104" s="232" t="s">
        <v>147</v>
      </c>
      <c r="V104" s="232" t="s">
        <v>147</v>
      </c>
      <c r="W104" s="232" t="s">
        <v>147</v>
      </c>
      <c r="X104" s="232" t="s">
        <v>147</v>
      </c>
    </row>
    <row r="105" spans="1:24" hidden="1" x14ac:dyDescent="0.25">
      <c r="A105" s="232" t="s">
        <v>0</v>
      </c>
      <c r="B105" s="254"/>
      <c r="C105" s="254"/>
      <c r="D105" s="254"/>
      <c r="E105" s="278"/>
      <c r="F105" s="254"/>
      <c r="G105" s="254"/>
      <c r="H105" s="254"/>
      <c r="I105" s="254"/>
      <c r="J105" s="254"/>
      <c r="K105" s="254"/>
      <c r="L105" s="254"/>
      <c r="M105" s="254"/>
      <c r="N105" s="254"/>
      <c r="O105" s="289"/>
      <c r="P105" s="259" t="s">
        <v>12</v>
      </c>
    </row>
    <row r="106" spans="1:24" ht="13" hidden="1" thickBot="1" x14ac:dyDescent="0.3">
      <c r="A106" s="232" t="s">
        <v>0</v>
      </c>
      <c r="O106" s="291"/>
      <c r="P106" s="7"/>
    </row>
    <row r="107" spans="1:24" ht="13.5" hidden="1" thickBot="1" x14ac:dyDescent="0.3">
      <c r="A107" s="232" t="s">
        <v>0</v>
      </c>
      <c r="F107" s="391"/>
      <c r="G107" s="392"/>
      <c r="H107" s="392"/>
      <c r="I107" s="392" t="str">
        <f>Translations!$B$235</f>
        <v>Polttoainevirta</v>
      </c>
      <c r="J107" s="392"/>
      <c r="K107" s="392"/>
      <c r="L107" s="392"/>
      <c r="M107" s="393" t="str">
        <f>Translations!$B$402</f>
        <v>Vaihteluväli</v>
      </c>
      <c r="O107" s="291"/>
      <c r="P107" s="7"/>
    </row>
    <row r="108" spans="1:24" hidden="1" x14ac:dyDescent="0.25">
      <c r="A108" s="232" t="s">
        <v>0</v>
      </c>
      <c r="F108" s="394">
        <v>1</v>
      </c>
      <c r="G108" s="172"/>
      <c r="H108" s="172"/>
      <c r="I108" s="13" t="str">
        <f>IF(COUNTIF($H$108:$H$132,F108)=0,"",INDEX($G$108:$G$132,MATCH(F108,$H$108:$H$132,0)))</f>
        <v/>
      </c>
      <c r="J108" s="172"/>
      <c r="K108" s="172"/>
      <c r="L108" s="172"/>
      <c r="M108" s="395" t="str">
        <f ca="1">C_Päästölaskenta!M652</f>
        <v>C_Päästölaskenta!$I$652:$I$651</v>
      </c>
      <c r="O108" s="291"/>
      <c r="P108" s="7"/>
    </row>
    <row r="109" spans="1:24" hidden="1" x14ac:dyDescent="0.25">
      <c r="A109" s="232" t="s">
        <v>0</v>
      </c>
      <c r="F109" s="396">
        <v>2</v>
      </c>
      <c r="G109" s="175"/>
      <c r="H109" s="175"/>
      <c r="I109" s="14" t="str">
        <f t="shared" ref="I109:I127" si="1">IF(COUNTIF($H$108:$H$132,F109)=0,"",INDEX($G$108:$G$132,MATCH(F109,$H$108:$H$132,0)))</f>
        <v/>
      </c>
      <c r="J109" s="175"/>
      <c r="K109" s="175"/>
      <c r="L109" s="175"/>
      <c r="M109" s="176"/>
      <c r="O109" s="291"/>
      <c r="P109" s="7"/>
    </row>
    <row r="110" spans="1:24" hidden="1" x14ac:dyDescent="0.25">
      <c r="A110" s="232" t="s">
        <v>0</v>
      </c>
      <c r="F110" s="396">
        <v>3</v>
      </c>
      <c r="G110" s="175"/>
      <c r="H110" s="175"/>
      <c r="I110" s="14" t="str">
        <f t="shared" si="1"/>
        <v/>
      </c>
      <c r="J110" s="175"/>
      <c r="K110" s="175"/>
      <c r="L110" s="175"/>
      <c r="M110" s="582"/>
      <c r="O110" s="291"/>
      <c r="P110" s="7"/>
    </row>
    <row r="111" spans="1:24" hidden="1" x14ac:dyDescent="0.25">
      <c r="A111" s="232" t="s">
        <v>0</v>
      </c>
      <c r="F111" s="396">
        <v>4</v>
      </c>
      <c r="G111" s="175"/>
      <c r="H111" s="175"/>
      <c r="I111" s="14" t="str">
        <f t="shared" si="1"/>
        <v/>
      </c>
      <c r="J111" s="175"/>
      <c r="K111" s="175"/>
      <c r="L111" s="175"/>
      <c r="M111" s="176"/>
      <c r="O111" s="291"/>
      <c r="P111" s="7"/>
    </row>
    <row r="112" spans="1:24" hidden="1" x14ac:dyDescent="0.25">
      <c r="A112" s="232" t="s">
        <v>0</v>
      </c>
      <c r="F112" s="396">
        <v>5</v>
      </c>
      <c r="G112" s="175"/>
      <c r="H112" s="175"/>
      <c r="I112" s="14" t="str">
        <f t="shared" si="1"/>
        <v/>
      </c>
      <c r="J112" s="175"/>
      <c r="K112" s="175"/>
      <c r="L112" s="175"/>
      <c r="M112" s="176"/>
      <c r="O112" s="291"/>
      <c r="P112" s="7"/>
    </row>
    <row r="113" spans="1:13" hidden="1" x14ac:dyDescent="0.25">
      <c r="A113" s="232" t="s">
        <v>0</v>
      </c>
      <c r="F113" s="396">
        <v>6</v>
      </c>
      <c r="G113" s="175"/>
      <c r="H113" s="175"/>
      <c r="I113" s="14" t="str">
        <f t="shared" si="1"/>
        <v/>
      </c>
      <c r="J113" s="175"/>
      <c r="K113" s="175"/>
      <c r="L113" s="175"/>
      <c r="M113" s="176"/>
    </row>
    <row r="114" spans="1:13" hidden="1" x14ac:dyDescent="0.25">
      <c r="A114" s="232" t="s">
        <v>0</v>
      </c>
      <c r="F114" s="396">
        <v>7</v>
      </c>
      <c r="G114" s="175"/>
      <c r="H114" s="175"/>
      <c r="I114" s="14" t="str">
        <f t="shared" si="1"/>
        <v/>
      </c>
      <c r="J114" s="175"/>
      <c r="K114" s="175"/>
      <c r="L114" s="175"/>
      <c r="M114" s="176"/>
    </row>
    <row r="115" spans="1:13" hidden="1" x14ac:dyDescent="0.25">
      <c r="A115" s="232" t="s">
        <v>0</v>
      </c>
      <c r="F115" s="396">
        <v>8</v>
      </c>
      <c r="G115" s="175"/>
      <c r="H115" s="175"/>
      <c r="I115" s="14" t="str">
        <f t="shared" si="1"/>
        <v/>
      </c>
      <c r="J115" s="175"/>
      <c r="K115" s="175"/>
      <c r="L115" s="175"/>
      <c r="M115" s="176"/>
    </row>
    <row r="116" spans="1:13" hidden="1" x14ac:dyDescent="0.25">
      <c r="A116" s="232" t="s">
        <v>0</v>
      </c>
      <c r="F116" s="396">
        <v>9</v>
      </c>
      <c r="G116" s="175"/>
      <c r="H116" s="175"/>
      <c r="I116" s="14" t="str">
        <f t="shared" si="1"/>
        <v/>
      </c>
      <c r="J116" s="175"/>
      <c r="K116" s="175"/>
      <c r="L116" s="175"/>
      <c r="M116" s="176"/>
    </row>
    <row r="117" spans="1:13" hidden="1" x14ac:dyDescent="0.25">
      <c r="A117" s="232" t="s">
        <v>0</v>
      </c>
      <c r="F117" s="396">
        <v>10</v>
      </c>
      <c r="G117" s="175"/>
      <c r="H117" s="175"/>
      <c r="I117" s="14" t="str">
        <f t="shared" si="1"/>
        <v/>
      </c>
      <c r="J117" s="175"/>
      <c r="K117" s="175"/>
      <c r="L117" s="175"/>
      <c r="M117" s="176"/>
    </row>
    <row r="118" spans="1:13" hidden="1" x14ac:dyDescent="0.25">
      <c r="A118" s="232" t="s">
        <v>0</v>
      </c>
      <c r="F118" s="396">
        <v>11</v>
      </c>
      <c r="G118" s="175"/>
      <c r="H118" s="175"/>
      <c r="I118" s="14" t="str">
        <f t="shared" si="1"/>
        <v/>
      </c>
      <c r="J118" s="175"/>
      <c r="K118" s="175"/>
      <c r="L118" s="175"/>
      <c r="M118" s="176"/>
    </row>
    <row r="119" spans="1:13" hidden="1" x14ac:dyDescent="0.25">
      <c r="A119" s="232" t="s">
        <v>0</v>
      </c>
      <c r="F119" s="396">
        <v>12</v>
      </c>
      <c r="G119" s="175"/>
      <c r="H119" s="175"/>
      <c r="I119" s="14" t="str">
        <f t="shared" si="1"/>
        <v/>
      </c>
      <c r="J119" s="175"/>
      <c r="K119" s="175"/>
      <c r="L119" s="175"/>
      <c r="M119" s="176"/>
    </row>
    <row r="120" spans="1:13" hidden="1" x14ac:dyDescent="0.25">
      <c r="A120" s="232" t="s">
        <v>0</v>
      </c>
      <c r="F120" s="396">
        <v>13</v>
      </c>
      <c r="G120" s="175"/>
      <c r="H120" s="175"/>
      <c r="I120" s="14" t="str">
        <f t="shared" si="1"/>
        <v/>
      </c>
      <c r="J120" s="175"/>
      <c r="K120" s="175"/>
      <c r="L120" s="175"/>
      <c r="M120" s="176"/>
    </row>
    <row r="121" spans="1:13" hidden="1" x14ac:dyDescent="0.25">
      <c r="A121" s="232" t="s">
        <v>0</v>
      </c>
      <c r="F121" s="396">
        <v>14</v>
      </c>
      <c r="G121" s="175"/>
      <c r="H121" s="175"/>
      <c r="I121" s="14" t="str">
        <f t="shared" si="1"/>
        <v/>
      </c>
      <c r="J121" s="175"/>
      <c r="K121" s="175"/>
      <c r="L121" s="175"/>
      <c r="M121" s="176"/>
    </row>
    <row r="122" spans="1:13" hidden="1" x14ac:dyDescent="0.25">
      <c r="A122" s="232" t="s">
        <v>0</v>
      </c>
      <c r="F122" s="396">
        <v>15</v>
      </c>
      <c r="G122" s="175"/>
      <c r="H122" s="175"/>
      <c r="I122" s="14" t="str">
        <f t="shared" si="1"/>
        <v/>
      </c>
      <c r="J122" s="175"/>
      <c r="K122" s="175"/>
      <c r="L122" s="175"/>
      <c r="M122" s="176"/>
    </row>
    <row r="123" spans="1:13" hidden="1" x14ac:dyDescent="0.25">
      <c r="A123" s="232" t="s">
        <v>0</v>
      </c>
      <c r="F123" s="396">
        <v>16</v>
      </c>
      <c r="G123" s="175"/>
      <c r="H123" s="175"/>
      <c r="I123" s="14" t="str">
        <f t="shared" si="1"/>
        <v/>
      </c>
      <c r="J123" s="175"/>
      <c r="K123" s="175"/>
      <c r="L123" s="175"/>
      <c r="M123" s="176"/>
    </row>
    <row r="124" spans="1:13" hidden="1" x14ac:dyDescent="0.25">
      <c r="A124" s="232" t="s">
        <v>0</v>
      </c>
      <c r="F124" s="396">
        <v>17</v>
      </c>
      <c r="G124" s="175"/>
      <c r="H124" s="175"/>
      <c r="I124" s="14" t="str">
        <f t="shared" si="1"/>
        <v/>
      </c>
      <c r="J124" s="175"/>
      <c r="K124" s="175"/>
      <c r="L124" s="175"/>
      <c r="M124" s="176"/>
    </row>
    <row r="125" spans="1:13" hidden="1" x14ac:dyDescent="0.25">
      <c r="A125" s="232" t="s">
        <v>0</v>
      </c>
      <c r="F125" s="396">
        <v>18</v>
      </c>
      <c r="G125" s="175"/>
      <c r="H125" s="175"/>
      <c r="I125" s="14" t="str">
        <f t="shared" si="1"/>
        <v/>
      </c>
      <c r="J125" s="175"/>
      <c r="K125" s="175"/>
      <c r="L125" s="175"/>
      <c r="M125" s="176"/>
    </row>
    <row r="126" spans="1:13" hidden="1" x14ac:dyDescent="0.25">
      <c r="A126" s="232" t="s">
        <v>0</v>
      </c>
      <c r="F126" s="396">
        <v>19</v>
      </c>
      <c r="G126" s="175"/>
      <c r="H126" s="175"/>
      <c r="I126" s="14" t="str">
        <f t="shared" si="1"/>
        <v/>
      </c>
      <c r="J126" s="175"/>
      <c r="K126" s="175"/>
      <c r="L126" s="175"/>
      <c r="M126" s="176"/>
    </row>
    <row r="127" spans="1:13" hidden="1" x14ac:dyDescent="0.25">
      <c r="A127" s="232" t="s">
        <v>0</v>
      </c>
      <c r="F127" s="396">
        <v>20</v>
      </c>
      <c r="G127" s="175"/>
      <c r="H127" s="175"/>
      <c r="I127" s="14" t="str">
        <f t="shared" si="1"/>
        <v/>
      </c>
      <c r="J127" s="175"/>
      <c r="K127" s="175"/>
      <c r="L127" s="175"/>
      <c r="M127" s="176"/>
    </row>
    <row r="128" spans="1:13" hidden="1" x14ac:dyDescent="0.25">
      <c r="A128" s="232" t="s">
        <v>0</v>
      </c>
      <c r="F128" s="396"/>
      <c r="G128" s="175"/>
      <c r="H128" s="175"/>
      <c r="I128" s="14"/>
      <c r="J128" s="175"/>
      <c r="K128" s="175"/>
      <c r="L128" s="175"/>
      <c r="M128" s="176"/>
    </row>
    <row r="129" spans="1:13" hidden="1" x14ac:dyDescent="0.25">
      <c r="A129" s="232" t="s">
        <v>0</v>
      </c>
      <c r="F129" s="396"/>
      <c r="G129" s="175"/>
      <c r="H129" s="175"/>
      <c r="I129" s="14"/>
      <c r="J129" s="175"/>
      <c r="K129" s="175"/>
      <c r="L129" s="175"/>
      <c r="M129" s="176"/>
    </row>
    <row r="130" spans="1:13" hidden="1" x14ac:dyDescent="0.25">
      <c r="A130" s="232" t="s">
        <v>0</v>
      </c>
      <c r="F130" s="396"/>
      <c r="G130" s="175"/>
      <c r="H130" s="175"/>
      <c r="I130" s="14"/>
      <c r="J130" s="175"/>
      <c r="K130" s="175"/>
      <c r="L130" s="175"/>
      <c r="M130" s="176"/>
    </row>
    <row r="131" spans="1:13" hidden="1" x14ac:dyDescent="0.25">
      <c r="A131" s="232" t="s">
        <v>0</v>
      </c>
      <c r="F131" s="396"/>
      <c r="G131" s="175"/>
      <c r="H131" s="175"/>
      <c r="I131" s="14"/>
      <c r="J131" s="175"/>
      <c r="K131" s="175"/>
      <c r="L131" s="175"/>
      <c r="M131" s="176"/>
    </row>
    <row r="132" spans="1:13" ht="13" hidden="1" thickBot="1" x14ac:dyDescent="0.3">
      <c r="A132" s="232" t="s">
        <v>0</v>
      </c>
      <c r="F132" s="397"/>
      <c r="G132" s="178"/>
      <c r="H132" s="178"/>
      <c r="I132" s="15"/>
      <c r="J132" s="178"/>
      <c r="K132" s="178"/>
      <c r="L132" s="178"/>
      <c r="M132" s="179"/>
    </row>
    <row r="133" spans="1:13" hidden="1" x14ac:dyDescent="0.25">
      <c r="A133" s="232" t="s">
        <v>0</v>
      </c>
    </row>
  </sheetData>
  <sheetProtection formatCells="0" formatColumns="0" formatRows="0"/>
  <mergeCells count="346">
    <mergeCell ref="E11:N11"/>
    <mergeCell ref="E12:N12"/>
    <mergeCell ref="D42:N42"/>
    <mergeCell ref="E21:N21"/>
    <mergeCell ref="E22:N22"/>
    <mergeCell ref="F32:N32"/>
    <mergeCell ref="G25:H25"/>
    <mergeCell ref="D68:D69"/>
    <mergeCell ref="E68:F68"/>
    <mergeCell ref="G68:H68"/>
    <mergeCell ref="I68:J68"/>
    <mergeCell ref="K68:L68"/>
    <mergeCell ref="M68:N68"/>
    <mergeCell ref="E69:F69"/>
    <mergeCell ref="G69:H69"/>
    <mergeCell ref="I69:J69"/>
    <mergeCell ref="K69:L69"/>
    <mergeCell ref="M69:N69"/>
    <mergeCell ref="D66:D67"/>
    <mergeCell ref="E66:F66"/>
    <mergeCell ref="G66:H66"/>
    <mergeCell ref="I66:J66"/>
    <mergeCell ref="K66:L66"/>
    <mergeCell ref="M66:N66"/>
    <mergeCell ref="E67:F67"/>
    <mergeCell ref="G67:H67"/>
    <mergeCell ref="I67:J67"/>
    <mergeCell ref="K67:L67"/>
    <mergeCell ref="M67:N67"/>
    <mergeCell ref="D64:D65"/>
    <mergeCell ref="E64:F64"/>
    <mergeCell ref="G64:H64"/>
    <mergeCell ref="I64:J64"/>
    <mergeCell ref="K64:L64"/>
    <mergeCell ref="M64:N64"/>
    <mergeCell ref="E65:F65"/>
    <mergeCell ref="G65:H65"/>
    <mergeCell ref="I65:J65"/>
    <mergeCell ref="K65:L65"/>
    <mergeCell ref="M65:N65"/>
    <mergeCell ref="D62:D63"/>
    <mergeCell ref="E62:F62"/>
    <mergeCell ref="G62:H62"/>
    <mergeCell ref="I62:J62"/>
    <mergeCell ref="K62:L62"/>
    <mergeCell ref="M62:N62"/>
    <mergeCell ref="E63:F63"/>
    <mergeCell ref="G63:H63"/>
    <mergeCell ref="I63:J63"/>
    <mergeCell ref="K63:L63"/>
    <mergeCell ref="M63:N63"/>
    <mergeCell ref="D60:D61"/>
    <mergeCell ref="E60:F60"/>
    <mergeCell ref="G60:H60"/>
    <mergeCell ref="I60:J60"/>
    <mergeCell ref="K60:L60"/>
    <mergeCell ref="M60:N60"/>
    <mergeCell ref="E61:F61"/>
    <mergeCell ref="G61:H61"/>
    <mergeCell ref="I61:J61"/>
    <mergeCell ref="K61:L61"/>
    <mergeCell ref="M61:N61"/>
    <mergeCell ref="D58:D59"/>
    <mergeCell ref="E58:F58"/>
    <mergeCell ref="G58:H58"/>
    <mergeCell ref="I58:J58"/>
    <mergeCell ref="K58:L58"/>
    <mergeCell ref="M58:N58"/>
    <mergeCell ref="E59:F59"/>
    <mergeCell ref="G59:H59"/>
    <mergeCell ref="I59:J59"/>
    <mergeCell ref="K59:L59"/>
    <mergeCell ref="M59:N59"/>
    <mergeCell ref="D56:D57"/>
    <mergeCell ref="E56:F56"/>
    <mergeCell ref="G56:H56"/>
    <mergeCell ref="I56:J56"/>
    <mergeCell ref="K56:L56"/>
    <mergeCell ref="M56:N56"/>
    <mergeCell ref="E57:F57"/>
    <mergeCell ref="G57:H57"/>
    <mergeCell ref="I57:J57"/>
    <mergeCell ref="K57:L57"/>
    <mergeCell ref="M57:N57"/>
    <mergeCell ref="D54:D55"/>
    <mergeCell ref="E54:F54"/>
    <mergeCell ref="G54:H54"/>
    <mergeCell ref="I54:J54"/>
    <mergeCell ref="K54:L54"/>
    <mergeCell ref="M54:N54"/>
    <mergeCell ref="E55:F55"/>
    <mergeCell ref="G55:H55"/>
    <mergeCell ref="I55:J55"/>
    <mergeCell ref="K55:L55"/>
    <mergeCell ref="M55:N55"/>
    <mergeCell ref="D52:D53"/>
    <mergeCell ref="E52:F52"/>
    <mergeCell ref="G52:H52"/>
    <mergeCell ref="I52:J52"/>
    <mergeCell ref="K52:L52"/>
    <mergeCell ref="M52:N52"/>
    <mergeCell ref="E53:F53"/>
    <mergeCell ref="G53:H53"/>
    <mergeCell ref="I53:J53"/>
    <mergeCell ref="K53:L53"/>
    <mergeCell ref="M53:N53"/>
    <mergeCell ref="D50:D51"/>
    <mergeCell ref="E50:F50"/>
    <mergeCell ref="G50:H50"/>
    <mergeCell ref="I50:J50"/>
    <mergeCell ref="K50:L50"/>
    <mergeCell ref="M50:N50"/>
    <mergeCell ref="E51:F51"/>
    <mergeCell ref="G51:H51"/>
    <mergeCell ref="I51:J51"/>
    <mergeCell ref="K51:L51"/>
    <mergeCell ref="M51:N51"/>
    <mergeCell ref="G47:H47"/>
    <mergeCell ref="I47:J47"/>
    <mergeCell ref="K47:L47"/>
    <mergeCell ref="M47:N47"/>
    <mergeCell ref="D48:D49"/>
    <mergeCell ref="E48:F48"/>
    <mergeCell ref="G48:H48"/>
    <mergeCell ref="I48:J48"/>
    <mergeCell ref="K48:L48"/>
    <mergeCell ref="M48:N48"/>
    <mergeCell ref="E49:F49"/>
    <mergeCell ref="G49:H49"/>
    <mergeCell ref="I49:J49"/>
    <mergeCell ref="K49:L49"/>
    <mergeCell ref="M49:N49"/>
    <mergeCell ref="G46:H46"/>
    <mergeCell ref="I46:J46"/>
    <mergeCell ref="K46:L46"/>
    <mergeCell ref="M46:N46"/>
    <mergeCell ref="I25:J25"/>
    <mergeCell ref="K25:L25"/>
    <mergeCell ref="M25:N25"/>
    <mergeCell ref="G26:H26"/>
    <mergeCell ref="I26:J26"/>
    <mergeCell ref="K26:L26"/>
    <mergeCell ref="M28:N28"/>
    <mergeCell ref="I37:J37"/>
    <mergeCell ref="K37:L37"/>
    <mergeCell ref="G34:H34"/>
    <mergeCell ref="I34:J34"/>
    <mergeCell ref="K34:L34"/>
    <mergeCell ref="M34:N34"/>
    <mergeCell ref="I35:J35"/>
    <mergeCell ref="K35:L35"/>
    <mergeCell ref="M35:N35"/>
    <mergeCell ref="F40:N40"/>
    <mergeCell ref="D27:D28"/>
    <mergeCell ref="E27:F27"/>
    <mergeCell ref="G27:H27"/>
    <mergeCell ref="I27:J27"/>
    <mergeCell ref="K27:L27"/>
    <mergeCell ref="M27:N27"/>
    <mergeCell ref="E28:F28"/>
    <mergeCell ref="G28:H28"/>
    <mergeCell ref="I28:J28"/>
    <mergeCell ref="K28:L28"/>
    <mergeCell ref="E13:N13"/>
    <mergeCell ref="I44:N44"/>
    <mergeCell ref="F24:N24"/>
    <mergeCell ref="G33:H33"/>
    <mergeCell ref="I33:J33"/>
    <mergeCell ref="K33:L33"/>
    <mergeCell ref="M33:N33"/>
    <mergeCell ref="F31:N31"/>
    <mergeCell ref="M26:N26"/>
    <mergeCell ref="D71:N71"/>
    <mergeCell ref="I73:N73"/>
    <mergeCell ref="G75:H75"/>
    <mergeCell ref="I75:J75"/>
    <mergeCell ref="K75:L75"/>
    <mergeCell ref="M75:N75"/>
    <mergeCell ref="F16:N16"/>
    <mergeCell ref="M37:N37"/>
    <mergeCell ref="E38:F38"/>
    <mergeCell ref="G38:H38"/>
    <mergeCell ref="I38:J38"/>
    <mergeCell ref="K38:L38"/>
    <mergeCell ref="M38:N38"/>
    <mergeCell ref="E36:F36"/>
    <mergeCell ref="G36:H36"/>
    <mergeCell ref="I36:J36"/>
    <mergeCell ref="K36:L36"/>
    <mergeCell ref="M36:N36"/>
    <mergeCell ref="D37:D38"/>
    <mergeCell ref="E37:F37"/>
    <mergeCell ref="G37:H37"/>
    <mergeCell ref="D35:D36"/>
    <mergeCell ref="E35:F35"/>
    <mergeCell ref="G35:H35"/>
    <mergeCell ref="G76:H76"/>
    <mergeCell ref="I76:J76"/>
    <mergeCell ref="K76:L76"/>
    <mergeCell ref="M76:N76"/>
    <mergeCell ref="D77:D78"/>
    <mergeCell ref="E77:F77"/>
    <mergeCell ref="G77:H77"/>
    <mergeCell ref="I77:J77"/>
    <mergeCell ref="K77:L77"/>
    <mergeCell ref="M77:N77"/>
    <mergeCell ref="M80:N80"/>
    <mergeCell ref="E78:F78"/>
    <mergeCell ref="G78:H78"/>
    <mergeCell ref="I78:J78"/>
    <mergeCell ref="K78:L78"/>
    <mergeCell ref="M78:N78"/>
    <mergeCell ref="D79:D80"/>
    <mergeCell ref="E79:F79"/>
    <mergeCell ref="G79:H79"/>
    <mergeCell ref="I79:J79"/>
    <mergeCell ref="K79:L79"/>
    <mergeCell ref="D81:D82"/>
    <mergeCell ref="E81:F81"/>
    <mergeCell ref="G81:H81"/>
    <mergeCell ref="I81:J81"/>
    <mergeCell ref="K81:L81"/>
    <mergeCell ref="M81:N81"/>
    <mergeCell ref="E82:F82"/>
    <mergeCell ref="G82:H82"/>
    <mergeCell ref="I82:J82"/>
    <mergeCell ref="K82:L82"/>
    <mergeCell ref="D83:D84"/>
    <mergeCell ref="E83:F83"/>
    <mergeCell ref="G83:H83"/>
    <mergeCell ref="I83:J83"/>
    <mergeCell ref="K83:L83"/>
    <mergeCell ref="M83:N83"/>
    <mergeCell ref="E84:F84"/>
    <mergeCell ref="G84:H84"/>
    <mergeCell ref="I84:J84"/>
    <mergeCell ref="D89:D90"/>
    <mergeCell ref="E89:F89"/>
    <mergeCell ref="G89:H89"/>
    <mergeCell ref="I89:J89"/>
    <mergeCell ref="K89:L89"/>
    <mergeCell ref="M89:N89"/>
    <mergeCell ref="I86:J86"/>
    <mergeCell ref="K86:L86"/>
    <mergeCell ref="M86:N86"/>
    <mergeCell ref="D87:D88"/>
    <mergeCell ref="E87:F87"/>
    <mergeCell ref="G87:H87"/>
    <mergeCell ref="I87:J87"/>
    <mergeCell ref="K87:L87"/>
    <mergeCell ref="M87:N87"/>
    <mergeCell ref="E88:F88"/>
    <mergeCell ref="D85:D86"/>
    <mergeCell ref="E85:F85"/>
    <mergeCell ref="G85:H85"/>
    <mergeCell ref="I85:J85"/>
    <mergeCell ref="K85:L85"/>
    <mergeCell ref="M85:N85"/>
    <mergeCell ref="E86:F86"/>
    <mergeCell ref="G86:H86"/>
    <mergeCell ref="M3:N3"/>
    <mergeCell ref="E4:F4"/>
    <mergeCell ref="G4:H4"/>
    <mergeCell ref="I4:J4"/>
    <mergeCell ref="K4:L4"/>
    <mergeCell ref="M4:N4"/>
    <mergeCell ref="B2:D4"/>
    <mergeCell ref="E2:F2"/>
    <mergeCell ref="G2:H2"/>
    <mergeCell ref="I2:J2"/>
    <mergeCell ref="K2:L2"/>
    <mergeCell ref="M2:N2"/>
    <mergeCell ref="E3:F3"/>
    <mergeCell ref="G3:H3"/>
    <mergeCell ref="I3:J3"/>
    <mergeCell ref="K3:L3"/>
    <mergeCell ref="D93:D94"/>
    <mergeCell ref="E93:F93"/>
    <mergeCell ref="G93:H93"/>
    <mergeCell ref="I93:J93"/>
    <mergeCell ref="K93:L93"/>
    <mergeCell ref="F23:N23"/>
    <mergeCell ref="F30:N30"/>
    <mergeCell ref="C6:N6"/>
    <mergeCell ref="D8:N8"/>
    <mergeCell ref="E10:N10"/>
    <mergeCell ref="M91:N91"/>
    <mergeCell ref="E92:F92"/>
    <mergeCell ref="G92:H92"/>
    <mergeCell ref="I92:J92"/>
    <mergeCell ref="K92:L92"/>
    <mergeCell ref="M92:N92"/>
    <mergeCell ref="E15:N15"/>
    <mergeCell ref="E90:F90"/>
    <mergeCell ref="G90:H90"/>
    <mergeCell ref="I90:J90"/>
    <mergeCell ref="K90:L90"/>
    <mergeCell ref="M90:N90"/>
    <mergeCell ref="D91:D92"/>
    <mergeCell ref="E91:F91"/>
    <mergeCell ref="M93:N93"/>
    <mergeCell ref="E94:F94"/>
    <mergeCell ref="G94:H94"/>
    <mergeCell ref="I94:J94"/>
    <mergeCell ref="K94:L94"/>
    <mergeCell ref="M94:N94"/>
    <mergeCell ref="F17:N17"/>
    <mergeCell ref="F18:N18"/>
    <mergeCell ref="F19:N19"/>
    <mergeCell ref="G91:H91"/>
    <mergeCell ref="I91:J91"/>
    <mergeCell ref="K91:L91"/>
    <mergeCell ref="G88:H88"/>
    <mergeCell ref="I88:J88"/>
    <mergeCell ref="K88:L88"/>
    <mergeCell ref="M88:N88"/>
    <mergeCell ref="K84:L84"/>
    <mergeCell ref="M84:N84"/>
    <mergeCell ref="M82:N82"/>
    <mergeCell ref="M79:N79"/>
    <mergeCell ref="E80:F80"/>
    <mergeCell ref="G80:H80"/>
    <mergeCell ref="I80:J80"/>
    <mergeCell ref="K80:L80"/>
    <mergeCell ref="K98:L98"/>
    <mergeCell ref="M98:N98"/>
    <mergeCell ref="M96:N96"/>
    <mergeCell ref="D97:D98"/>
    <mergeCell ref="E97:F97"/>
    <mergeCell ref="G97:H97"/>
    <mergeCell ref="I97:J97"/>
    <mergeCell ref="K97:L97"/>
    <mergeCell ref="M97:N97"/>
    <mergeCell ref="E98:F98"/>
    <mergeCell ref="G98:H98"/>
    <mergeCell ref="I98:J98"/>
    <mergeCell ref="D95:D96"/>
    <mergeCell ref="E95:F95"/>
    <mergeCell ref="G95:H95"/>
    <mergeCell ref="I95:J95"/>
    <mergeCell ref="K95:L95"/>
    <mergeCell ref="M95:N95"/>
    <mergeCell ref="E96:F96"/>
    <mergeCell ref="G96:H96"/>
    <mergeCell ref="I96:J96"/>
    <mergeCell ref="K96:L96"/>
  </mergeCells>
  <conditionalFormatting sqref="G48:N69 G77:N98">
    <cfRule type="expression" dxfId="51" priority="1" stopIfTrue="1">
      <formula>$W48</formula>
    </cfRule>
  </conditionalFormatting>
  <dataValidations count="1">
    <dataValidation type="list" allowBlank="1" showInputMessage="1" showErrorMessage="1" sqref="I44:N44 I73:N73" xr:uid="{00000000-0002-0000-0700-000000000000}">
      <formula1>INDIRECT($M$108)</formula1>
    </dataValidation>
  </dataValidations>
  <hyperlinks>
    <hyperlink ref="G3:H3" location="JUMP_K_14" display="Management" xr:uid="{00000000-0004-0000-0700-000000000000}"/>
    <hyperlink ref="I3:J3" location="JUMP_K_15" display="Data flow activities" xr:uid="{00000000-0004-0000-0700-000001000000}"/>
    <hyperlink ref="G4:H4" location="JUMP_K_17" display="Definitions and abbreviations" xr:uid="{00000000-0004-0000-0700-000002000000}"/>
    <hyperlink ref="I4:J4" location="JUMP_K_18" display="Additional information" xr:uid="{00000000-0004-0000-0700-000003000000}"/>
    <hyperlink ref="K4:L4" location="JUMP_K_19" display="Changes in operation" xr:uid="{00000000-0004-0000-0700-000004000000}"/>
    <hyperlink ref="G2:H2" location="JUMP_a_Content" display="Table of contents" xr:uid="{00000000-0004-0000-0700-000005000000}"/>
    <hyperlink ref="K3:L3" location="JUMP_K_15" display="Data flow activities" xr:uid="{00000000-0004-0000-0700-000006000000}"/>
  </hyperlinks>
  <pageMargins left="0.78740157480314965" right="0.78740157480314965" top="0.78740157480314965" bottom="0.78740157480314965" header="0.39370078740157483" footer="0.39370078740157483"/>
  <pageSetup paperSize="9" scale="59" fitToHeight="10" orientation="portrait" copies="2" r:id="rId1"/>
  <headerFooter alignWithMargins="0">
    <oddHeader>&amp;L&amp;F, &amp;A&amp;R&amp;D, &amp;T</oddHeader>
    <oddFooter>&amp;C&amp;P / &amp;N</oddFooter>
  </headerFooter>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tabColor indexed="9"/>
    <pageSetUpPr fitToPage="1"/>
  </sheetPr>
  <dimension ref="A1:O72"/>
  <sheetViews>
    <sheetView workbookViewId="0">
      <selection activeCell="J84" sqref="J84"/>
    </sheetView>
  </sheetViews>
  <sheetFormatPr defaultColWidth="9.1796875" defaultRowHeight="12.5" x14ac:dyDescent="0.25"/>
  <cols>
    <col min="1" max="1" width="3.1796875" style="4" customWidth="1"/>
    <col min="2" max="2" width="4.1796875" style="4" customWidth="1"/>
    <col min="3" max="13" width="12.7265625" style="4" customWidth="1"/>
    <col min="14" max="14" width="5.7265625" style="292" customWidth="1"/>
    <col min="15" max="15" width="9.1796875" style="254" hidden="1" customWidth="1"/>
    <col min="16" max="16384" width="9.1796875" style="4"/>
  </cols>
  <sheetData>
    <row r="1" spans="1:15" ht="13.5" customHeight="1" thickBot="1" x14ac:dyDescent="0.35">
      <c r="A1" s="859" t="str">
        <f>Translations!$B$500</f>
        <v>E. Lisätiedot</v>
      </c>
      <c r="B1" s="1082"/>
      <c r="C1" s="1083"/>
      <c r="D1" s="873" t="str">
        <f>Translations!$B$13</f>
        <v>Navigointialue:</v>
      </c>
      <c r="E1" s="874"/>
      <c r="F1" s="938" t="str">
        <f>Translations!$B$14</f>
        <v>Sisällysluettelo</v>
      </c>
      <c r="G1" s="939"/>
      <c r="H1" s="875" t="str">
        <f ca="1">HYPERLINK("#"&amp;INDEX('ei koske 2024'!$R$4:$R$45,MATCH(INDEX('ei koske 2024'!$T$4:$T$45,MATCH($O$2,'ei koske 2024'!$S$4:$S$45,0))-1,'ei koske 2024'!$T$4:$T$45,0)),EUconst_PreviousSheet)</f>
        <v>Edellinen välilehti</v>
      </c>
      <c r="I1" s="876"/>
      <c r="J1" s="875" t="str">
        <f ca="1">HYPERLINK("#"&amp;INDEX('ei koske 2024'!$R$4:$R$45,MATCH(INDEX('ei koske 2024'!$T$4:$T$45,MATCH($O$2,'ei koske 2024'!$S$4:$S$45,0))+1,'ei koske 2024'!$T$4:$T$45,0)),EUconst_NextSheet)</f>
        <v>Seuraava välilehti</v>
      </c>
      <c r="K1" s="876"/>
      <c r="L1" s="870" t="str">
        <f ca="1">HYPERLINK("#"&amp;'ei koske 2024'!$R$42,INDIRECT('ei koske 2024'!$R$42))</f>
        <v>G. Yhteenveto</v>
      </c>
      <c r="M1" s="871"/>
      <c r="O1" s="254" t="s">
        <v>0</v>
      </c>
    </row>
    <row r="2" spans="1:15" ht="12.75" customHeight="1" x14ac:dyDescent="0.25">
      <c r="A2" s="1084"/>
      <c r="B2" s="1085"/>
      <c r="C2" s="1086"/>
      <c r="D2" s="858"/>
      <c r="E2" s="858"/>
      <c r="F2" s="1252"/>
      <c r="G2" s="1253"/>
      <c r="H2" s="1254"/>
      <c r="I2" s="1255"/>
      <c r="J2" s="1254"/>
      <c r="K2" s="1255"/>
      <c r="L2" s="958"/>
      <c r="M2" s="959"/>
      <c r="O2" s="620" t="str">
        <f ca="1">IF(ISERROR(CELL("filename",O1)),"F_AdditionalInformation",MID(CELL("filename",O1),FIND("]",CELL("filename",O1))+1,1024))</f>
        <v>E_Lisätiedot</v>
      </c>
    </row>
    <row r="3" spans="1:15" ht="13.5" customHeight="1" thickBot="1" x14ac:dyDescent="0.3">
      <c r="A3" s="1087"/>
      <c r="B3" s="1088"/>
      <c r="C3" s="1089"/>
      <c r="D3" s="858"/>
      <c r="E3" s="858"/>
      <c r="F3" s="1256"/>
      <c r="G3" s="1251"/>
      <c r="H3" s="1251"/>
      <c r="I3" s="1251"/>
      <c r="J3" s="1251"/>
      <c r="K3" s="1251"/>
      <c r="L3" s="975"/>
      <c r="M3" s="978"/>
    </row>
    <row r="4" spans="1:15" x14ac:dyDescent="0.25">
      <c r="A4" s="3"/>
      <c r="B4" s="3"/>
      <c r="C4" s="3"/>
      <c r="D4" s="3"/>
      <c r="E4" s="804"/>
      <c r="F4" s="804"/>
      <c r="G4" s="3"/>
      <c r="H4" s="3"/>
      <c r="I4" s="3"/>
      <c r="J4" s="3"/>
      <c r="K4" s="3"/>
      <c r="L4" s="3"/>
      <c r="M4" s="3"/>
    </row>
    <row r="5" spans="1:15" ht="18" x14ac:dyDescent="0.25">
      <c r="A5" s="3"/>
      <c r="B5" s="935" t="str">
        <f>Translations!$B$501</f>
        <v>E. Päästöselvitystä koskevat lisätiedot</v>
      </c>
      <c r="C5" s="935"/>
      <c r="D5" s="935"/>
      <c r="E5" s="935"/>
      <c r="F5" s="935"/>
      <c r="G5" s="935"/>
      <c r="H5" s="935"/>
      <c r="I5" s="935"/>
      <c r="J5" s="935"/>
      <c r="K5" s="3"/>
      <c r="L5" s="3"/>
      <c r="M5" s="3"/>
    </row>
    <row r="6" spans="1:15" x14ac:dyDescent="0.25">
      <c r="A6" s="3"/>
      <c r="B6" s="3"/>
      <c r="C6" s="3"/>
      <c r="D6" s="3"/>
      <c r="E6" s="3"/>
      <c r="F6" s="3"/>
      <c r="G6" s="3"/>
      <c r="H6" s="3"/>
      <c r="I6" s="3"/>
      <c r="J6" s="3"/>
      <c r="K6" s="3"/>
      <c r="L6" s="3"/>
      <c r="M6" s="3"/>
    </row>
    <row r="7" spans="1:15" s="21" customFormat="1" ht="18.75" hidden="1" customHeight="1" x14ac:dyDescent="0.25">
      <c r="A7" s="565"/>
      <c r="B7" s="24">
        <v>1</v>
      </c>
      <c r="C7" s="983" t="str">
        <f>Translations!$B$502</f>
        <v>Määritelmät ja lyhenteet</v>
      </c>
      <c r="D7" s="983"/>
      <c r="E7" s="983"/>
      <c r="F7" s="983"/>
      <c r="G7" s="983"/>
      <c r="H7" s="983"/>
      <c r="I7" s="983"/>
      <c r="J7" s="983"/>
      <c r="K7" s="983"/>
      <c r="L7" s="983"/>
      <c r="M7" s="983"/>
      <c r="N7" s="288"/>
      <c r="O7" s="277"/>
    </row>
    <row r="8" spans="1:15" ht="5.15" hidden="1" customHeight="1" x14ac:dyDescent="0.25">
      <c r="A8" s="417"/>
      <c r="B8" s="61"/>
      <c r="C8" s="7"/>
      <c r="D8" s="7"/>
      <c r="E8" s="7"/>
      <c r="F8" s="7"/>
      <c r="G8" s="7"/>
      <c r="H8" s="7"/>
      <c r="I8" s="7"/>
      <c r="J8" s="7"/>
      <c r="K8" s="3"/>
      <c r="L8" s="3"/>
      <c r="M8" s="3"/>
    </row>
    <row r="9" spans="1:15" ht="12.75" hidden="1" customHeight="1" x14ac:dyDescent="0.25">
      <c r="A9" s="417"/>
      <c r="B9" s="35"/>
      <c r="C9" s="1029" t="str">
        <f>Translations!$B$503</f>
        <v>Luettele kaikki lyhenteet tai määritelmät, joita olet käyttänyt tässä vuotuisessa päästöselvityksessä.</v>
      </c>
      <c r="D9" s="1029"/>
      <c r="E9" s="1029"/>
      <c r="F9" s="1029"/>
      <c r="G9" s="1029"/>
      <c r="H9" s="1029"/>
      <c r="I9" s="1029"/>
      <c r="J9" s="1029"/>
      <c r="K9" s="1029"/>
      <c r="L9" s="1029"/>
      <c r="M9" s="3"/>
    </row>
    <row r="10" spans="1:15" ht="5.15" hidden="1" customHeight="1" x14ac:dyDescent="0.25">
      <c r="A10" s="417"/>
      <c r="B10" s="61"/>
      <c r="C10" s="7"/>
      <c r="D10" s="7"/>
      <c r="E10" s="7"/>
      <c r="F10" s="7"/>
      <c r="G10" s="7"/>
      <c r="H10" s="7"/>
      <c r="I10" s="7"/>
      <c r="J10" s="7"/>
      <c r="K10" s="3"/>
      <c r="L10" s="3"/>
      <c r="M10" s="3"/>
    </row>
    <row r="11" spans="1:15" ht="13" hidden="1" x14ac:dyDescent="0.25">
      <c r="A11" s="417"/>
      <c r="B11" s="616"/>
      <c r="C11" s="1096" t="str">
        <f>Translations!$B$504</f>
        <v>Lyhenne</v>
      </c>
      <c r="D11" s="1267"/>
      <c r="E11" s="1096" t="str">
        <f>Translations!$B$505</f>
        <v>Määritelmä</v>
      </c>
      <c r="F11" s="1267"/>
      <c r="G11" s="1267"/>
      <c r="H11" s="1267"/>
      <c r="I11" s="1267"/>
      <c r="J11" s="1267"/>
      <c r="K11" s="1267"/>
      <c r="L11" s="1267"/>
      <c r="M11" s="3"/>
    </row>
    <row r="12" spans="1:15" hidden="1" x14ac:dyDescent="0.25">
      <c r="A12" s="417"/>
      <c r="B12" s="616"/>
      <c r="C12" s="1268"/>
      <c r="D12" s="1268"/>
      <c r="E12" s="1269"/>
      <c r="F12" s="1269"/>
      <c r="G12" s="1269"/>
      <c r="H12" s="1269"/>
      <c r="I12" s="1269"/>
      <c r="J12" s="1269"/>
      <c r="K12" s="1269"/>
      <c r="L12" s="1269"/>
      <c r="M12" s="3"/>
    </row>
    <row r="13" spans="1:15" hidden="1" x14ac:dyDescent="0.25">
      <c r="A13" s="417"/>
      <c r="B13" s="616"/>
      <c r="C13" s="1268"/>
      <c r="D13" s="1268"/>
      <c r="E13" s="1269"/>
      <c r="F13" s="1269"/>
      <c r="G13" s="1269"/>
      <c r="H13" s="1269"/>
      <c r="I13" s="1269"/>
      <c r="J13" s="1269"/>
      <c r="K13" s="1269"/>
      <c r="L13" s="1269"/>
      <c r="M13" s="3"/>
    </row>
    <row r="14" spans="1:15" hidden="1" x14ac:dyDescent="0.25">
      <c r="A14" s="417"/>
      <c r="B14" s="616"/>
      <c r="C14" s="1268"/>
      <c r="D14" s="1268"/>
      <c r="E14" s="1269"/>
      <c r="F14" s="1269"/>
      <c r="G14" s="1269"/>
      <c r="H14" s="1269"/>
      <c r="I14" s="1269"/>
      <c r="J14" s="1269"/>
      <c r="K14" s="1269"/>
      <c r="L14" s="1269"/>
      <c r="M14" s="3"/>
    </row>
    <row r="15" spans="1:15" hidden="1" x14ac:dyDescent="0.25">
      <c r="A15" s="417"/>
      <c r="B15" s="616"/>
      <c r="C15" s="1268"/>
      <c r="D15" s="1268"/>
      <c r="E15" s="1269"/>
      <c r="F15" s="1269"/>
      <c r="G15" s="1269"/>
      <c r="H15" s="1269"/>
      <c r="I15" s="1269"/>
      <c r="J15" s="1269"/>
      <c r="K15" s="1269"/>
      <c r="L15" s="1269"/>
      <c r="M15" s="3"/>
    </row>
    <row r="16" spans="1:15" hidden="1" x14ac:dyDescent="0.25">
      <c r="A16" s="417"/>
      <c r="B16" s="616"/>
      <c r="C16" s="1268"/>
      <c r="D16" s="1268"/>
      <c r="E16" s="1269"/>
      <c r="F16" s="1269"/>
      <c r="G16" s="1269"/>
      <c r="H16" s="1269"/>
      <c r="I16" s="1269"/>
      <c r="J16" s="1269"/>
      <c r="K16" s="1269"/>
      <c r="L16" s="1269"/>
      <c r="M16" s="3"/>
    </row>
    <row r="17" spans="1:15" hidden="1" x14ac:dyDescent="0.25">
      <c r="A17" s="417"/>
      <c r="B17" s="616"/>
      <c r="C17" s="1268"/>
      <c r="D17" s="1268"/>
      <c r="E17" s="1269"/>
      <c r="F17" s="1269"/>
      <c r="G17" s="1269"/>
      <c r="H17" s="1269"/>
      <c r="I17" s="1269"/>
      <c r="J17" s="1269"/>
      <c r="K17" s="1269"/>
      <c r="L17" s="1269"/>
      <c r="M17" s="3"/>
    </row>
    <row r="18" spans="1:15" hidden="1" x14ac:dyDescent="0.25">
      <c r="A18" s="417"/>
      <c r="B18" s="616"/>
      <c r="C18" s="1268"/>
      <c r="D18" s="1268"/>
      <c r="E18" s="1269"/>
      <c r="F18" s="1269"/>
      <c r="G18" s="1269"/>
      <c r="H18" s="1269"/>
      <c r="I18" s="1269"/>
      <c r="J18" s="1269"/>
      <c r="K18" s="1269"/>
      <c r="L18" s="1269"/>
      <c r="M18" s="3"/>
    </row>
    <row r="19" spans="1:15" hidden="1" x14ac:dyDescent="0.25">
      <c r="A19" s="417"/>
      <c r="B19" s="616"/>
      <c r="C19" s="1268"/>
      <c r="D19" s="1268"/>
      <c r="E19" s="1269"/>
      <c r="F19" s="1269"/>
      <c r="G19" s="1269"/>
      <c r="H19" s="1269"/>
      <c r="I19" s="1269"/>
      <c r="J19" s="1269"/>
      <c r="K19" s="1269"/>
      <c r="L19" s="1269"/>
      <c r="M19" s="3"/>
    </row>
    <row r="20" spans="1:15" hidden="1" x14ac:dyDescent="0.25">
      <c r="A20" s="417"/>
      <c r="B20" s="616"/>
      <c r="C20" s="1268"/>
      <c r="D20" s="1268"/>
      <c r="E20" s="1269"/>
      <c r="F20" s="1269"/>
      <c r="G20" s="1269"/>
      <c r="H20" s="1269"/>
      <c r="I20" s="1269"/>
      <c r="J20" s="1269"/>
      <c r="K20" s="1269"/>
      <c r="L20" s="1269"/>
      <c r="M20" s="3"/>
    </row>
    <row r="21" spans="1:15" hidden="1" x14ac:dyDescent="0.25">
      <c r="A21" s="417"/>
      <c r="B21" s="616"/>
      <c r="C21" s="1268"/>
      <c r="D21" s="1268"/>
      <c r="E21" s="1269"/>
      <c r="F21" s="1269"/>
      <c r="G21" s="1269"/>
      <c r="H21" s="1269"/>
      <c r="I21" s="1269"/>
      <c r="J21" s="1269"/>
      <c r="K21" s="1269"/>
      <c r="L21" s="1269"/>
      <c r="M21" s="3"/>
    </row>
    <row r="22" spans="1:15" hidden="1" x14ac:dyDescent="0.25">
      <c r="A22" s="417"/>
      <c r="B22" s="3"/>
      <c r="C22" s="617"/>
      <c r="D22" s="618"/>
      <c r="E22" s="618"/>
      <c r="F22" s="618"/>
      <c r="G22" s="618"/>
      <c r="H22" s="618"/>
      <c r="I22" s="618"/>
      <c r="J22" s="618"/>
      <c r="K22" s="618"/>
      <c r="L22" s="3"/>
      <c r="M22" s="3"/>
    </row>
    <row r="23" spans="1:15" s="21" customFormat="1" ht="18.75" customHeight="1" x14ac:dyDescent="0.25">
      <c r="A23" s="565"/>
      <c r="B23" s="24">
        <v>1</v>
      </c>
      <c r="C23" s="983" t="str">
        <f>Translations!$B$506</f>
        <v>Lisätiedot</v>
      </c>
      <c r="D23" s="983"/>
      <c r="E23" s="983"/>
      <c r="F23" s="983"/>
      <c r="G23" s="983"/>
      <c r="H23" s="983"/>
      <c r="I23" s="983"/>
      <c r="J23" s="983"/>
      <c r="K23" s="983"/>
      <c r="L23" s="983"/>
      <c r="M23" s="983"/>
      <c r="N23" s="288"/>
      <c r="O23" s="277"/>
    </row>
    <row r="24" spans="1:15" ht="5.15" hidden="1" customHeight="1" x14ac:dyDescent="0.25">
      <c r="A24" s="417"/>
      <c r="B24" s="61"/>
      <c r="C24" s="7"/>
      <c r="D24" s="7"/>
      <c r="E24" s="7"/>
      <c r="F24" s="7"/>
      <c r="G24" s="7"/>
      <c r="H24" s="7"/>
      <c r="I24" s="7"/>
      <c r="J24" s="7"/>
      <c r="K24" s="3"/>
      <c r="L24" s="3"/>
      <c r="M24" s="3"/>
    </row>
    <row r="25" spans="1:15" ht="25.5" hidden="1" customHeight="1" x14ac:dyDescent="0.25">
      <c r="A25" s="417"/>
      <c r="B25" s="35"/>
      <c r="C25" s="1029" t="str">
        <f>Translations!$B$507</f>
        <v>Jos annat muita tietoja, jotka haluat meidän ottavan huomioon raportissasi, kirjoita ne tähän. Anna kyseiset tiedot sähköisessä muodossa aina, kun se on mahdollista. Voit antaa tietoja Microsoft Word-, Excel- tai Adobe Acrobat -muodossa.</v>
      </c>
      <c r="D25" s="1029"/>
      <c r="E25" s="1029"/>
      <c r="F25" s="1029"/>
      <c r="G25" s="1029"/>
      <c r="H25" s="1029"/>
      <c r="I25" s="1029"/>
      <c r="J25" s="1029"/>
      <c r="K25" s="1029"/>
      <c r="L25" s="1029"/>
      <c r="M25" s="3"/>
    </row>
    <row r="26" spans="1:15" ht="25.5" hidden="1" customHeight="1" x14ac:dyDescent="0.25">
      <c r="A26" s="417"/>
      <c r="B26" s="619"/>
      <c r="C26" s="1028" t="str">
        <f>Translations!$B$508</f>
        <v>On suositeltavaa välttää tarpeettomien tietojen antamista, koska ne voivat hidastaa prosessia. Toimitettuihin lisäasiakirjoihin olisi viitattava selkeästi jäljempänä käyttäen tiedostonimiä (jos asiakirja on sähköisessä muodossa) tai asiakirjan viitenumeroita (jos asiakirja on paperilla): Kysy tarvittaessa lisätietoja toimivaltaiselta viranomaiselta.</v>
      </c>
      <c r="D26" s="1028"/>
      <c r="E26" s="1028"/>
      <c r="F26" s="1028"/>
      <c r="G26" s="1028"/>
      <c r="H26" s="1028"/>
      <c r="I26" s="1028"/>
      <c r="J26" s="1028"/>
      <c r="K26" s="1028"/>
      <c r="L26" s="1028"/>
      <c r="M26" s="3"/>
    </row>
    <row r="27" spans="1:15" ht="5.15" hidden="1" customHeight="1" x14ac:dyDescent="0.25">
      <c r="A27" s="417"/>
      <c r="B27" s="61"/>
      <c r="C27" s="7"/>
      <c r="D27" s="7"/>
      <c r="E27" s="7"/>
      <c r="F27" s="7"/>
      <c r="G27" s="7"/>
      <c r="H27" s="7"/>
      <c r="I27" s="7"/>
      <c r="J27" s="7"/>
      <c r="K27" s="3"/>
      <c r="L27" s="3"/>
      <c r="M27" s="3"/>
    </row>
    <row r="28" spans="1:15" ht="12.75" hidden="1" customHeight="1" x14ac:dyDescent="0.25">
      <c r="A28" s="417"/>
      <c r="B28" s="616"/>
      <c r="C28" s="1096" t="str">
        <f>Translations!$B$509</f>
        <v>Tiedoston nimi/viite</v>
      </c>
      <c r="D28" s="1267"/>
      <c r="E28" s="1096" t="str">
        <f>Translations!$B$510</f>
        <v>Asiakirjan kuvaus</v>
      </c>
      <c r="F28" s="1267"/>
      <c r="G28" s="1267"/>
      <c r="H28" s="1267"/>
      <c r="I28" s="1267"/>
      <c r="J28" s="1267"/>
      <c r="K28" s="1267"/>
      <c r="L28" s="1267"/>
      <c r="M28" s="3"/>
    </row>
    <row r="29" spans="1:15" hidden="1" x14ac:dyDescent="0.25">
      <c r="A29" s="417"/>
      <c r="B29" s="616"/>
      <c r="C29" s="1268"/>
      <c r="D29" s="1268"/>
      <c r="E29" s="1269"/>
      <c r="F29" s="1269"/>
      <c r="G29" s="1269"/>
      <c r="H29" s="1269"/>
      <c r="I29" s="1269"/>
      <c r="J29" s="1269"/>
      <c r="K29" s="1269"/>
      <c r="L29" s="1269"/>
      <c r="M29" s="3"/>
    </row>
    <row r="30" spans="1:15" hidden="1" x14ac:dyDescent="0.25">
      <c r="A30" s="417"/>
      <c r="B30" s="616"/>
      <c r="C30" s="1268"/>
      <c r="D30" s="1268"/>
      <c r="E30" s="1269"/>
      <c r="F30" s="1269"/>
      <c r="G30" s="1269"/>
      <c r="H30" s="1269"/>
      <c r="I30" s="1269"/>
      <c r="J30" s="1269"/>
      <c r="K30" s="1269"/>
      <c r="L30" s="1269"/>
      <c r="M30" s="3"/>
    </row>
    <row r="31" spans="1:15" hidden="1" x14ac:dyDescent="0.25">
      <c r="A31" s="417"/>
      <c r="B31" s="616"/>
      <c r="C31" s="1268"/>
      <c r="D31" s="1268"/>
      <c r="E31" s="1269"/>
      <c r="F31" s="1269"/>
      <c r="G31" s="1269"/>
      <c r="H31" s="1269"/>
      <c r="I31" s="1269"/>
      <c r="J31" s="1269"/>
      <c r="K31" s="1269"/>
      <c r="L31" s="1269"/>
      <c r="M31" s="3"/>
    </row>
    <row r="32" spans="1:15" hidden="1" x14ac:dyDescent="0.25">
      <c r="A32" s="417"/>
      <c r="B32" s="616"/>
      <c r="C32" s="1268"/>
      <c r="D32" s="1268"/>
      <c r="E32" s="1269"/>
      <c r="F32" s="1269"/>
      <c r="G32" s="1269"/>
      <c r="H32" s="1269"/>
      <c r="I32" s="1269"/>
      <c r="J32" s="1269"/>
      <c r="K32" s="1269"/>
      <c r="L32" s="1269"/>
      <c r="M32" s="3"/>
    </row>
    <row r="33" spans="1:13" hidden="1" x14ac:dyDescent="0.25">
      <c r="A33" s="417"/>
      <c r="B33" s="616"/>
      <c r="C33" s="1268"/>
      <c r="D33" s="1268"/>
      <c r="E33" s="1269"/>
      <c r="F33" s="1269"/>
      <c r="G33" s="1269"/>
      <c r="H33" s="1269"/>
      <c r="I33" s="1269"/>
      <c r="J33" s="1269"/>
      <c r="K33" s="1269"/>
      <c r="L33" s="1269"/>
      <c r="M33" s="3"/>
    </row>
    <row r="34" spans="1:13" hidden="1" x14ac:dyDescent="0.25">
      <c r="A34" s="417"/>
      <c r="B34" s="616"/>
      <c r="C34" s="1268"/>
      <c r="D34" s="1268"/>
      <c r="E34" s="1269"/>
      <c r="F34" s="1269"/>
      <c r="G34" s="1269"/>
      <c r="H34" s="1269"/>
      <c r="I34" s="1269"/>
      <c r="J34" s="1269"/>
      <c r="K34" s="1269"/>
      <c r="L34" s="1269"/>
      <c r="M34" s="3"/>
    </row>
    <row r="35" spans="1:13" hidden="1" x14ac:dyDescent="0.25">
      <c r="A35" s="417"/>
      <c r="B35" s="616"/>
      <c r="C35" s="1268"/>
      <c r="D35" s="1268"/>
      <c r="E35" s="1269"/>
      <c r="F35" s="1269"/>
      <c r="G35" s="1269"/>
      <c r="H35" s="1269"/>
      <c r="I35" s="1269"/>
      <c r="J35" s="1269"/>
      <c r="K35" s="1269"/>
      <c r="L35" s="1269"/>
      <c r="M35" s="3"/>
    </row>
    <row r="36" spans="1:13" hidden="1" x14ac:dyDescent="0.25">
      <c r="A36" s="417"/>
      <c r="B36" s="616"/>
      <c r="C36" s="1268"/>
      <c r="D36" s="1268"/>
      <c r="E36" s="1269"/>
      <c r="F36" s="1269"/>
      <c r="G36" s="1269"/>
      <c r="H36" s="1269"/>
      <c r="I36" s="1269"/>
      <c r="J36" s="1269"/>
      <c r="K36" s="1269"/>
      <c r="L36" s="1269"/>
      <c r="M36" s="3"/>
    </row>
    <row r="37" spans="1:13" hidden="1" x14ac:dyDescent="0.25">
      <c r="A37" s="417"/>
      <c r="B37" s="616"/>
      <c r="C37" s="1268"/>
      <c r="D37" s="1268"/>
      <c r="E37" s="1269"/>
      <c r="F37" s="1269"/>
      <c r="G37" s="1269"/>
      <c r="H37" s="1269"/>
      <c r="I37" s="1269"/>
      <c r="J37" s="1269"/>
      <c r="K37" s="1269"/>
      <c r="L37" s="1269"/>
      <c r="M37" s="3"/>
    </row>
    <row r="38" spans="1:13" hidden="1" x14ac:dyDescent="0.25">
      <c r="A38" s="417"/>
      <c r="B38" s="616"/>
      <c r="C38" s="1268"/>
      <c r="D38" s="1268"/>
      <c r="E38" s="1269"/>
      <c r="F38" s="1269"/>
      <c r="G38" s="1269"/>
      <c r="H38" s="1269"/>
      <c r="I38" s="1269"/>
      <c r="J38" s="1269"/>
      <c r="K38" s="1269"/>
      <c r="L38" s="1269"/>
      <c r="M38" s="3"/>
    </row>
    <row r="39" spans="1:13" ht="12.75" hidden="1" customHeight="1" x14ac:dyDescent="0.25">
      <c r="A39" s="417"/>
      <c r="B39" s="3"/>
      <c r="C39" s="616"/>
      <c r="D39" s="3"/>
      <c r="E39" s="3"/>
      <c r="F39" s="3"/>
      <c r="G39" s="3"/>
      <c r="H39" s="3"/>
      <c r="I39" s="3"/>
      <c r="J39" s="3"/>
      <c r="K39" s="3"/>
      <c r="L39" s="3"/>
      <c r="M39" s="3"/>
    </row>
    <row r="40" spans="1:13" ht="15.5" hidden="1" x14ac:dyDescent="0.35">
      <c r="A40" s="3"/>
      <c r="B40" s="42">
        <v>3</v>
      </c>
      <c r="C40" s="1266" t="str">
        <f>Translations!$B$3</f>
        <v>Huomautuksia</v>
      </c>
      <c r="D40" s="909"/>
      <c r="E40" s="909"/>
      <c r="F40" s="909"/>
      <c r="G40" s="909"/>
      <c r="H40" s="909"/>
      <c r="I40" s="909"/>
      <c r="J40" s="909"/>
      <c r="K40" s="909"/>
      <c r="L40" s="909"/>
      <c r="M40" s="909"/>
    </row>
    <row r="41" spans="1:13" x14ac:dyDescent="0.25">
      <c r="A41" s="3"/>
      <c r="B41" s="3"/>
      <c r="C41" s="3"/>
      <c r="D41" s="3"/>
      <c r="E41" s="3"/>
      <c r="F41" s="3"/>
      <c r="G41" s="3"/>
      <c r="H41" s="3"/>
      <c r="I41" s="3"/>
      <c r="J41" s="3"/>
      <c r="K41" s="3"/>
      <c r="L41" s="3"/>
      <c r="M41" s="3"/>
    </row>
    <row r="42" spans="1:13" ht="13" x14ac:dyDescent="0.25">
      <c r="A42" s="3"/>
      <c r="B42" s="881"/>
      <c r="C42" s="909"/>
      <c r="D42" s="909"/>
      <c r="E42" s="909"/>
      <c r="F42" s="909"/>
      <c r="G42" s="909"/>
      <c r="H42" s="909"/>
      <c r="I42" s="909"/>
      <c r="J42" s="909"/>
      <c r="K42" s="909"/>
      <c r="L42" s="909"/>
      <c r="M42" s="909"/>
    </row>
    <row r="43" spans="1:13" x14ac:dyDescent="0.25">
      <c r="A43" s="3"/>
      <c r="B43" s="1257"/>
      <c r="C43" s="1258"/>
      <c r="D43" s="1258"/>
      <c r="E43" s="1258"/>
      <c r="F43" s="1258"/>
      <c r="G43" s="1258"/>
      <c r="H43" s="1258"/>
      <c r="I43" s="1258"/>
      <c r="J43" s="1258"/>
      <c r="K43" s="1258"/>
      <c r="L43" s="1258"/>
      <c r="M43" s="1259"/>
    </row>
    <row r="44" spans="1:13" ht="13" x14ac:dyDescent="0.3">
      <c r="A44" s="148"/>
      <c r="B44" s="1260"/>
      <c r="C44" s="1261"/>
      <c r="D44" s="1261"/>
      <c r="E44" s="1261"/>
      <c r="F44" s="1261"/>
      <c r="G44" s="1261"/>
      <c r="H44" s="1261"/>
      <c r="I44" s="1261"/>
      <c r="J44" s="1261"/>
      <c r="K44" s="1261"/>
      <c r="L44" s="1261"/>
      <c r="M44" s="1262"/>
    </row>
    <row r="45" spans="1:13" x14ac:dyDescent="0.25">
      <c r="A45" s="3"/>
      <c r="B45" s="1260"/>
      <c r="C45" s="1261"/>
      <c r="D45" s="1261"/>
      <c r="E45" s="1261"/>
      <c r="F45" s="1261"/>
      <c r="G45" s="1261"/>
      <c r="H45" s="1261"/>
      <c r="I45" s="1261"/>
      <c r="J45" s="1261"/>
      <c r="K45" s="1261"/>
      <c r="L45" s="1261"/>
      <c r="M45" s="1262"/>
    </row>
    <row r="46" spans="1:13" x14ac:dyDescent="0.25">
      <c r="A46" s="3"/>
      <c r="B46" s="1260"/>
      <c r="C46" s="1261"/>
      <c r="D46" s="1261"/>
      <c r="E46" s="1261"/>
      <c r="F46" s="1261"/>
      <c r="G46" s="1261"/>
      <c r="H46" s="1261"/>
      <c r="I46" s="1261"/>
      <c r="J46" s="1261"/>
      <c r="K46" s="1261"/>
      <c r="L46" s="1261"/>
      <c r="M46" s="1262"/>
    </row>
    <row r="47" spans="1:13" x14ac:dyDescent="0.25">
      <c r="A47" s="3"/>
      <c r="B47" s="1260"/>
      <c r="C47" s="1261"/>
      <c r="D47" s="1261"/>
      <c r="E47" s="1261"/>
      <c r="F47" s="1261"/>
      <c r="G47" s="1261"/>
      <c r="H47" s="1261"/>
      <c r="I47" s="1261"/>
      <c r="J47" s="1261"/>
      <c r="K47" s="1261"/>
      <c r="L47" s="1261"/>
      <c r="M47" s="1262"/>
    </row>
    <row r="48" spans="1:13" x14ac:dyDescent="0.25">
      <c r="A48" s="3"/>
      <c r="B48" s="1260"/>
      <c r="C48" s="1261"/>
      <c r="D48" s="1261"/>
      <c r="E48" s="1261"/>
      <c r="F48" s="1261"/>
      <c r="G48" s="1261"/>
      <c r="H48" s="1261"/>
      <c r="I48" s="1261"/>
      <c r="J48" s="1261"/>
      <c r="K48" s="1261"/>
      <c r="L48" s="1261"/>
      <c r="M48" s="1262"/>
    </row>
    <row r="49" spans="1:13" x14ac:dyDescent="0.25">
      <c r="A49" s="3"/>
      <c r="B49" s="1260"/>
      <c r="C49" s="1261"/>
      <c r="D49" s="1261"/>
      <c r="E49" s="1261"/>
      <c r="F49" s="1261"/>
      <c r="G49" s="1261"/>
      <c r="H49" s="1261"/>
      <c r="I49" s="1261"/>
      <c r="J49" s="1261"/>
      <c r="K49" s="1261"/>
      <c r="L49" s="1261"/>
      <c r="M49" s="1262"/>
    </row>
    <row r="50" spans="1:13" x14ac:dyDescent="0.25">
      <c r="A50" s="3"/>
      <c r="B50" s="1260"/>
      <c r="C50" s="1261"/>
      <c r="D50" s="1261"/>
      <c r="E50" s="1261"/>
      <c r="F50" s="1261"/>
      <c r="G50" s="1261"/>
      <c r="H50" s="1261"/>
      <c r="I50" s="1261"/>
      <c r="J50" s="1261"/>
      <c r="K50" s="1261"/>
      <c r="L50" s="1261"/>
      <c r="M50" s="1262"/>
    </row>
    <row r="51" spans="1:13" x14ac:dyDescent="0.25">
      <c r="A51" s="3"/>
      <c r="B51" s="1260"/>
      <c r="C51" s="1261"/>
      <c r="D51" s="1261"/>
      <c r="E51" s="1261"/>
      <c r="F51" s="1261"/>
      <c r="G51" s="1261"/>
      <c r="H51" s="1261"/>
      <c r="I51" s="1261"/>
      <c r="J51" s="1261"/>
      <c r="K51" s="1261"/>
      <c r="L51" s="1261"/>
      <c r="M51" s="1262"/>
    </row>
    <row r="52" spans="1:13" x14ac:dyDescent="0.25">
      <c r="A52" s="3"/>
      <c r="B52" s="1260"/>
      <c r="C52" s="1261"/>
      <c r="D52" s="1261"/>
      <c r="E52" s="1261"/>
      <c r="F52" s="1261"/>
      <c r="G52" s="1261"/>
      <c r="H52" s="1261"/>
      <c r="I52" s="1261"/>
      <c r="J52" s="1261"/>
      <c r="K52" s="1261"/>
      <c r="L52" s="1261"/>
      <c r="M52" s="1262"/>
    </row>
    <row r="53" spans="1:13" x14ac:dyDescent="0.25">
      <c r="A53" s="3"/>
      <c r="B53" s="1260"/>
      <c r="C53" s="1261"/>
      <c r="D53" s="1261"/>
      <c r="E53" s="1261"/>
      <c r="F53" s="1261"/>
      <c r="G53" s="1261"/>
      <c r="H53" s="1261"/>
      <c r="I53" s="1261"/>
      <c r="J53" s="1261"/>
      <c r="K53" s="1261"/>
      <c r="L53" s="1261"/>
      <c r="M53" s="1262"/>
    </row>
    <row r="54" spans="1:13" x14ac:dyDescent="0.25">
      <c r="A54" s="3"/>
      <c r="B54" s="1260"/>
      <c r="C54" s="1261"/>
      <c r="D54" s="1261"/>
      <c r="E54" s="1261"/>
      <c r="F54" s="1261"/>
      <c r="G54" s="1261"/>
      <c r="H54" s="1261"/>
      <c r="I54" s="1261"/>
      <c r="J54" s="1261"/>
      <c r="K54" s="1261"/>
      <c r="L54" s="1261"/>
      <c r="M54" s="1262"/>
    </row>
    <row r="55" spans="1:13" x14ac:dyDescent="0.25">
      <c r="A55" s="3"/>
      <c r="B55" s="1260"/>
      <c r="C55" s="1261"/>
      <c r="D55" s="1261"/>
      <c r="E55" s="1261"/>
      <c r="F55" s="1261"/>
      <c r="G55" s="1261"/>
      <c r="H55" s="1261"/>
      <c r="I55" s="1261"/>
      <c r="J55" s="1261"/>
      <c r="K55" s="1261"/>
      <c r="L55" s="1261"/>
      <c r="M55" s="1262"/>
    </row>
    <row r="56" spans="1:13" x14ac:dyDescent="0.25">
      <c r="A56" s="3"/>
      <c r="B56" s="1260"/>
      <c r="C56" s="1261"/>
      <c r="D56" s="1261"/>
      <c r="E56" s="1261"/>
      <c r="F56" s="1261"/>
      <c r="G56" s="1261"/>
      <c r="H56" s="1261"/>
      <c r="I56" s="1261"/>
      <c r="J56" s="1261"/>
      <c r="K56" s="1261"/>
      <c r="L56" s="1261"/>
      <c r="M56" s="1262"/>
    </row>
    <row r="57" spans="1:13" x14ac:dyDescent="0.25">
      <c r="A57" s="3"/>
      <c r="B57" s="1260"/>
      <c r="C57" s="1261"/>
      <c r="D57" s="1261"/>
      <c r="E57" s="1261"/>
      <c r="F57" s="1261"/>
      <c r="G57" s="1261"/>
      <c r="H57" s="1261"/>
      <c r="I57" s="1261"/>
      <c r="J57" s="1261"/>
      <c r="K57" s="1261"/>
      <c r="L57" s="1261"/>
      <c r="M57" s="1262"/>
    </row>
    <row r="58" spans="1:13" x14ac:dyDescent="0.25">
      <c r="A58" s="3"/>
      <c r="B58" s="1260"/>
      <c r="C58" s="1261"/>
      <c r="D58" s="1261"/>
      <c r="E58" s="1261"/>
      <c r="F58" s="1261"/>
      <c r="G58" s="1261"/>
      <c r="H58" s="1261"/>
      <c r="I58" s="1261"/>
      <c r="J58" s="1261"/>
      <c r="K58" s="1261"/>
      <c r="L58" s="1261"/>
      <c r="M58" s="1262"/>
    </row>
    <row r="59" spans="1:13" x14ac:dyDescent="0.25">
      <c r="A59" s="3"/>
      <c r="B59" s="1260"/>
      <c r="C59" s="1261"/>
      <c r="D59" s="1261"/>
      <c r="E59" s="1261"/>
      <c r="F59" s="1261"/>
      <c r="G59" s="1261"/>
      <c r="H59" s="1261"/>
      <c r="I59" s="1261"/>
      <c r="J59" s="1261"/>
      <c r="K59" s="1261"/>
      <c r="L59" s="1261"/>
      <c r="M59" s="1262"/>
    </row>
    <row r="60" spans="1:13" x14ac:dyDescent="0.25">
      <c r="A60" s="3"/>
      <c r="B60" s="1260"/>
      <c r="C60" s="1261"/>
      <c r="D60" s="1261"/>
      <c r="E60" s="1261"/>
      <c r="F60" s="1261"/>
      <c r="G60" s="1261"/>
      <c r="H60" s="1261"/>
      <c r="I60" s="1261"/>
      <c r="J60" s="1261"/>
      <c r="K60" s="1261"/>
      <c r="L60" s="1261"/>
      <c r="M60" s="1262"/>
    </row>
    <row r="61" spans="1:13" x14ac:dyDescent="0.25">
      <c r="A61" s="3"/>
      <c r="B61" s="1260"/>
      <c r="C61" s="1261"/>
      <c r="D61" s="1261"/>
      <c r="E61" s="1261"/>
      <c r="F61" s="1261"/>
      <c r="G61" s="1261"/>
      <c r="H61" s="1261"/>
      <c r="I61" s="1261"/>
      <c r="J61" s="1261"/>
      <c r="K61" s="1261"/>
      <c r="L61" s="1261"/>
      <c r="M61" s="1262"/>
    </row>
    <row r="62" spans="1:13" x14ac:dyDescent="0.25">
      <c r="A62" s="3"/>
      <c r="B62" s="1260"/>
      <c r="C62" s="1261"/>
      <c r="D62" s="1261"/>
      <c r="E62" s="1261"/>
      <c r="F62" s="1261"/>
      <c r="G62" s="1261"/>
      <c r="H62" s="1261"/>
      <c r="I62" s="1261"/>
      <c r="J62" s="1261"/>
      <c r="K62" s="1261"/>
      <c r="L62" s="1261"/>
      <c r="M62" s="1262"/>
    </row>
    <row r="63" spans="1:13" x14ac:dyDescent="0.25">
      <c r="A63" s="3"/>
      <c r="B63" s="1260"/>
      <c r="C63" s="1261"/>
      <c r="D63" s="1261"/>
      <c r="E63" s="1261"/>
      <c r="F63" s="1261"/>
      <c r="G63" s="1261"/>
      <c r="H63" s="1261"/>
      <c r="I63" s="1261"/>
      <c r="J63" s="1261"/>
      <c r="K63" s="1261"/>
      <c r="L63" s="1261"/>
      <c r="M63" s="1262"/>
    </row>
    <row r="64" spans="1:13" x14ac:dyDescent="0.25">
      <c r="A64" s="3"/>
      <c r="B64" s="1260"/>
      <c r="C64" s="1261"/>
      <c r="D64" s="1261"/>
      <c r="E64" s="1261"/>
      <c r="F64" s="1261"/>
      <c r="G64" s="1261"/>
      <c r="H64" s="1261"/>
      <c r="I64" s="1261"/>
      <c r="J64" s="1261"/>
      <c r="K64" s="1261"/>
      <c r="L64" s="1261"/>
      <c r="M64" s="1262"/>
    </row>
    <row r="65" spans="1:13" x14ac:dyDescent="0.25">
      <c r="A65" s="3"/>
      <c r="B65" s="1260"/>
      <c r="C65" s="1261"/>
      <c r="D65" s="1261"/>
      <c r="E65" s="1261"/>
      <c r="F65" s="1261"/>
      <c r="G65" s="1261"/>
      <c r="H65" s="1261"/>
      <c r="I65" s="1261"/>
      <c r="J65" s="1261"/>
      <c r="K65" s="1261"/>
      <c r="L65" s="1261"/>
      <c r="M65" s="1262"/>
    </row>
    <row r="66" spans="1:13" x14ac:dyDescent="0.25">
      <c r="A66" s="3"/>
      <c r="B66" s="1260"/>
      <c r="C66" s="1261"/>
      <c r="D66" s="1261"/>
      <c r="E66" s="1261"/>
      <c r="F66" s="1261"/>
      <c r="G66" s="1261"/>
      <c r="H66" s="1261"/>
      <c r="I66" s="1261"/>
      <c r="J66" s="1261"/>
      <c r="K66" s="1261"/>
      <c r="L66" s="1261"/>
      <c r="M66" s="1262"/>
    </row>
    <row r="67" spans="1:13" x14ac:dyDescent="0.25">
      <c r="A67" s="3"/>
      <c r="B67" s="1260"/>
      <c r="C67" s="1261"/>
      <c r="D67" s="1261"/>
      <c r="E67" s="1261"/>
      <c r="F67" s="1261"/>
      <c r="G67" s="1261"/>
      <c r="H67" s="1261"/>
      <c r="I67" s="1261"/>
      <c r="J67" s="1261"/>
      <c r="K67" s="1261"/>
      <c r="L67" s="1261"/>
      <c r="M67" s="1262"/>
    </row>
    <row r="68" spans="1:13" x14ac:dyDescent="0.25">
      <c r="A68" s="3"/>
      <c r="B68" s="1263"/>
      <c r="C68" s="1264"/>
      <c r="D68" s="1264"/>
      <c r="E68" s="1264"/>
      <c r="F68" s="1264"/>
      <c r="G68" s="1264"/>
      <c r="H68" s="1264"/>
      <c r="I68" s="1264"/>
      <c r="J68" s="1264"/>
      <c r="K68" s="1264"/>
      <c r="L68" s="1264"/>
      <c r="M68" s="1265"/>
    </row>
    <row r="69" spans="1:13" x14ac:dyDescent="0.25">
      <c r="A69" s="3"/>
      <c r="B69" s="3"/>
      <c r="C69" s="3"/>
      <c r="D69" s="3"/>
      <c r="E69" s="3"/>
      <c r="F69" s="3"/>
      <c r="G69" s="3"/>
      <c r="H69" s="3"/>
      <c r="I69" s="3"/>
      <c r="J69" s="3"/>
      <c r="K69" s="3"/>
      <c r="L69" s="3"/>
      <c r="M69" s="3"/>
    </row>
    <row r="70" spans="1:13" x14ac:dyDescent="0.25">
      <c r="A70" s="3"/>
      <c r="B70" s="3"/>
      <c r="C70" s="3"/>
      <c r="D70" s="3"/>
      <c r="E70" s="3"/>
      <c r="F70" s="3"/>
      <c r="G70" s="3"/>
      <c r="H70" s="3"/>
      <c r="I70" s="3"/>
      <c r="J70" s="3"/>
      <c r="K70" s="3"/>
      <c r="L70" s="3"/>
      <c r="M70" s="3"/>
    </row>
    <row r="71" spans="1:13" x14ac:dyDescent="0.25">
      <c r="A71" s="3"/>
      <c r="B71" s="3"/>
      <c r="C71" s="3"/>
      <c r="D71" s="3"/>
      <c r="E71" s="3"/>
      <c r="F71" s="3"/>
      <c r="G71" s="3"/>
      <c r="H71" s="3"/>
      <c r="I71" s="3"/>
      <c r="J71" s="3"/>
      <c r="K71" s="3"/>
      <c r="L71" s="3"/>
      <c r="M71" s="3"/>
    </row>
    <row r="72" spans="1:13" x14ac:dyDescent="0.25">
      <c r="A72" s="3"/>
      <c r="B72" s="3"/>
      <c r="C72" s="3"/>
      <c r="D72" s="3"/>
      <c r="E72" s="3"/>
      <c r="F72" s="3"/>
      <c r="G72" s="3"/>
      <c r="H72" s="3"/>
      <c r="J72" s="3"/>
      <c r="K72" s="3"/>
      <c r="L72" s="3"/>
      <c r="M72" s="3"/>
    </row>
  </sheetData>
  <sheetProtection sheet="1" formatCells="0" formatColumns="0" formatRows="0"/>
  <mergeCells count="69">
    <mergeCell ref="C38:D38"/>
    <mergeCell ref="E38:L38"/>
    <mergeCell ref="L1:M1"/>
    <mergeCell ref="L2:M2"/>
    <mergeCell ref="L3:M3"/>
    <mergeCell ref="C35:D35"/>
    <mergeCell ref="E35:L35"/>
    <mergeCell ref="C36:D36"/>
    <mergeCell ref="E36:L36"/>
    <mergeCell ref="C37:D37"/>
    <mergeCell ref="C31:D31"/>
    <mergeCell ref="E31:L31"/>
    <mergeCell ref="E37:L37"/>
    <mergeCell ref="C32:D32"/>
    <mergeCell ref="E32:L32"/>
    <mergeCell ref="C33:D33"/>
    <mergeCell ref="C23:M23"/>
    <mergeCell ref="C25:L25"/>
    <mergeCell ref="C26:L26"/>
    <mergeCell ref="E33:L33"/>
    <mergeCell ref="C34:D34"/>
    <mergeCell ref="E34:L34"/>
    <mergeCell ref="C28:D28"/>
    <mergeCell ref="E28:L28"/>
    <mergeCell ref="C29:D29"/>
    <mergeCell ref="E29:L29"/>
    <mergeCell ref="C30:D30"/>
    <mergeCell ref="E30:L30"/>
    <mergeCell ref="C19:D19"/>
    <mergeCell ref="E19:L19"/>
    <mergeCell ref="C20:D20"/>
    <mergeCell ref="E20:L20"/>
    <mergeCell ref="C21:D21"/>
    <mergeCell ref="E21:L21"/>
    <mergeCell ref="C16:D16"/>
    <mergeCell ref="E16:L16"/>
    <mergeCell ref="C17:D17"/>
    <mergeCell ref="E17:L17"/>
    <mergeCell ref="C18:D18"/>
    <mergeCell ref="E18:L18"/>
    <mergeCell ref="B43:M68"/>
    <mergeCell ref="B5:J5"/>
    <mergeCell ref="C40:M40"/>
    <mergeCell ref="B42:M42"/>
    <mergeCell ref="C7:M7"/>
    <mergeCell ref="C9:L9"/>
    <mergeCell ref="C11:D11"/>
    <mergeCell ref="E11:L11"/>
    <mergeCell ref="C12:D12"/>
    <mergeCell ref="E12:L12"/>
    <mergeCell ref="C13:D13"/>
    <mergeCell ref="E13:L13"/>
    <mergeCell ref="C14:D14"/>
    <mergeCell ref="E14:L14"/>
    <mergeCell ref="C15:D15"/>
    <mergeCell ref="E15:L15"/>
    <mergeCell ref="J3:K3"/>
    <mergeCell ref="A1:C3"/>
    <mergeCell ref="D1:E1"/>
    <mergeCell ref="F1:G1"/>
    <mergeCell ref="H1:I1"/>
    <mergeCell ref="J1:K1"/>
    <mergeCell ref="D2:E2"/>
    <mergeCell ref="F2:G2"/>
    <mergeCell ref="H2:I2"/>
    <mergeCell ref="J2:K2"/>
    <mergeCell ref="D3:E3"/>
    <mergeCell ref="F3:G3"/>
    <mergeCell ref="H3:I3"/>
  </mergeCells>
  <phoneticPr fontId="9" type="noConversion"/>
  <hyperlinks>
    <hyperlink ref="F1:G1" location="JUMP_a_Content" display="Table of contents" xr:uid="{00000000-0004-0000-0800-000000000000}"/>
  </hyperlinks>
  <pageMargins left="0.78740157480314965" right="0.78740157480314965" top="0.78740157480314965" bottom="0.78740157480314965" header="0.39370078740157483" footer="0.39370078740157483"/>
  <pageSetup paperSize="9" scale="59" fitToHeight="2" orientation="portrait" r:id="rId1"/>
  <headerFooter alignWithMargins="0">
    <oddHeader>&amp;L&amp;F, &amp;A&amp;R&amp;D, &amp;T</oddHeader>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81A1B67B85D1D8439B30D9C7AFD4A886" ma:contentTypeVersion="13" ma:contentTypeDescription="Luo uusi asiakirja." ma:contentTypeScope="" ma:versionID="24ffcb2ec40e746abc667441736a6485">
  <xsd:schema xmlns:xsd="http://www.w3.org/2001/XMLSchema" xmlns:xs="http://www.w3.org/2001/XMLSchema" xmlns:p="http://schemas.microsoft.com/office/2006/metadata/properties" xmlns:ns2="8d499065-abd9-4bdd-b96d-335912bd6993" xmlns:ns3="1563a83e-021a-40f3-8a7e-1e2e9474e31f" targetNamespace="http://schemas.microsoft.com/office/2006/metadata/properties" ma:root="true" ma:fieldsID="7d12e70e7f54d031deb0c549b1bcd921" ns2:_="" ns3:_="">
    <xsd:import namespace="8d499065-abd9-4bdd-b96d-335912bd6993"/>
    <xsd:import namespace="1563a83e-021a-40f3-8a7e-1e2e9474e3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99065-abd9-4bdd-b96d-335912bd6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63a83e-021a-40f3-8a7e-1e2e9474e31f"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a1a8b4bf-ff57-4adb-8d5b-c05db208d879}" ma:internalName="TaxCatchAll" ma:showField="CatchAllData" ma:web="1563a83e-021a-40f3-8a7e-1e2e9474e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499065-abd9-4bdd-b96d-335912bd6993">
      <Terms xmlns="http://schemas.microsoft.com/office/infopath/2007/PartnerControls"/>
    </lcf76f155ced4ddcb4097134ff3c332f>
    <TaxCatchAll xmlns="1563a83e-021a-40f3-8a7e-1e2e9474e31f" xsi:nil="true"/>
  </documentManagement>
</p:properties>
</file>

<file path=customXml/itemProps1.xml><?xml version="1.0" encoding="utf-8"?>
<ds:datastoreItem xmlns:ds="http://schemas.openxmlformats.org/officeDocument/2006/customXml" ds:itemID="{BBB1EE82-6533-428B-A63C-DE36548E8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99065-abd9-4bdd-b96d-335912bd6993"/>
    <ds:schemaRef ds:uri="1563a83e-021a-40f3-8a7e-1e2e9474e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48BEAC-DD03-4E87-96AF-5A8994DA55E0}">
  <ds:schemaRefs>
    <ds:schemaRef ds:uri="http://schemas.microsoft.com/sharepoint/v3/contenttype/forms"/>
  </ds:schemaRefs>
</ds:datastoreItem>
</file>

<file path=customXml/itemProps3.xml><?xml version="1.0" encoding="utf-8"?>
<ds:datastoreItem xmlns:ds="http://schemas.openxmlformats.org/officeDocument/2006/customXml" ds:itemID="{C7FB14FE-E303-4969-A6E9-2794760295D4}">
  <ds:schemaRefs>
    <ds:schemaRef ds:uri="http://purl.org/dc/terms/"/>
    <ds:schemaRef ds:uri="http://schemas.microsoft.com/office/2006/documentManagement/types"/>
    <ds:schemaRef ds:uri="http://schemas.microsoft.com/office/2006/metadata/properties"/>
    <ds:schemaRef ds:uri="1563a83e-021a-40f3-8a7e-1e2e9474e31f"/>
    <ds:schemaRef ds:uri="http://purl.org/dc/elements/1.1/"/>
    <ds:schemaRef ds:uri="http://schemas.openxmlformats.org/package/2006/metadata/core-properties"/>
    <ds:schemaRef ds:uri="http://schemas.microsoft.com/office/infopath/2007/PartnerControls"/>
    <ds:schemaRef ds:uri="8d499065-abd9-4bdd-b96d-335912bd69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16</vt:i4>
      </vt:variant>
      <vt:variant>
        <vt:lpstr>Nimetyt alueet</vt:lpstr>
      </vt:variant>
      <vt:variant>
        <vt:i4>113</vt:i4>
      </vt:variant>
    </vt:vector>
  </HeadingPairs>
  <TitlesOfParts>
    <vt:vector size="129" baseType="lpstr">
      <vt:lpstr>ei koske 2024</vt:lpstr>
      <vt:lpstr>Ohjeet ja ehdot</vt:lpstr>
      <vt:lpstr>A_Säännellyn yhteisön tiedot</vt:lpstr>
      <vt:lpstr>B_Polttoainevirtojen tiedot</vt:lpstr>
      <vt:lpstr>C_Päästölaskenta</vt:lpstr>
      <vt:lpstr>D_Kaksoislaskennan välttäminen</vt:lpstr>
      <vt:lpstr>ei 2024 (1)</vt:lpstr>
      <vt:lpstr>ei 2024 (2)</vt:lpstr>
      <vt:lpstr>E_Lisätiedot</vt:lpstr>
      <vt:lpstr>F_Kokonaispäästöt</vt:lpstr>
      <vt:lpstr>G_Yhteenveto</vt:lpstr>
      <vt:lpstr>Translations</vt:lpstr>
      <vt:lpstr>EUwideConstants</vt:lpstr>
      <vt:lpstr>Taul1</vt:lpstr>
      <vt:lpstr>MSParameters</vt:lpstr>
      <vt:lpstr>VersionDocumentation</vt:lpstr>
      <vt:lpstr>ActivityDataTiers</vt:lpstr>
      <vt:lpstr>BiomassTiers</vt:lpstr>
      <vt:lpstr>CNTR_CalcRelevant</vt:lpstr>
      <vt:lpstr>CNTR_EmissionPointsListEPx</vt:lpstr>
      <vt:lpstr>CNTR_ReportingYear</vt:lpstr>
      <vt:lpstr>CNTR_SourceStreamListSx</vt:lpstr>
      <vt:lpstr>CNTR_SourceStreamNames</vt:lpstr>
      <vt:lpstr>CNTR_TierList</vt:lpstr>
      <vt:lpstr>CNTR_TierListColumn</vt:lpstr>
      <vt:lpstr>EFTiers</vt:lpstr>
      <vt:lpstr>EFUnits</vt:lpstr>
      <vt:lpstr>EUconst_ActivityDeterminationMethod</vt:lpstr>
      <vt:lpstr>EUconst_CNTR_ActivityData</vt:lpstr>
      <vt:lpstr>EUconst_CNTR_BiomassContent</vt:lpstr>
      <vt:lpstr>EUconst_CNTR_EF</vt:lpstr>
      <vt:lpstr>EUconst_CNTR_NoSmallEmitter</vt:lpstr>
      <vt:lpstr>EUconst_CNTR_ScopeFactor</vt:lpstr>
      <vt:lpstr>EUconst_CNTR_SmallEmitter</vt:lpstr>
      <vt:lpstr>EUconst_CNTR_SourceCategory</vt:lpstr>
      <vt:lpstr>EUconst_CNTR_SourceStreamClass</vt:lpstr>
      <vt:lpstr>EUconst_CNTR_SourceStreamName</vt:lpstr>
      <vt:lpstr>EUconst_CNTR_UCF</vt:lpstr>
      <vt:lpstr>EUconst_DefaultValues</vt:lpstr>
      <vt:lpstr>EUconst_DefaultValuesBio</vt:lpstr>
      <vt:lpstr>EUconst_ERR_CheckEstimatedEmissions</vt:lpstr>
      <vt:lpstr>EUconst_ERR_Incomplete</vt:lpstr>
      <vt:lpstr>EUconst_ERR_Inconsistent</vt:lpstr>
      <vt:lpstr>EUconst_ERR_ThreshholdDeminimis</vt:lpstr>
      <vt:lpstr>EUconst_Fuel</vt:lpstr>
      <vt:lpstr>EUconst_FuelStream</vt:lpstr>
      <vt:lpstr>EUconst_FurtherGuidancePoint1</vt:lpstr>
      <vt:lpstr>EUconst_GJ</vt:lpstr>
      <vt:lpstr>EUconst_GWhgross</vt:lpstr>
      <vt:lpstr>EUconst_IRMonth</vt:lpstr>
      <vt:lpstr>EUconst_kNm3</vt:lpstr>
      <vt:lpstr>EUconst_ListCRF</vt:lpstr>
      <vt:lpstr>EUconst_litres</vt:lpstr>
      <vt:lpstr>Euconst_MPReferenceDateTypes</vt:lpstr>
      <vt:lpstr>EUconst_MsgDeMinimis</vt:lpstr>
      <vt:lpstr>EUconst_MsgEnterThisSection</vt:lpstr>
      <vt:lpstr>EUconst_MsgGoOn</vt:lpstr>
      <vt:lpstr>EUconst_MsgNextSheet</vt:lpstr>
      <vt:lpstr>EUconst_MsgSmallEmitters</vt:lpstr>
      <vt:lpstr>EUconst_MsgTierActivityLevel</vt:lpstr>
      <vt:lpstr>EUconst_MSlist</vt:lpstr>
      <vt:lpstr>EUconst_MSlistISOcodes</vt:lpstr>
      <vt:lpstr>EUconst_NA</vt:lpstr>
      <vt:lpstr>EUconst_NextSheet</vt:lpstr>
      <vt:lpstr>EUconst_NotApplicable</vt:lpstr>
      <vt:lpstr>EUconst_NoTier</vt:lpstr>
      <vt:lpstr>EUconst_NotRelevant</vt:lpstr>
      <vt:lpstr>EUconst_OwnerInstrument</vt:lpstr>
      <vt:lpstr>EUconst_PreviousSheet</vt:lpstr>
      <vt:lpstr>EUconst_Relevant</vt:lpstr>
      <vt:lpstr>EUconst_ReportingYear</vt:lpstr>
      <vt:lpstr>EUconst_SumBioCO2</vt:lpstr>
      <vt:lpstr>EUconst_SumBioEnergyIN</vt:lpstr>
      <vt:lpstr>EUconst_SumCO2</vt:lpstr>
      <vt:lpstr>EUconst_SumEnergyIN</vt:lpstr>
      <vt:lpstr>EUconst_SumNonSustBioCO2</vt:lpstr>
      <vt:lpstr>EUconst_t</vt:lpstr>
      <vt:lpstr>EUconst_tCO2</vt:lpstr>
      <vt:lpstr>EUConst_TierActivityListNames</vt:lpstr>
      <vt:lpstr>EUconst_TJ</vt:lpstr>
      <vt:lpstr>EUconst_ToolActualAmounts</vt:lpstr>
      <vt:lpstr>EUconst_ToolBestEstimate</vt:lpstr>
      <vt:lpstr>EUconst_TrueFalse</vt:lpstr>
      <vt:lpstr>EUconst_Unit</vt:lpstr>
      <vt:lpstr>EUconst_Value</vt:lpstr>
      <vt:lpstr>Euconst_VersionTracking</vt:lpstr>
      <vt:lpstr>JUMP_a_Content</vt:lpstr>
      <vt:lpstr>JUMP_Accounting</vt:lpstr>
      <vt:lpstr>JUMP_B_2</vt:lpstr>
      <vt:lpstr>JUMP_B_3</vt:lpstr>
      <vt:lpstr>JUMP_B_4</vt:lpstr>
      <vt:lpstr>JUMP_b_Guidelines_Top</vt:lpstr>
      <vt:lpstr>JUMP_B_Top</vt:lpstr>
      <vt:lpstr>JUMP_C_Top</vt:lpstr>
      <vt:lpstr>'ei 2024 (1)'!JUMP_DG</vt:lpstr>
      <vt:lpstr>JUMP_E_Top</vt:lpstr>
      <vt:lpstr>JUMP_I_Summary</vt:lpstr>
      <vt:lpstr>'ei 2024 (2)'!JUMP_K_Top</vt:lpstr>
      <vt:lpstr>JUMP_K_Top</vt:lpstr>
      <vt:lpstr>JUMP_L_Top</vt:lpstr>
      <vt:lpstr>JUMP_Summary</vt:lpstr>
      <vt:lpstr>MeansIntermediaries</vt:lpstr>
      <vt:lpstr>MeansReleased</vt:lpstr>
      <vt:lpstr>MSPara_CalcFactors</vt:lpstr>
      <vt:lpstr>MSPara_CalcFactorsMatrix</vt:lpstr>
      <vt:lpstr>MSPara_CategoryAddress</vt:lpstr>
      <vt:lpstr>MSPara_CategoryMatrix</vt:lpstr>
      <vt:lpstr>MSPara_IsFossil</vt:lpstr>
      <vt:lpstr>MSPara_NameOptional</vt:lpstr>
      <vt:lpstr>MSPara_SourceStreamCategory</vt:lpstr>
      <vt:lpstr>NCVTiers</vt:lpstr>
      <vt:lpstr>PctUnits</vt:lpstr>
      <vt:lpstr>RFAUnits</vt:lpstr>
      <vt:lpstr>ScopeAddress</vt:lpstr>
      <vt:lpstr>ScopeMethods</vt:lpstr>
      <vt:lpstr>ScopeMethodsDetails</vt:lpstr>
      <vt:lpstr>ScopeTiers</vt:lpstr>
      <vt:lpstr>'A_Säännellyn yhteisön tiedot'!Tulostusalue</vt:lpstr>
      <vt:lpstr>'B_Polttoainevirtojen tiedot'!Tulostusalue</vt:lpstr>
      <vt:lpstr>C_Päästölaskenta!Tulostusalue</vt:lpstr>
      <vt:lpstr>'D_Kaksoislaskennan välttäminen'!Tulostusalue</vt:lpstr>
      <vt:lpstr>E_Lisätiedot!Tulostusalue</vt:lpstr>
      <vt:lpstr>'ei 2024 (1)'!Tulostusalue</vt:lpstr>
      <vt:lpstr>'ei 2024 (2)'!Tulostusalue</vt:lpstr>
      <vt:lpstr>'ei koske 2024'!Tulostusalue</vt:lpstr>
      <vt:lpstr>F_Kokonaispäästöt!Tulostusalue</vt:lpstr>
      <vt:lpstr>'Ohjeet ja ehdot'!Tulostusalue</vt:lpstr>
      <vt:lpstr>VersionDocumentation!Tulostusalue</vt:lpstr>
      <vt:lpstr>UCFUnits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Installations</dc:title>
  <dc:subject>in accordance with the Regulation pursuant to Article 14 of the EU ETS Directive</dc:subject>
  <dc:creator>Christian.Heller@umweltbundesamt.at</dc:creator>
  <cp:keywords/>
  <dc:description>The template for Monitoring plans was developed by Umweltbundesamt on behalf of DG CLIMA. _x000d_
Authors: Christian Heller / Hubert Fallmann</dc:description>
  <cp:lastModifiedBy>Elina Seppänen</cp:lastModifiedBy>
  <cp:revision/>
  <dcterms:created xsi:type="dcterms:W3CDTF">2008-05-26T08:52:55Z</dcterms:created>
  <dcterms:modified xsi:type="dcterms:W3CDTF">2025-03-25T07:19:36Z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Version">
    <vt:lpwstr>2.0</vt:lpwstr>
  </property>
  <property fmtid="{D5CDD505-2E9C-101B-9397-08002B2CF9AE}" pid="4" name="ContentTypeId">
    <vt:lpwstr>0x01010081A1B67B85D1D8439B30D9C7AFD4A886</vt:lpwstr>
  </property>
  <property fmtid="{D5CDD505-2E9C-101B-9397-08002B2CF9AE}" pid="5" name="MediaServiceImageTags">
    <vt:lpwstr/>
  </property>
</Properties>
</file>