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03060067\AppData\Local\Microsoft\Windows\INetCache\Content.Outlook\G38YJK67\"/>
    </mc:Choice>
  </mc:AlternateContent>
  <xr:revisionPtr revIDLastSave="0" documentId="13_ncr:1_{31F0A1C4-4362-412E-AAAE-8B8D8D1A5D3A}" xr6:coauthVersionLast="41" xr6:coauthVersionMax="41" xr10:uidLastSave="{00000000-0000-0000-0000-000000000000}"/>
  <bookViews>
    <workbookView xWindow="6000" yWindow="2595" windowWidth="28800" windowHeight="15435" xr2:uid="{00000000-000D-0000-FFFF-FFFF00000000}"/>
  </bookViews>
  <sheets>
    <sheet name="Lähtötiedot" sheetId="1" r:id="rId1"/>
    <sheet name="Taulukkotiedot" sheetId="2" r:id="rId2"/>
    <sheet name="Laskenta" sheetId="4" r:id="rId3"/>
    <sheet name="Taul3" sheetId="3" r:id="rId4"/>
  </sheets>
  <externalReferences>
    <externalReference r:id="rId5"/>
  </externalReferences>
  <definedNames>
    <definedName name="cosfii">Taulukkotiedot!$D$2</definedName>
    <definedName name="etäisyys">[1]Taul1!$D$3</definedName>
    <definedName name="hinta120">Taulukkotiedot!$D$6</definedName>
    <definedName name="hinta150">Taulukkotiedot!$D$7</definedName>
    <definedName name="hinta185">Taulukkotiedot!$D$8</definedName>
    <definedName name="hinta240">Taulukkotiedot!$D$9</definedName>
    <definedName name="hinta300">Taulukkotiedot!$D$10</definedName>
    <definedName name="hinta70">Taulukkotiedot!$D$4</definedName>
    <definedName name="hinta95">Taulukkotiedot!$D$5</definedName>
    <definedName name="jmrajakustannus">Taulukkotiedot!$F$35</definedName>
    <definedName name="jän.ale">Taulukkotiedot!$G$1</definedName>
    <definedName name="jännite">[1]Taul1!$D$4</definedName>
    <definedName name="jännitteenalenema">[1]Taul1!$D$2</definedName>
    <definedName name="kuorma120">Taulukkotiedot!$F$6</definedName>
    <definedName name="kuorma150">Taulukkotiedot!$F$7</definedName>
    <definedName name="kuorma185">Taulukkotiedot!$F$8</definedName>
    <definedName name="kuorma240">Taulukkotiedot!$F$9</definedName>
    <definedName name="kuorma300">Taulukkotiedot!$F$10</definedName>
    <definedName name="kuorma70">Taulukkotiedot!$F$4</definedName>
    <definedName name="kuorma95">Taulukkotiedot!$F$5</definedName>
    <definedName name="lähdonpituus">Taulukkotiedot!$G$2</definedName>
    <definedName name="maxkuorm.i1">Taulukkotiedot!$F$13</definedName>
    <definedName name="maxkuorm.i2">Taulukkotiedot!$F$14</definedName>
    <definedName name="maxkuorm.i3">Taulukkotiedot!$F$15</definedName>
    <definedName name="maxkuorm.i4">Taulukkotiedot!$F$16</definedName>
    <definedName name="maxkuorm.k1">Taulukkotiedot!$F$4</definedName>
    <definedName name="maxkuorm.k2">Taulukkotiedot!$F$5</definedName>
    <definedName name="maxkuorm.k3">Taulukkotiedot!$F$6</definedName>
    <definedName name="maxkuorm.k4">Taulukkotiedot!$F$7</definedName>
    <definedName name="maxkuorm.k5">Taulukkotiedot!$F$8</definedName>
    <definedName name="maxkuorm.k6">Taulukkotiedot!$F$9</definedName>
    <definedName name="maxkuormk7">Taulukkotiedot!$F$10</definedName>
    <definedName name="mk70.kuorma">Taulukkotiedot!$F$4</definedName>
    <definedName name="pjaxkuor120">Taulukkotiedot!$F$58</definedName>
    <definedName name="pjaxkuor150">Taulukkotiedot!$F$59</definedName>
    <definedName name="pjaxkuor185">Taulukkotiedot!$F$60</definedName>
    <definedName name="pjaxkuor240">Taulukkotiedot!$F$61</definedName>
    <definedName name="pjaxkuor25">Taulukkotiedot!$F$53</definedName>
    <definedName name="pjaxkuor300">Taulukkotiedot!$F$62</definedName>
    <definedName name="pjaxkuor35">Taulukkotiedot!$F$54</definedName>
    <definedName name="pjaxkuor50">Taulukkotiedot!$F$55</definedName>
    <definedName name="pjaxkuor70">Taulukkotiedot!$F$56</definedName>
    <definedName name="pjaxkuor95">Taulukkotiedot!$F$57</definedName>
    <definedName name="pjjänale">Taulukkotiedot!$O$2</definedName>
    <definedName name="pjjännite">Taulukkotiedot!$O$1</definedName>
    <definedName name="pjkuorma120">Taulukkotiedot!$F$50</definedName>
    <definedName name="pjkuorma25">Taulukkotiedot!$F$47</definedName>
    <definedName name="pjkuorma50">Taulukkotiedot!$F$48</definedName>
    <definedName name="pjkuorma70">Taulukkotiedot!$F$49</definedName>
    <definedName name="pjres120">Taulukkotiedot!$B$50</definedName>
    <definedName name="pjres25">Taulukkotiedot!$B$47</definedName>
    <definedName name="pjres50">Taulukkotiedot!$B$48</definedName>
    <definedName name="pjres70">Taulukkotiedot!$B$49</definedName>
    <definedName name="pjresax120">Taulukkotiedot!$B$58</definedName>
    <definedName name="pjresax150">Taulukkotiedot!$B$59</definedName>
    <definedName name="pjresax185">Taulukkotiedot!$B$60</definedName>
    <definedName name="pjresax240">Taulukkotiedot!$B$61</definedName>
    <definedName name="pjresax25">Taulukkotiedot!$B$53</definedName>
    <definedName name="pjresax300">Taulukkotiedot!$B$62</definedName>
    <definedName name="pjresax35">Taulukkotiedot!$B$54</definedName>
    <definedName name="pjresax50">Taulukkotiedot!$B$55</definedName>
    <definedName name="pjresax70">Taulukkotiedot!$B$56</definedName>
    <definedName name="pjresax95">Taulukkotiedot!$B$57</definedName>
    <definedName name="pjvaihejän">Taulukkotiedot!$R$1</definedName>
    <definedName name="pjvaihejännite">Taulukkotiedot!$O$1</definedName>
    <definedName name="pmrajakust">Taulukkotiedot!$F$23</definedName>
    <definedName name="res.120">Taulukkotiedot!$B$6</definedName>
    <definedName name="res.150">Taulukkotiedot!$B$7</definedName>
    <definedName name="res.185">Taulukkotiedot!$B$8</definedName>
    <definedName name="res.240">Taulukkotiedot!$B$9</definedName>
    <definedName name="res.300">Taulukkotiedot!$B$10</definedName>
    <definedName name="res.70">Taulukkotiedot!$B$4</definedName>
    <definedName name="res.95">Taulukkotiedot!$B$5</definedName>
    <definedName name="res.Al">Taulukkotiedot!$B$16</definedName>
    <definedName name="res.kaap.120">Taulukkotiedot!$B$5</definedName>
    <definedName name="res.kaap.185">Taulukkotiedot!$B$6</definedName>
    <definedName name="res.kaap.300">Taulukkotiedot!$B$7</definedName>
    <definedName name="res.kaap.70">Taulukkotiedot!$B$4</definedName>
    <definedName name="res.pig">Taulukkotiedot!$B$15</definedName>
    <definedName name="res.rav">Taulukkotiedot!$B$14</definedName>
    <definedName name="res.spar">Taulukkotiedot!$B$13</definedName>
    <definedName name="tehokulma">[1]Taul1!$D$1</definedName>
    <definedName name="vaihejännite">Taulukkotiedot!$I$1</definedName>
    <definedName name="yksikköhinta.120kaap">Taulukkotiedot!$D$5</definedName>
    <definedName name="yksikköhinta.185kaap">Taulukkotiedot!$D$6</definedName>
    <definedName name="yksikköhinta.300kaap">Taulukkotiedot!$D$7</definedName>
    <definedName name="yksikköhinta.70kaap">Taulukkotiedot!$D$4</definedName>
    <definedName name="yksikköhinta.Al">Taulukkotiedot!$D$16</definedName>
    <definedName name="yksikköhinta.pig">Taulukkotiedot!$D$15</definedName>
    <definedName name="yksikköhinta.rav">Taulukkotiedot!$D$14</definedName>
    <definedName name="yksikköhinta.spar">Taulukkotiedot!$D$13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 i="4" l="1"/>
  <c r="BF1" i="4"/>
  <c r="BB1" i="4"/>
  <c r="BB2" i="4"/>
  <c r="R2" i="2" l="1"/>
  <c r="O2" i="2"/>
  <c r="O1" i="2"/>
  <c r="F50" i="2" s="1"/>
  <c r="AC2" i="4" s="1"/>
  <c r="AE2" i="4"/>
  <c r="R2" i="4"/>
  <c r="F56" i="2" l="1"/>
  <c r="AJ2" i="4" s="1"/>
  <c r="F57" i="2"/>
  <c r="AK2" i="4" s="1"/>
  <c r="F60" i="2"/>
  <c r="AN2" i="4" s="1"/>
  <c r="F53" i="2"/>
  <c r="AG2" i="4" s="1"/>
  <c r="F61" i="2"/>
  <c r="AO2" i="4" s="1"/>
  <c r="F54" i="2"/>
  <c r="AH2" i="4" s="1"/>
  <c r="F58" i="2"/>
  <c r="AL2" i="4" s="1"/>
  <c r="F62" i="2"/>
  <c r="AP2" i="4" s="1"/>
  <c r="F55" i="2"/>
  <c r="AI2" i="4" s="1"/>
  <c r="F59" i="2"/>
  <c r="AM2" i="4" s="1"/>
  <c r="F49" i="2"/>
  <c r="AB2" i="4" s="1"/>
  <c r="F48" i="2"/>
  <c r="AA2" i="4" s="1"/>
  <c r="F47" i="2"/>
  <c r="Z2" i="4" s="1"/>
  <c r="R1" i="2"/>
  <c r="G2" i="2"/>
  <c r="B1" i="2"/>
  <c r="G21" i="2" s="1"/>
  <c r="I2" i="2"/>
  <c r="G1" i="2"/>
  <c r="D2" i="2"/>
  <c r="D1" i="2"/>
  <c r="F13" i="2" s="1"/>
  <c r="S2" i="4"/>
  <c r="A4" i="4"/>
  <c r="F32" i="2"/>
  <c r="F35" i="2" s="1"/>
  <c r="F19" i="2"/>
  <c r="AJ10" i="4" l="1"/>
  <c r="AQ2" i="4"/>
  <c r="AI30" i="4"/>
  <c r="AA30" i="4"/>
  <c r="AG29" i="4"/>
  <c r="AK24" i="4"/>
  <c r="AK14" i="4"/>
  <c r="AI8" i="4"/>
  <c r="AI4" i="4"/>
  <c r="AJ25" i="4"/>
  <c r="AI22" i="4"/>
  <c r="AH19" i="4"/>
  <c r="AA28" i="4"/>
  <c r="AG21" i="4"/>
  <c r="AK8" i="4"/>
  <c r="AH31" i="4"/>
  <c r="AA25" i="4"/>
  <c r="AK6" i="4"/>
  <c r="AJ3" i="4"/>
  <c r="AJ31" i="4"/>
  <c r="AI28" i="4"/>
  <c r="AH25" i="4"/>
  <c r="AC29" i="4"/>
  <c r="AG27" i="4"/>
  <c r="AK16" i="4"/>
  <c r="AI10" i="4"/>
  <c r="AA23" i="4"/>
  <c r="AG8" i="4"/>
  <c r="AG24" i="4"/>
  <c r="Z25" i="4"/>
  <c r="Z29" i="4"/>
  <c r="AH10" i="4"/>
  <c r="AH26" i="4"/>
  <c r="AI13" i="4"/>
  <c r="AI29" i="4"/>
  <c r="AJ16" i="4"/>
  <c r="AK3" i="4"/>
  <c r="AK19" i="4"/>
  <c r="AL6" i="4"/>
  <c r="AL22" i="4"/>
  <c r="AM9" i="4"/>
  <c r="AM25" i="4"/>
  <c r="AN12" i="4"/>
  <c r="AN28" i="4"/>
  <c r="AO15" i="4"/>
  <c r="AO31" i="4"/>
  <c r="AP18" i="4"/>
  <c r="AL3" i="4"/>
  <c r="AL19" i="4"/>
  <c r="AM6" i="4"/>
  <c r="AM22" i="4"/>
  <c r="AN9" i="4"/>
  <c r="AN25" i="4"/>
  <c r="AO12" i="4"/>
  <c r="AO28" i="4"/>
  <c r="AP15" i="4"/>
  <c r="AP31" i="4"/>
  <c r="AG18" i="4"/>
  <c r="AB23" i="4"/>
  <c r="AB27" i="4"/>
  <c r="AH4" i="4"/>
  <c r="AI7" i="4"/>
  <c r="AK13" i="4"/>
  <c r="AK20" i="4"/>
  <c r="AI14" i="4"/>
  <c r="AG13" i="4"/>
  <c r="AH15" i="4"/>
  <c r="AJ27" i="4"/>
  <c r="AK28" i="4"/>
  <c r="AJ23" i="4"/>
  <c r="AI20" i="4"/>
  <c r="AC27" i="4"/>
  <c r="AG19" i="4"/>
  <c r="AJ29" i="4"/>
  <c r="AH23" i="4"/>
  <c r="AG17" i="4"/>
  <c r="AG12" i="4"/>
  <c r="AG28" i="4"/>
  <c r="Z26" i="4"/>
  <c r="Z30" i="4"/>
  <c r="AH14" i="4"/>
  <c r="AH30" i="4"/>
  <c r="AI17" i="4"/>
  <c r="AJ4" i="4"/>
  <c r="AJ20" i="4"/>
  <c r="AK7" i="4"/>
  <c r="AK23" i="4"/>
  <c r="AL10" i="4"/>
  <c r="AL26" i="4"/>
  <c r="AM13" i="4"/>
  <c r="AM29" i="4"/>
  <c r="AN16" i="4"/>
  <c r="AO3" i="4"/>
  <c r="AO19" i="4"/>
  <c r="AP6" i="4"/>
  <c r="AP22" i="4"/>
  <c r="AL7" i="4"/>
  <c r="AL23" i="4"/>
  <c r="AM10" i="4"/>
  <c r="AM26" i="4"/>
  <c r="AN13" i="4"/>
  <c r="AN29" i="4"/>
  <c r="AO16" i="4"/>
  <c r="AP3" i="4"/>
  <c r="AP19" i="4"/>
  <c r="AG6" i="4"/>
  <c r="AG22" i="4"/>
  <c r="AB24" i="4"/>
  <c r="AB28" i="4"/>
  <c r="AH16" i="4"/>
  <c r="AI23" i="4"/>
  <c r="AK29" i="4"/>
  <c r="AJ17" i="4"/>
  <c r="AH11" i="4"/>
  <c r="AA26" i="4"/>
  <c r="AJ21" i="4"/>
  <c r="AG25" i="4"/>
  <c r="AI24" i="4"/>
  <c r="AH17" i="4"/>
  <c r="AK12" i="4"/>
  <c r="AJ9" i="4"/>
  <c r="AI6" i="4"/>
  <c r="AH3" i="4"/>
  <c r="AA24" i="4"/>
  <c r="AG5" i="4"/>
  <c r="AJ5" i="4"/>
  <c r="AA31" i="4"/>
  <c r="AK22" i="4"/>
  <c r="AJ19" i="4"/>
  <c r="AI16" i="4"/>
  <c r="AK18" i="4"/>
  <c r="AJ15" i="4"/>
  <c r="AI12" i="4"/>
  <c r="AH9" i="4"/>
  <c r="AC25" i="4"/>
  <c r="AG11" i="4"/>
  <c r="AJ13" i="4"/>
  <c r="AH7" i="4"/>
  <c r="AG9" i="4"/>
  <c r="AG16" i="4"/>
  <c r="Z23" i="4"/>
  <c r="Z27" i="4"/>
  <c r="Z31" i="4"/>
  <c r="AH18" i="4"/>
  <c r="AI5" i="4"/>
  <c r="AI21" i="4"/>
  <c r="AJ8" i="4"/>
  <c r="AJ24" i="4"/>
  <c r="AK11" i="4"/>
  <c r="AK27" i="4"/>
  <c r="AL14" i="4"/>
  <c r="AL30" i="4"/>
  <c r="AM17" i="4"/>
  <c r="AN4" i="4"/>
  <c r="AN20" i="4"/>
  <c r="AO7" i="4"/>
  <c r="AO23" i="4"/>
  <c r="AP10" i="4"/>
  <c r="AP26" i="4"/>
  <c r="AL11" i="4"/>
  <c r="AL27" i="4"/>
  <c r="AM14" i="4"/>
  <c r="AM30" i="4"/>
  <c r="AN17" i="4"/>
  <c r="AO4" i="4"/>
  <c r="AO20" i="4"/>
  <c r="AP7" i="4"/>
  <c r="AP23" i="4"/>
  <c r="AG10" i="4"/>
  <c r="AG26" i="4"/>
  <c r="AB25" i="4"/>
  <c r="AB29" i="4"/>
  <c r="AH20" i="4"/>
  <c r="AH5" i="4"/>
  <c r="AC30" i="4"/>
  <c r="AH13" i="4"/>
  <c r="AG7" i="4"/>
  <c r="AO46" i="4"/>
  <c r="AI45" i="4"/>
  <c r="AM43" i="4"/>
  <c r="AG42" i="4"/>
  <c r="AK40" i="4"/>
  <c r="AO38" i="4"/>
  <c r="AI37" i="4"/>
  <c r="AM35" i="4"/>
  <c r="AG34" i="4"/>
  <c r="AK32" i="4"/>
  <c r="Z45" i="4"/>
  <c r="AA41" i="4"/>
  <c r="AA37" i="4"/>
  <c r="AA33" i="4"/>
  <c r="AH47" i="4"/>
  <c r="AL45" i="4"/>
  <c r="AP43" i="4"/>
  <c r="AJ42" i="4"/>
  <c r="AN40" i="4"/>
  <c r="AH39" i="4"/>
  <c r="AL37" i="4"/>
  <c r="AP35" i="4"/>
  <c r="AJ34" i="4"/>
  <c r="AN32" i="4"/>
  <c r="AC45" i="4"/>
  <c r="Z41" i="4"/>
  <c r="Z37" i="4"/>
  <c r="Z33" i="4"/>
  <c r="AG47" i="4"/>
  <c r="AK45" i="4"/>
  <c r="AO43" i="4"/>
  <c r="AI42" i="4"/>
  <c r="AM40" i="4"/>
  <c r="AG39" i="4"/>
  <c r="AK37" i="4"/>
  <c r="AO35" i="4"/>
  <c r="AI34" i="4"/>
  <c r="AM32" i="4"/>
  <c r="AB45" i="4"/>
  <c r="AC41" i="4"/>
  <c r="AC37" i="4"/>
  <c r="AC33" i="4"/>
  <c r="AP46" i="4"/>
  <c r="AJ45" i="4"/>
  <c r="AN43" i="4"/>
  <c r="AH42" i="4"/>
  <c r="AL40" i="4"/>
  <c r="AP38" i="4"/>
  <c r="AJ37" i="4"/>
  <c r="AN35" i="4"/>
  <c r="AH34" i="4"/>
  <c r="AL32" i="4"/>
  <c r="AA45" i="4"/>
  <c r="AB41" i="4"/>
  <c r="AB37" i="4"/>
  <c r="AB33" i="4"/>
  <c r="AP21" i="4"/>
  <c r="AP5" i="4"/>
  <c r="AO18" i="4"/>
  <c r="AN31" i="4"/>
  <c r="AN15" i="4"/>
  <c r="AM28" i="4"/>
  <c r="AM12" i="4"/>
  <c r="AL25" i="4"/>
  <c r="AL9" i="4"/>
  <c r="AP28" i="4"/>
  <c r="AP12" i="4"/>
  <c r="AO25" i="4"/>
  <c r="AO9" i="4"/>
  <c r="AN22" i="4"/>
  <c r="AN6" i="4"/>
  <c r="AM19" i="4"/>
  <c r="AM3" i="4"/>
  <c r="AL16" i="4"/>
  <c r="AH29" i="4"/>
  <c r="AG23" i="4"/>
  <c r="AC24" i="4"/>
  <c r="AK46" i="4"/>
  <c r="AO44" i="4"/>
  <c r="AI43" i="4"/>
  <c r="AM41" i="4"/>
  <c r="AG40" i="4"/>
  <c r="AK38" i="4"/>
  <c r="AO36" i="4"/>
  <c r="AI35" i="4"/>
  <c r="AM33" i="4"/>
  <c r="AG32" i="4"/>
  <c r="AA44" i="4"/>
  <c r="AA40" i="4"/>
  <c r="AA36" i="4"/>
  <c r="AA32" i="4"/>
  <c r="AN46" i="4"/>
  <c r="AH45" i="4"/>
  <c r="AL43" i="4"/>
  <c r="AP41" i="4"/>
  <c r="AJ40" i="4"/>
  <c r="AN38" i="4"/>
  <c r="AH37" i="4"/>
  <c r="AL35" i="4"/>
  <c r="AP33" i="4"/>
  <c r="AJ32" i="4"/>
  <c r="Z44" i="4"/>
  <c r="Z40" i="4"/>
  <c r="Z36" i="4"/>
  <c r="Z32" i="4"/>
  <c r="AM46" i="4"/>
  <c r="AG45" i="4"/>
  <c r="AK43" i="4"/>
  <c r="AO41" i="4"/>
  <c r="AI40" i="4"/>
  <c r="AM38" i="4"/>
  <c r="AG37" i="4"/>
  <c r="AK35" i="4"/>
  <c r="AO33" i="4"/>
  <c r="AI32" i="4"/>
  <c r="AC44" i="4"/>
  <c r="AC40" i="4"/>
  <c r="AC36" i="4"/>
  <c r="AC32" i="4"/>
  <c r="AL46" i="4"/>
  <c r="AP44" i="4"/>
  <c r="AJ43" i="4"/>
  <c r="AN41" i="4"/>
  <c r="AH40" i="4"/>
  <c r="AL38" i="4"/>
  <c r="AP36" i="4"/>
  <c r="AJ35" i="4"/>
  <c r="AN33" i="4"/>
  <c r="AH32" i="4"/>
  <c r="AB44" i="4"/>
  <c r="AB40" i="4"/>
  <c r="AB36" i="4"/>
  <c r="AB32" i="4"/>
  <c r="AP17" i="4"/>
  <c r="AO30" i="4"/>
  <c r="AO14" i="4"/>
  <c r="AN27" i="4"/>
  <c r="AN11" i="4"/>
  <c r="AM24" i="4"/>
  <c r="AM8" i="4"/>
  <c r="AL21" i="4"/>
  <c r="AL5" i="4"/>
  <c r="AP24" i="4"/>
  <c r="AP8" i="4"/>
  <c r="AO21" i="4"/>
  <c r="AO5" i="4"/>
  <c r="AN18" i="4"/>
  <c r="AM31" i="4"/>
  <c r="AM15" i="4"/>
  <c r="AL28" i="4"/>
  <c r="AL12" i="4"/>
  <c r="AK25" i="4"/>
  <c r="AK9" i="4"/>
  <c r="AJ22" i="4"/>
  <c r="AJ6" i="4"/>
  <c r="AI19" i="4"/>
  <c r="AG15" i="4"/>
  <c r="AC28" i="4"/>
  <c r="AM47" i="4"/>
  <c r="AG46" i="4"/>
  <c r="AK44" i="4"/>
  <c r="AO42" i="4"/>
  <c r="AI41" i="4"/>
  <c r="AM39" i="4"/>
  <c r="AG38" i="4"/>
  <c r="AK36" i="4"/>
  <c r="AO34" i="4"/>
  <c r="AI33" i="4"/>
  <c r="Z47" i="4"/>
  <c r="AA43" i="4"/>
  <c r="AA39" i="4"/>
  <c r="AA35" i="4"/>
  <c r="AP47" i="4"/>
  <c r="AJ46" i="4"/>
  <c r="AN44" i="4"/>
  <c r="AH43" i="4"/>
  <c r="AL41" i="4"/>
  <c r="AP39" i="4"/>
  <c r="AJ38" i="4"/>
  <c r="AN36" i="4"/>
  <c r="AH35" i="4"/>
  <c r="AL33" i="4"/>
  <c r="AC47" i="4"/>
  <c r="Z43" i="4"/>
  <c r="Z39" i="4"/>
  <c r="Z35" i="4"/>
  <c r="AO47" i="4"/>
  <c r="AI46" i="4"/>
  <c r="AM44" i="4"/>
  <c r="AG43" i="4"/>
  <c r="AK41" i="4"/>
  <c r="AO39" i="4"/>
  <c r="AI38" i="4"/>
  <c r="AM36" i="4"/>
  <c r="AG35" i="4"/>
  <c r="AK33" i="4"/>
  <c r="AB47" i="4"/>
  <c r="AC43" i="4"/>
  <c r="AC39" i="4"/>
  <c r="AC35" i="4"/>
  <c r="AN47" i="4"/>
  <c r="AH46" i="4"/>
  <c r="AL44" i="4"/>
  <c r="AP42" i="4"/>
  <c r="AJ41" i="4"/>
  <c r="AN39" i="4"/>
  <c r="AH38" i="4"/>
  <c r="AL36" i="4"/>
  <c r="AP34" i="4"/>
  <c r="AJ33" i="4"/>
  <c r="AA47" i="4"/>
  <c r="AB43" i="4"/>
  <c r="AB39" i="4"/>
  <c r="AB35" i="4"/>
  <c r="AP29" i="4"/>
  <c r="AP13" i="4"/>
  <c r="AO26" i="4"/>
  <c r="AO10" i="4"/>
  <c r="AN23" i="4"/>
  <c r="AN7" i="4"/>
  <c r="AM20" i="4"/>
  <c r="AM4" i="4"/>
  <c r="AL17" i="4"/>
  <c r="AK30" i="4"/>
  <c r="AP20" i="4"/>
  <c r="AP4" i="4"/>
  <c r="AO17" i="4"/>
  <c r="AN30" i="4"/>
  <c r="AN14" i="4"/>
  <c r="AM27" i="4"/>
  <c r="AM11" i="4"/>
  <c r="AL24" i="4"/>
  <c r="AL8" i="4"/>
  <c r="AK21" i="4"/>
  <c r="AK5" i="4"/>
  <c r="AJ18" i="4"/>
  <c r="AI31" i="4"/>
  <c r="AI15" i="4"/>
  <c r="AH28" i="4"/>
  <c r="AH12" i="4"/>
  <c r="AB30" i="4"/>
  <c r="AG31" i="4"/>
  <c r="AC26" i="4"/>
  <c r="AH21" i="4"/>
  <c r="AI47" i="4"/>
  <c r="AM45" i="4"/>
  <c r="AG44" i="4"/>
  <c r="AK42" i="4"/>
  <c r="AO40" i="4"/>
  <c r="AI39" i="4"/>
  <c r="AM37" i="4"/>
  <c r="AG36" i="4"/>
  <c r="AK34" i="4"/>
  <c r="AO32" i="4"/>
  <c r="Z46" i="4"/>
  <c r="AA42" i="4"/>
  <c r="AA38" i="4"/>
  <c r="AA34" i="4"/>
  <c r="AL47" i="4"/>
  <c r="AP45" i="4"/>
  <c r="AJ44" i="4"/>
  <c r="AN42" i="4"/>
  <c r="AH41" i="4"/>
  <c r="AL39" i="4"/>
  <c r="AP37" i="4"/>
  <c r="AJ36" i="4"/>
  <c r="AN34" i="4"/>
  <c r="AH33" i="4"/>
  <c r="AC46" i="4"/>
  <c r="Z42" i="4"/>
  <c r="Z38" i="4"/>
  <c r="Z34" i="4"/>
  <c r="AK47" i="4"/>
  <c r="AO45" i="4"/>
  <c r="AI44" i="4"/>
  <c r="AM42" i="4"/>
  <c r="AG41" i="4"/>
  <c r="AK39" i="4"/>
  <c r="AO37" i="4"/>
  <c r="AI36" i="4"/>
  <c r="AM34" i="4"/>
  <c r="AG33" i="4"/>
  <c r="AB46" i="4"/>
  <c r="AC42" i="4"/>
  <c r="AC38" i="4"/>
  <c r="AC34" i="4"/>
  <c r="AJ47" i="4"/>
  <c r="AN45" i="4"/>
  <c r="AH44" i="4"/>
  <c r="AL42" i="4"/>
  <c r="AP40" i="4"/>
  <c r="AJ39" i="4"/>
  <c r="AN37" i="4"/>
  <c r="AH36" i="4"/>
  <c r="AL34" i="4"/>
  <c r="AP32" i="4"/>
  <c r="AA46" i="4"/>
  <c r="AB42" i="4"/>
  <c r="AB38" i="4"/>
  <c r="AB34" i="4"/>
  <c r="AP25" i="4"/>
  <c r="AP9" i="4"/>
  <c r="AO22" i="4"/>
  <c r="AO6" i="4"/>
  <c r="AN19" i="4"/>
  <c r="AN3" i="4"/>
  <c r="AM16" i="4"/>
  <c r="AL29" i="4"/>
  <c r="AL13" i="4"/>
  <c r="AK26" i="4"/>
  <c r="AP16" i="4"/>
  <c r="AO29" i="4"/>
  <c r="AO13" i="4"/>
  <c r="AN26" i="4"/>
  <c r="AN10" i="4"/>
  <c r="AM23" i="4"/>
  <c r="AM7" i="4"/>
  <c r="AL20" i="4"/>
  <c r="AL4" i="4"/>
  <c r="AK17" i="4"/>
  <c r="AJ30" i="4"/>
  <c r="AJ14" i="4"/>
  <c r="AI27" i="4"/>
  <c r="AI11" i="4"/>
  <c r="AH24" i="4"/>
  <c r="AH8" i="4"/>
  <c r="AK4" i="4"/>
  <c r="AH27" i="4"/>
  <c r="AI18" i="4"/>
  <c r="AA29" i="4"/>
  <c r="AJ11" i="4"/>
  <c r="AK10" i="4"/>
  <c r="AJ7" i="4"/>
  <c r="AC31" i="4"/>
  <c r="AC23" i="4"/>
  <c r="AG3" i="4"/>
  <c r="AI26" i="4"/>
  <c r="AA27" i="4"/>
  <c r="AG4" i="4"/>
  <c r="AG20" i="4"/>
  <c r="Z24" i="4"/>
  <c r="Z28" i="4"/>
  <c r="AH6" i="4"/>
  <c r="AH22" i="4"/>
  <c r="AI9" i="4"/>
  <c r="AI25" i="4"/>
  <c r="AJ12" i="4"/>
  <c r="AJ28" i="4"/>
  <c r="AK15" i="4"/>
  <c r="AK31" i="4"/>
  <c r="AL18" i="4"/>
  <c r="AM5" i="4"/>
  <c r="AM21" i="4"/>
  <c r="AN8" i="4"/>
  <c r="AN24" i="4"/>
  <c r="AO11" i="4"/>
  <c r="AO27" i="4"/>
  <c r="AP14" i="4"/>
  <c r="AP30" i="4"/>
  <c r="AL15" i="4"/>
  <c r="AL31" i="4"/>
  <c r="AM18" i="4"/>
  <c r="AN5" i="4"/>
  <c r="AN21" i="4"/>
  <c r="AO8" i="4"/>
  <c r="AO24" i="4"/>
  <c r="AP11" i="4"/>
  <c r="AP27" i="4"/>
  <c r="AG14" i="4"/>
  <c r="AG30" i="4"/>
  <c r="AB26" i="4"/>
  <c r="AD26" i="4" s="1"/>
  <c r="BB26" i="4" s="1"/>
  <c r="AB31" i="4"/>
  <c r="AI3" i="4"/>
  <c r="AJ26" i="4"/>
  <c r="AD47" i="4"/>
  <c r="Y3" i="2"/>
  <c r="AC5" i="4"/>
  <c r="AC9" i="4"/>
  <c r="AC13" i="4"/>
  <c r="AC17" i="4"/>
  <c r="AC21" i="4"/>
  <c r="AB5" i="4"/>
  <c r="AB9" i="4"/>
  <c r="AB13" i="4"/>
  <c r="AB17" i="4"/>
  <c r="AB21" i="4"/>
  <c r="AA5" i="4"/>
  <c r="AA9" i="4"/>
  <c r="AA13" i="4"/>
  <c r="AA17" i="4"/>
  <c r="AA21" i="4"/>
  <c r="Z5" i="4"/>
  <c r="Z9" i="4"/>
  <c r="Z13" i="4"/>
  <c r="Z17" i="4"/>
  <c r="Z21" i="4"/>
  <c r="AC10" i="4"/>
  <c r="AC18" i="4"/>
  <c r="AB6" i="4"/>
  <c r="AB10" i="4"/>
  <c r="AB18" i="4"/>
  <c r="AA6" i="4"/>
  <c r="AA18" i="4"/>
  <c r="Z10" i="4"/>
  <c r="Z14" i="4"/>
  <c r="Z22" i="4"/>
  <c r="AC15" i="4"/>
  <c r="AC3" i="4"/>
  <c r="AB11" i="4"/>
  <c r="AB19" i="4"/>
  <c r="AA7" i="4"/>
  <c r="AA15" i="4"/>
  <c r="AA3" i="4"/>
  <c r="Z11" i="4"/>
  <c r="Z19" i="4"/>
  <c r="AC8" i="4"/>
  <c r="AC16" i="4"/>
  <c r="AB4" i="4"/>
  <c r="AB16" i="4"/>
  <c r="AA4" i="4"/>
  <c r="AA12" i="4"/>
  <c r="AA20" i="4"/>
  <c r="Z8" i="4"/>
  <c r="Z12" i="4"/>
  <c r="Z20" i="4"/>
  <c r="AC6" i="4"/>
  <c r="AC14" i="4"/>
  <c r="AC22" i="4"/>
  <c r="AB14" i="4"/>
  <c r="AB22" i="4"/>
  <c r="AA10" i="4"/>
  <c r="AA14" i="4"/>
  <c r="AA22" i="4"/>
  <c r="Z6" i="4"/>
  <c r="Z18" i="4"/>
  <c r="AC7" i="4"/>
  <c r="AC11" i="4"/>
  <c r="AC19" i="4"/>
  <c r="AB7" i="4"/>
  <c r="AB15" i="4"/>
  <c r="AB3" i="4"/>
  <c r="AA11" i="4"/>
  <c r="AA19" i="4"/>
  <c r="Z7" i="4"/>
  <c r="Z15" i="4"/>
  <c r="Z3" i="4"/>
  <c r="AC4" i="4"/>
  <c r="AC12" i="4"/>
  <c r="AC20" i="4"/>
  <c r="AB8" i="4"/>
  <c r="AB12" i="4"/>
  <c r="AB20" i="4"/>
  <c r="AA8" i="4"/>
  <c r="AA16" i="4"/>
  <c r="Z4" i="4"/>
  <c r="Z16" i="4"/>
  <c r="A5" i="4"/>
  <c r="I1" i="2"/>
  <c r="J5" i="4" s="1"/>
  <c r="F9" i="2"/>
  <c r="G2" i="4" s="1"/>
  <c r="F10" i="2"/>
  <c r="H2" i="4" s="1"/>
  <c r="F8" i="2"/>
  <c r="F2" i="4" s="1"/>
  <c r="F23" i="2"/>
  <c r="F4" i="2"/>
  <c r="B2" i="4" s="1"/>
  <c r="F6" i="2"/>
  <c r="D2" i="4" s="1"/>
  <c r="P4" i="4"/>
  <c r="P6" i="4"/>
  <c r="P8" i="4"/>
  <c r="P10" i="4"/>
  <c r="P12" i="4"/>
  <c r="P14" i="4"/>
  <c r="P16" i="4"/>
  <c r="P18" i="4"/>
  <c r="P20" i="4"/>
  <c r="P22" i="4"/>
  <c r="P24" i="4"/>
  <c r="P26" i="4"/>
  <c r="P28" i="4"/>
  <c r="P30" i="4"/>
  <c r="P32" i="4"/>
  <c r="P34" i="4"/>
  <c r="P36" i="4"/>
  <c r="P38" i="4"/>
  <c r="P40" i="4"/>
  <c r="P42" i="4"/>
  <c r="P44" i="4"/>
  <c r="P46" i="4"/>
  <c r="P48" i="4"/>
  <c r="P50" i="4"/>
  <c r="P52" i="4"/>
  <c r="P54" i="4"/>
  <c r="P56" i="4"/>
  <c r="P58" i="4"/>
  <c r="P60" i="4"/>
  <c r="P62" i="4"/>
  <c r="P64" i="4"/>
  <c r="P66" i="4"/>
  <c r="P68" i="4"/>
  <c r="P70" i="4"/>
  <c r="P72" i="4"/>
  <c r="P74" i="4"/>
  <c r="P76" i="4"/>
  <c r="P78" i="4"/>
  <c r="P80" i="4"/>
  <c r="P82" i="4"/>
  <c r="P84" i="4"/>
  <c r="P86" i="4"/>
  <c r="P88" i="4"/>
  <c r="P90" i="4"/>
  <c r="P92" i="4"/>
  <c r="P94" i="4"/>
  <c r="P96" i="4"/>
  <c r="P98" i="4"/>
  <c r="P100" i="4"/>
  <c r="P102" i="4"/>
  <c r="P3" i="4"/>
  <c r="P5" i="4"/>
  <c r="P7" i="4"/>
  <c r="P9" i="4"/>
  <c r="P11" i="4"/>
  <c r="P13" i="4"/>
  <c r="P15" i="4"/>
  <c r="P17" i="4"/>
  <c r="P19" i="4"/>
  <c r="P21" i="4"/>
  <c r="P23" i="4"/>
  <c r="P25" i="4"/>
  <c r="P27" i="4"/>
  <c r="P29" i="4"/>
  <c r="P31" i="4"/>
  <c r="P33" i="4"/>
  <c r="P35" i="4"/>
  <c r="P37" i="4"/>
  <c r="P39" i="4"/>
  <c r="P41" i="4"/>
  <c r="P43" i="4"/>
  <c r="P45" i="4"/>
  <c r="P47" i="4"/>
  <c r="P49" i="4"/>
  <c r="P51" i="4"/>
  <c r="P53" i="4"/>
  <c r="P55" i="4"/>
  <c r="P57" i="4"/>
  <c r="P59" i="4"/>
  <c r="P61" i="4"/>
  <c r="P63" i="4"/>
  <c r="P65" i="4"/>
  <c r="P67" i="4"/>
  <c r="P69" i="4"/>
  <c r="P71" i="4"/>
  <c r="P73" i="4"/>
  <c r="P75" i="4"/>
  <c r="P77" i="4"/>
  <c r="P79" i="4"/>
  <c r="P81" i="4"/>
  <c r="P83" i="4"/>
  <c r="P85" i="4"/>
  <c r="P87" i="4"/>
  <c r="P89" i="4"/>
  <c r="P91" i="4"/>
  <c r="P93" i="4"/>
  <c r="P95" i="4"/>
  <c r="P97" i="4"/>
  <c r="P99" i="4"/>
  <c r="P101" i="4"/>
  <c r="P2" i="4"/>
  <c r="F15" i="2"/>
  <c r="L4" i="4" s="1"/>
  <c r="F5" i="2"/>
  <c r="C2" i="4" s="1"/>
  <c r="F7" i="2"/>
  <c r="E2" i="4" s="1"/>
  <c r="F14" i="2"/>
  <c r="F16" i="2"/>
  <c r="M3" i="4" s="1"/>
  <c r="A6" i="4"/>
  <c r="AD31" i="4" l="1"/>
  <c r="BB31" i="4" s="1"/>
  <c r="AR2" i="4"/>
  <c r="BA2" i="4"/>
  <c r="BC2" i="4" s="1"/>
  <c r="AD29" i="4"/>
  <c r="BB29" i="4" s="1"/>
  <c r="AQ39" i="4"/>
  <c r="BA39" i="4" s="1"/>
  <c r="AD24" i="4"/>
  <c r="BB24" i="4" s="1"/>
  <c r="AD30" i="4"/>
  <c r="BB30" i="4" s="1"/>
  <c r="AD45" i="4"/>
  <c r="BB45" i="4" s="1"/>
  <c r="AQ36" i="4"/>
  <c r="BA36" i="4" s="1"/>
  <c r="Q18" i="4"/>
  <c r="C20" i="1"/>
  <c r="AD33" i="4"/>
  <c r="BB33" i="4" s="1"/>
  <c r="AD42" i="4"/>
  <c r="BB42" i="4" s="1"/>
  <c r="AD43" i="4"/>
  <c r="BB43" i="4" s="1"/>
  <c r="AD44" i="4"/>
  <c r="BB44" i="4" s="1"/>
  <c r="AD41" i="4"/>
  <c r="BB41" i="4" s="1"/>
  <c r="AD23" i="4"/>
  <c r="BB23" i="4" s="1"/>
  <c r="AD28" i="4"/>
  <c r="BB28" i="4" s="1"/>
  <c r="AQ9" i="4"/>
  <c r="BA9" i="4" s="1"/>
  <c r="AD46" i="4"/>
  <c r="AQ44" i="4"/>
  <c r="BA44" i="4" s="1"/>
  <c r="AQ45" i="4"/>
  <c r="BA45" i="4" s="1"/>
  <c r="AD40" i="4"/>
  <c r="BB40" i="4" s="1"/>
  <c r="AQ43" i="4"/>
  <c r="BA43" i="4" s="1"/>
  <c r="AQ46" i="4"/>
  <c r="AQ4" i="4"/>
  <c r="BA4" i="4" s="1"/>
  <c r="AD27" i="4"/>
  <c r="BB27" i="4" s="1"/>
  <c r="AQ16" i="4"/>
  <c r="BA16" i="4" s="1"/>
  <c r="AQ12" i="4"/>
  <c r="BA12" i="4" s="1"/>
  <c r="AD25" i="4"/>
  <c r="BB25" i="4" s="1"/>
  <c r="AD32" i="4"/>
  <c r="BB32" i="4" s="1"/>
  <c r="AQ22" i="4"/>
  <c r="BA22" i="4" s="1"/>
  <c r="AQ17" i="4"/>
  <c r="BA17" i="4" s="1"/>
  <c r="AD39" i="4"/>
  <c r="BB39" i="4" s="1"/>
  <c r="AQ38" i="4"/>
  <c r="BA38" i="4" s="1"/>
  <c r="AD37" i="4"/>
  <c r="BB37" i="4" s="1"/>
  <c r="AQ40" i="4"/>
  <c r="BA40" i="4" s="1"/>
  <c r="AQ28" i="4"/>
  <c r="BA28" i="4" s="1"/>
  <c r="BC28" i="4" s="1"/>
  <c r="AQ20" i="4"/>
  <c r="BA20" i="4" s="1"/>
  <c r="AQ10" i="4"/>
  <c r="BA10" i="4" s="1"/>
  <c r="AQ27" i="4"/>
  <c r="BA27" i="4" s="1"/>
  <c r="AQ6" i="4"/>
  <c r="BA6" i="4" s="1"/>
  <c r="AD34" i="4"/>
  <c r="BB34" i="4" s="1"/>
  <c r="AQ33" i="4"/>
  <c r="BA33" i="4" s="1"/>
  <c r="BC33" i="4" s="1"/>
  <c r="AQ42" i="4"/>
  <c r="BA42" i="4" s="1"/>
  <c r="BC42" i="4" s="1"/>
  <c r="AD36" i="4"/>
  <c r="BB36" i="4" s="1"/>
  <c r="AQ32" i="4"/>
  <c r="BA32" i="4" s="1"/>
  <c r="BC32" i="4" s="1"/>
  <c r="AQ35" i="4"/>
  <c r="BA35" i="4" s="1"/>
  <c r="AD35" i="4"/>
  <c r="BB35" i="4" s="1"/>
  <c r="AQ3" i="4"/>
  <c r="AQ14" i="4"/>
  <c r="BA14" i="4" s="1"/>
  <c r="AQ8" i="4"/>
  <c r="BA8" i="4" s="1"/>
  <c r="AQ19" i="4"/>
  <c r="BA19" i="4" s="1"/>
  <c r="AQ37" i="4"/>
  <c r="BA37" i="4" s="1"/>
  <c r="AQ26" i="4"/>
  <c r="BA26" i="4" s="1"/>
  <c r="BC26" i="4" s="1"/>
  <c r="AQ18" i="4"/>
  <c r="BA18" i="4" s="1"/>
  <c r="AD38" i="4"/>
  <c r="BB38" i="4" s="1"/>
  <c r="AQ41" i="4"/>
  <c r="BA41" i="4" s="1"/>
  <c r="AQ24" i="4"/>
  <c r="BA24" i="4" s="1"/>
  <c r="AQ30" i="4"/>
  <c r="BA30" i="4" s="1"/>
  <c r="AQ25" i="4"/>
  <c r="BA25" i="4" s="1"/>
  <c r="AQ34" i="4"/>
  <c r="BA34" i="4" s="1"/>
  <c r="AQ47" i="4"/>
  <c r="AQ11" i="4"/>
  <c r="BA11" i="4" s="1"/>
  <c r="J3" i="4"/>
  <c r="AQ13" i="4"/>
  <c r="BA13" i="4" s="1"/>
  <c r="AQ21" i="4"/>
  <c r="BA21" i="4" s="1"/>
  <c r="AQ23" i="4"/>
  <c r="BA23" i="4" s="1"/>
  <c r="AQ7" i="4"/>
  <c r="BA7" i="4" s="1"/>
  <c r="AQ5" i="4"/>
  <c r="BA5" i="4" s="1"/>
  <c r="AQ29" i="4"/>
  <c r="BA29" i="4" s="1"/>
  <c r="AQ31" i="4"/>
  <c r="BA31" i="4" s="1"/>
  <c r="BC31" i="4" s="1"/>
  <c r="AQ15" i="4"/>
  <c r="BA15" i="4" s="1"/>
  <c r="AR4" i="4"/>
  <c r="AD18" i="4"/>
  <c r="BB18" i="4" s="1"/>
  <c r="AD6" i="4"/>
  <c r="BB6" i="4" s="1"/>
  <c r="AD16" i="4"/>
  <c r="BB16" i="4" s="1"/>
  <c r="AD7" i="4"/>
  <c r="BB7" i="4" s="1"/>
  <c r="AD21" i="4"/>
  <c r="BB21" i="4" s="1"/>
  <c r="AD5" i="4"/>
  <c r="BB5" i="4" s="1"/>
  <c r="AD10" i="4"/>
  <c r="BB10" i="4" s="1"/>
  <c r="AD4" i="4"/>
  <c r="BB4" i="4" s="1"/>
  <c r="AD8" i="4"/>
  <c r="BB8" i="4" s="1"/>
  <c r="AD19" i="4"/>
  <c r="BB19" i="4" s="1"/>
  <c r="AD17" i="4"/>
  <c r="BB17" i="4" s="1"/>
  <c r="AD12" i="4"/>
  <c r="BB12" i="4" s="1"/>
  <c r="C4" i="4"/>
  <c r="AD3" i="4"/>
  <c r="BB3" i="4" s="1"/>
  <c r="AD11" i="4"/>
  <c r="BB11" i="4" s="1"/>
  <c r="AD22" i="4"/>
  <c r="BB22" i="4" s="1"/>
  <c r="AD13" i="4"/>
  <c r="BB13" i="4" s="1"/>
  <c r="B4" i="4"/>
  <c r="AD15" i="4"/>
  <c r="BB15" i="4" s="1"/>
  <c r="AD20" i="4"/>
  <c r="BB20" i="4" s="1"/>
  <c r="AD14" i="4"/>
  <c r="BB14" i="4" s="1"/>
  <c r="AD9" i="4"/>
  <c r="BB9" i="4" s="1"/>
  <c r="G3" i="4"/>
  <c r="C3" i="4"/>
  <c r="B3" i="4"/>
  <c r="D6" i="4"/>
  <c r="B6" i="4"/>
  <c r="C6" i="4"/>
  <c r="D4" i="4"/>
  <c r="G6" i="4"/>
  <c r="F5" i="4"/>
  <c r="F4" i="4"/>
  <c r="H5" i="4"/>
  <c r="G4" i="4"/>
  <c r="E5" i="4"/>
  <c r="E4" i="4"/>
  <c r="D5" i="4"/>
  <c r="C7" i="4"/>
  <c r="F3" i="4"/>
  <c r="E6" i="4"/>
  <c r="H6" i="4"/>
  <c r="C5" i="4"/>
  <c r="H4" i="4"/>
  <c r="H3" i="4"/>
  <c r="B5" i="4"/>
  <c r="D3" i="4"/>
  <c r="F6" i="4"/>
  <c r="E3" i="4"/>
  <c r="H7" i="4"/>
  <c r="G5" i="4"/>
  <c r="F7" i="4"/>
  <c r="J4" i="4"/>
  <c r="K3" i="4"/>
  <c r="Q16" i="4"/>
  <c r="Q89" i="4"/>
  <c r="Q8" i="4"/>
  <c r="Q73" i="4"/>
  <c r="Q11" i="4"/>
  <c r="Q98" i="4"/>
  <c r="Q29" i="4"/>
  <c r="Q4" i="4"/>
  <c r="Q12" i="4"/>
  <c r="Q97" i="4"/>
  <c r="Q81" i="4"/>
  <c r="Q100" i="4"/>
  <c r="Q84" i="4"/>
  <c r="Q69" i="4"/>
  <c r="Q60" i="4"/>
  <c r="Q52" i="4"/>
  <c r="Q44" i="4"/>
  <c r="Q36" i="4"/>
  <c r="Q28" i="4"/>
  <c r="Q20" i="4"/>
  <c r="Q92" i="4"/>
  <c r="Q76" i="4"/>
  <c r="Q65" i="4"/>
  <c r="Q56" i="4"/>
  <c r="Q48" i="4"/>
  <c r="Q40" i="4"/>
  <c r="Q32" i="4"/>
  <c r="Q24" i="4"/>
  <c r="Q3" i="4"/>
  <c r="Q83" i="4"/>
  <c r="Q102" i="4"/>
  <c r="Q86" i="4"/>
  <c r="Q70" i="4"/>
  <c r="Q61" i="4"/>
  <c r="Q53" i="4"/>
  <c r="Q45" i="4"/>
  <c r="Q37" i="4"/>
  <c r="Q21" i="4"/>
  <c r="Q7" i="4"/>
  <c r="Q15" i="4"/>
  <c r="Q91" i="4"/>
  <c r="Q75" i="4"/>
  <c r="Q94" i="4"/>
  <c r="Q78" i="4"/>
  <c r="Q66" i="4"/>
  <c r="Q57" i="4"/>
  <c r="Q49" i="4"/>
  <c r="Q41" i="4"/>
  <c r="Q33" i="4"/>
  <c r="Q25" i="4"/>
  <c r="Q2" i="4"/>
  <c r="U2" i="4" s="1"/>
  <c r="Q5" i="4"/>
  <c r="Q9" i="4"/>
  <c r="Q13" i="4"/>
  <c r="Q17" i="4"/>
  <c r="Q95" i="4"/>
  <c r="Q87" i="4"/>
  <c r="Q79" i="4"/>
  <c r="Q71" i="4"/>
  <c r="Q99" i="4"/>
  <c r="Q90" i="4"/>
  <c r="Q82" i="4"/>
  <c r="Q74" i="4"/>
  <c r="Q68" i="4"/>
  <c r="Q64" i="4"/>
  <c r="Q59" i="4"/>
  <c r="Q55" i="4"/>
  <c r="Q51" i="4"/>
  <c r="Q47" i="4"/>
  <c r="Q43" i="4"/>
  <c r="Q39" i="4"/>
  <c r="Q35" i="4"/>
  <c r="Q31" i="4"/>
  <c r="Q27" i="4"/>
  <c r="Q23" i="4"/>
  <c r="Q19" i="4"/>
  <c r="L3" i="4"/>
  <c r="Q6" i="4"/>
  <c r="Q10" i="4"/>
  <c r="Q14" i="4"/>
  <c r="Q101" i="4"/>
  <c r="Q93" i="4"/>
  <c r="Q85" i="4"/>
  <c r="Q77" i="4"/>
  <c r="Q63" i="4"/>
  <c r="Q96" i="4"/>
  <c r="Q88" i="4"/>
  <c r="Q80" i="4"/>
  <c r="Q72" i="4"/>
  <c r="Q67" i="4"/>
  <c r="Q62" i="4"/>
  <c r="Q58" i="4"/>
  <c r="Q54" i="4"/>
  <c r="Q50" i="4"/>
  <c r="Q46" i="4"/>
  <c r="Q42" i="4"/>
  <c r="Q38" i="4"/>
  <c r="Q34" i="4"/>
  <c r="Q30" i="4"/>
  <c r="Q26" i="4"/>
  <c r="Q22" i="4"/>
  <c r="M5" i="4"/>
  <c r="K5" i="4"/>
  <c r="M4" i="4"/>
  <c r="K4" i="4"/>
  <c r="K6" i="4"/>
  <c r="M6" i="4"/>
  <c r="J6" i="4"/>
  <c r="L6" i="4"/>
  <c r="L5" i="4"/>
  <c r="A7" i="4"/>
  <c r="G7" i="4" s="1"/>
  <c r="BC30" i="4" l="1"/>
  <c r="BC18" i="4"/>
  <c r="BC8" i="4"/>
  <c r="BC25" i="4"/>
  <c r="BC7" i="4"/>
  <c r="BC34" i="4"/>
  <c r="BC41" i="4"/>
  <c r="BC45" i="4"/>
  <c r="BC19" i="4"/>
  <c r="BC27" i="4"/>
  <c r="BC40" i="4"/>
  <c r="BC44" i="4"/>
  <c r="BC12" i="4"/>
  <c r="BC36" i="4"/>
  <c r="BC39" i="4"/>
  <c r="BC23" i="4"/>
  <c r="BC22" i="4"/>
  <c r="BC43" i="4"/>
  <c r="BC29" i="4"/>
  <c r="BC24" i="4"/>
  <c r="BC17" i="4"/>
  <c r="BC11" i="4"/>
  <c r="BC35" i="4"/>
  <c r="BC10" i="4"/>
  <c r="BC16" i="4"/>
  <c r="BC15" i="4"/>
  <c r="BC21" i="4"/>
  <c r="BC14" i="4"/>
  <c r="BC20" i="4"/>
  <c r="BC38" i="4"/>
  <c r="BC9" i="4"/>
  <c r="BD2" i="4"/>
  <c r="BC5" i="4"/>
  <c r="BC13" i="4"/>
  <c r="BC37" i="4"/>
  <c r="AR3" i="4"/>
  <c r="BA3" i="4"/>
  <c r="BC3" i="4" s="1"/>
  <c r="BC6" i="4"/>
  <c r="BC4" i="4"/>
  <c r="AR22" i="4"/>
  <c r="AR12" i="4"/>
  <c r="AR35" i="4"/>
  <c r="AR6" i="4"/>
  <c r="AR46" i="4"/>
  <c r="AR31" i="4"/>
  <c r="AR36" i="4"/>
  <c r="AR44" i="4"/>
  <c r="AR23" i="4"/>
  <c r="AR33" i="4"/>
  <c r="AR14" i="4"/>
  <c r="AR25" i="4"/>
  <c r="AR43" i="4"/>
  <c r="AR15" i="4"/>
  <c r="AR41" i="4"/>
  <c r="AR17" i="4"/>
  <c r="AR28" i="4"/>
  <c r="AR7" i="4"/>
  <c r="AR30" i="4"/>
  <c r="AR38" i="4"/>
  <c r="AR9" i="4"/>
  <c r="AR20" i="4"/>
  <c r="AR40" i="4"/>
  <c r="AR27" i="4"/>
  <c r="AR11" i="4"/>
  <c r="AR37" i="4"/>
  <c r="AR26" i="4"/>
  <c r="AR10" i="4"/>
  <c r="AR42" i="4"/>
  <c r="AR21" i="4"/>
  <c r="AR5" i="4"/>
  <c r="AR47" i="4"/>
  <c r="AR16" i="4"/>
  <c r="AR32" i="4"/>
  <c r="AR19" i="4"/>
  <c r="AR45" i="4"/>
  <c r="AR18" i="4"/>
  <c r="AR34" i="4"/>
  <c r="AR29" i="4"/>
  <c r="AR13" i="4"/>
  <c r="AR39" i="4"/>
  <c r="AR24" i="4"/>
  <c r="AR8" i="4"/>
  <c r="AE29" i="4"/>
  <c r="AT29" i="4" s="1"/>
  <c r="AE25" i="4"/>
  <c r="AE31" i="4"/>
  <c r="AT31" i="4" s="1"/>
  <c r="AE27" i="4"/>
  <c r="AE23" i="4"/>
  <c r="AE24" i="4"/>
  <c r="AE28" i="4"/>
  <c r="AE26" i="4"/>
  <c r="AT26" i="4" s="1"/>
  <c r="AE30" i="4"/>
  <c r="AT30" i="4" s="1"/>
  <c r="AE43" i="4"/>
  <c r="AT43" i="4" s="1"/>
  <c r="AE35" i="4"/>
  <c r="AE34" i="4"/>
  <c r="AT34" i="4" s="1"/>
  <c r="AE41" i="4"/>
  <c r="AT41" i="4" s="1"/>
  <c r="AE33" i="4"/>
  <c r="AT33" i="4" s="1"/>
  <c r="AE40" i="4"/>
  <c r="AE32" i="4"/>
  <c r="AT32" i="4" s="1"/>
  <c r="AE47" i="4"/>
  <c r="AT47" i="4" s="1"/>
  <c r="AE39" i="4"/>
  <c r="AT39" i="4" s="1"/>
  <c r="AE46" i="4"/>
  <c r="AE38" i="4"/>
  <c r="AE45" i="4"/>
  <c r="AT45" i="4" s="1"/>
  <c r="AE37" i="4"/>
  <c r="AT37" i="4" s="1"/>
  <c r="AE44" i="4"/>
  <c r="AE36" i="4"/>
  <c r="AT36" i="4" s="1"/>
  <c r="AE42" i="4"/>
  <c r="AE22" i="4"/>
  <c r="AT22" i="4" s="1"/>
  <c r="AE18" i="4"/>
  <c r="AE14" i="4"/>
  <c r="AT14" i="4" s="1"/>
  <c r="AE10" i="4"/>
  <c r="AT10" i="4" s="1"/>
  <c r="AE6" i="4"/>
  <c r="AE9" i="4"/>
  <c r="AE12" i="4"/>
  <c r="AT12" i="4" s="1"/>
  <c r="AE4" i="4"/>
  <c r="AT4" i="4" s="1"/>
  <c r="AE19" i="4"/>
  <c r="AE15" i="4"/>
  <c r="AT15" i="4" s="1"/>
  <c r="AE7" i="4"/>
  <c r="AT7" i="4" s="1"/>
  <c r="AE21" i="4"/>
  <c r="AT21" i="4" s="1"/>
  <c r="AE17" i="4"/>
  <c r="AE13" i="4"/>
  <c r="AE5" i="4"/>
  <c r="AT5" i="4" s="1"/>
  <c r="AE20" i="4"/>
  <c r="AT20" i="4" s="1"/>
  <c r="AE16" i="4"/>
  <c r="AT16" i="4" s="1"/>
  <c r="AE8" i="4"/>
  <c r="AE11" i="4"/>
  <c r="AE3" i="4"/>
  <c r="I3" i="4"/>
  <c r="R3" i="4" s="1"/>
  <c r="I5" i="4"/>
  <c r="I6" i="4"/>
  <c r="E7" i="4"/>
  <c r="I4" i="4"/>
  <c r="B7" i="4"/>
  <c r="D7" i="4"/>
  <c r="N3" i="4"/>
  <c r="V2" i="4"/>
  <c r="N5" i="4"/>
  <c r="N4" i="4"/>
  <c r="N6" i="4"/>
  <c r="K7" i="4"/>
  <c r="M7" i="4"/>
  <c r="J7" i="4"/>
  <c r="L7" i="4"/>
  <c r="A8" i="4"/>
  <c r="AT3" i="4" l="1"/>
  <c r="AT42" i="4"/>
  <c r="AT23" i="4"/>
  <c r="AT11" i="4"/>
  <c r="AT9" i="4"/>
  <c r="AT18" i="4"/>
  <c r="AT46" i="4"/>
  <c r="AT28" i="4"/>
  <c r="AT24" i="4"/>
  <c r="AT8" i="4"/>
  <c r="AT40" i="4"/>
  <c r="AT35" i="4"/>
  <c r="AT19" i="4"/>
  <c r="AT38" i="4"/>
  <c r="AT27" i="4"/>
  <c r="AT13" i="4"/>
  <c r="AT44" i="4"/>
  <c r="AT17" i="4"/>
  <c r="AT6" i="4"/>
  <c r="AT25" i="4"/>
  <c r="BD5" i="4"/>
  <c r="BD22" i="4"/>
  <c r="BD38" i="4"/>
  <c r="BD23" i="4"/>
  <c r="BD31" i="4"/>
  <c r="BD4" i="4"/>
  <c r="BD20" i="4"/>
  <c r="BD36" i="4"/>
  <c r="BD9" i="4"/>
  <c r="BD25" i="4"/>
  <c r="BD41" i="4"/>
  <c r="BD10" i="4"/>
  <c r="BD26" i="4"/>
  <c r="BD42" i="4"/>
  <c r="BD7" i="4"/>
  <c r="BD11" i="4"/>
  <c r="BD8" i="4"/>
  <c r="BD24" i="4"/>
  <c r="BD40" i="4"/>
  <c r="BD13" i="4"/>
  <c r="BD29" i="4"/>
  <c r="BD45" i="4"/>
  <c r="BD14" i="4"/>
  <c r="BD30" i="4"/>
  <c r="BD39" i="4"/>
  <c r="BD43" i="4"/>
  <c r="BD19" i="4"/>
  <c r="BD12" i="4"/>
  <c r="BD28" i="4"/>
  <c r="BD44" i="4"/>
  <c r="BD17" i="4"/>
  <c r="BD33" i="4"/>
  <c r="BD3" i="4"/>
  <c r="BD18" i="4"/>
  <c r="BD34" i="4"/>
  <c r="BD27" i="4"/>
  <c r="BD15" i="4"/>
  <c r="BD35" i="4"/>
  <c r="BD16" i="4"/>
  <c r="BD32" i="4"/>
  <c r="BD21" i="4"/>
  <c r="BD37" i="4"/>
  <c r="BD6" i="4"/>
  <c r="I7" i="4"/>
  <c r="C8" i="4"/>
  <c r="D8" i="4"/>
  <c r="B8" i="4"/>
  <c r="E8" i="4"/>
  <c r="F8" i="4"/>
  <c r="H8" i="4"/>
  <c r="G8" i="4"/>
  <c r="N7" i="4"/>
  <c r="K8" i="4"/>
  <c r="M8" i="4"/>
  <c r="J8" i="4"/>
  <c r="L8" i="4"/>
  <c r="A9" i="4"/>
  <c r="BG1" i="4" l="1"/>
  <c r="I8" i="4"/>
  <c r="F9" i="4"/>
  <c r="G9" i="4"/>
  <c r="E9" i="4"/>
  <c r="H9" i="4"/>
  <c r="C9" i="4"/>
  <c r="D9" i="4"/>
  <c r="B9" i="4"/>
  <c r="K9" i="4"/>
  <c r="M9" i="4"/>
  <c r="J9" i="4"/>
  <c r="L9" i="4"/>
  <c r="N8" i="4"/>
  <c r="A10" i="4"/>
  <c r="BH1" i="4" l="1"/>
  <c r="C36" i="1" s="1"/>
  <c r="I9" i="4"/>
  <c r="H10" i="4"/>
  <c r="B10" i="4"/>
  <c r="E10" i="4"/>
  <c r="D10" i="4"/>
  <c r="F10" i="4"/>
  <c r="G10" i="4"/>
  <c r="C10" i="4"/>
  <c r="N9" i="4"/>
  <c r="K10" i="4"/>
  <c r="M10" i="4"/>
  <c r="J10" i="4"/>
  <c r="L10" i="4"/>
  <c r="A11" i="4"/>
  <c r="I10" i="4" l="1"/>
  <c r="F11" i="4"/>
  <c r="C11" i="4"/>
  <c r="D11" i="4"/>
  <c r="G11" i="4"/>
  <c r="E11" i="4"/>
  <c r="B11" i="4"/>
  <c r="H11" i="4"/>
  <c r="K11" i="4"/>
  <c r="M11" i="4"/>
  <c r="J11" i="4"/>
  <c r="L11" i="4"/>
  <c r="N10" i="4"/>
  <c r="A12" i="4"/>
  <c r="I11" i="4" l="1"/>
  <c r="B12" i="4"/>
  <c r="G12" i="4"/>
  <c r="E12" i="4"/>
  <c r="D12" i="4"/>
  <c r="H12" i="4"/>
  <c r="F12" i="4"/>
  <c r="C12" i="4"/>
  <c r="N11" i="4"/>
  <c r="K12" i="4"/>
  <c r="M12" i="4"/>
  <c r="J12" i="4"/>
  <c r="L12" i="4"/>
  <c r="A13" i="4"/>
  <c r="I12" i="4" l="1"/>
  <c r="G13" i="4"/>
  <c r="H13" i="4"/>
  <c r="C13" i="4"/>
  <c r="D13" i="4"/>
  <c r="F13" i="4"/>
  <c r="B13" i="4"/>
  <c r="E13" i="4"/>
  <c r="N12" i="4"/>
  <c r="K13" i="4"/>
  <c r="M13" i="4"/>
  <c r="J13" i="4"/>
  <c r="L13" i="4"/>
  <c r="A14" i="4"/>
  <c r="I13" i="4" l="1"/>
  <c r="C14" i="4"/>
  <c r="H14" i="4"/>
  <c r="B14" i="4"/>
  <c r="F14" i="4"/>
  <c r="D14" i="4"/>
  <c r="E14" i="4"/>
  <c r="G14" i="4"/>
  <c r="N13" i="4"/>
  <c r="K14" i="4"/>
  <c r="M14" i="4"/>
  <c r="J14" i="4"/>
  <c r="L14" i="4"/>
  <c r="A15" i="4"/>
  <c r="I14" i="4" l="1"/>
  <c r="H15" i="4"/>
  <c r="C15" i="4"/>
  <c r="F15" i="4"/>
  <c r="B15" i="4"/>
  <c r="E15" i="4"/>
  <c r="D15" i="4"/>
  <c r="G15" i="4"/>
  <c r="N14" i="4"/>
  <c r="K15" i="4"/>
  <c r="M15" i="4"/>
  <c r="J15" i="4"/>
  <c r="L15" i="4"/>
  <c r="A16" i="4"/>
  <c r="I15" i="4" l="1"/>
  <c r="B16" i="4"/>
  <c r="D16" i="4"/>
  <c r="C16" i="4"/>
  <c r="G16" i="4"/>
  <c r="E16" i="4"/>
  <c r="H16" i="4"/>
  <c r="F16" i="4"/>
  <c r="N15" i="4"/>
  <c r="K16" i="4"/>
  <c r="M16" i="4"/>
  <c r="J16" i="4"/>
  <c r="L16" i="4"/>
  <c r="A17" i="4"/>
  <c r="I16" i="4" l="1"/>
  <c r="B17" i="4"/>
  <c r="F17" i="4"/>
  <c r="E17" i="4"/>
  <c r="C17" i="4"/>
  <c r="D17" i="4"/>
  <c r="H17" i="4"/>
  <c r="G17" i="4"/>
  <c r="N16" i="4"/>
  <c r="K17" i="4"/>
  <c r="M17" i="4"/>
  <c r="J17" i="4"/>
  <c r="L17" i="4"/>
  <c r="A18" i="4"/>
  <c r="I17" i="4" l="1"/>
  <c r="D18" i="4"/>
  <c r="H18" i="4"/>
  <c r="G18" i="4"/>
  <c r="E18" i="4"/>
  <c r="F18" i="4"/>
  <c r="C18" i="4"/>
  <c r="B18" i="4"/>
  <c r="N17" i="4"/>
  <c r="K18" i="4"/>
  <c r="M18" i="4"/>
  <c r="J18" i="4"/>
  <c r="L18" i="4"/>
  <c r="A19" i="4"/>
  <c r="I18" i="4" l="1"/>
  <c r="G19" i="4"/>
  <c r="C19" i="4"/>
  <c r="B19" i="4"/>
  <c r="E19" i="4"/>
  <c r="D19" i="4"/>
  <c r="F19" i="4"/>
  <c r="H19" i="4"/>
  <c r="N18" i="4"/>
  <c r="K19" i="4"/>
  <c r="M19" i="4"/>
  <c r="J19" i="4"/>
  <c r="L19" i="4"/>
  <c r="A20" i="4"/>
  <c r="I19" i="4" l="1"/>
  <c r="H20" i="4"/>
  <c r="E20" i="4"/>
  <c r="G20" i="4"/>
  <c r="F20" i="4"/>
  <c r="D20" i="4"/>
  <c r="B20" i="4"/>
  <c r="C20" i="4"/>
  <c r="N19" i="4"/>
  <c r="K20" i="4"/>
  <c r="M20" i="4"/>
  <c r="J20" i="4"/>
  <c r="L20" i="4"/>
  <c r="A21" i="4"/>
  <c r="I20" i="4" l="1"/>
  <c r="E21" i="4"/>
  <c r="H21" i="4"/>
  <c r="F21" i="4"/>
  <c r="B21" i="4"/>
  <c r="D21" i="4"/>
  <c r="C21" i="4"/>
  <c r="G21" i="4"/>
  <c r="N20" i="4"/>
  <c r="K21" i="4"/>
  <c r="M21" i="4"/>
  <c r="J21" i="4"/>
  <c r="L21" i="4"/>
  <c r="A22" i="4"/>
  <c r="I21" i="4" l="1"/>
  <c r="G22" i="4"/>
  <c r="B22" i="4"/>
  <c r="H22" i="4"/>
  <c r="F22" i="4"/>
  <c r="D22" i="4"/>
  <c r="C22" i="4"/>
  <c r="E22" i="4"/>
  <c r="N21" i="4"/>
  <c r="K22" i="4"/>
  <c r="M22" i="4"/>
  <c r="J22" i="4"/>
  <c r="L22" i="4"/>
  <c r="A23" i="4"/>
  <c r="I22" i="4" l="1"/>
  <c r="F23" i="4"/>
  <c r="H23" i="4"/>
  <c r="C23" i="4"/>
  <c r="E23" i="4"/>
  <c r="B23" i="4"/>
  <c r="G23" i="4"/>
  <c r="D23" i="4"/>
  <c r="N22" i="4"/>
  <c r="K23" i="4"/>
  <c r="M23" i="4"/>
  <c r="J23" i="4"/>
  <c r="L23" i="4"/>
  <c r="A24" i="4"/>
  <c r="I23" i="4" l="1"/>
  <c r="F24" i="4"/>
  <c r="G24" i="4"/>
  <c r="C24" i="4"/>
  <c r="B24" i="4"/>
  <c r="H24" i="4"/>
  <c r="E24" i="4"/>
  <c r="D24" i="4"/>
  <c r="N23" i="4"/>
  <c r="K24" i="4"/>
  <c r="M24" i="4"/>
  <c r="J24" i="4"/>
  <c r="L24" i="4"/>
  <c r="A25" i="4"/>
  <c r="I24" i="4" l="1"/>
  <c r="G25" i="4"/>
  <c r="C25" i="4"/>
  <c r="F25" i="4"/>
  <c r="H25" i="4"/>
  <c r="D25" i="4"/>
  <c r="E25" i="4"/>
  <c r="B25" i="4"/>
  <c r="N24" i="4"/>
  <c r="K25" i="4"/>
  <c r="M25" i="4"/>
  <c r="J25" i="4"/>
  <c r="L25" i="4"/>
  <c r="A26" i="4"/>
  <c r="I25" i="4" l="1"/>
  <c r="H26" i="4"/>
  <c r="E26" i="4"/>
  <c r="F26" i="4"/>
  <c r="G26" i="4"/>
  <c r="C26" i="4"/>
  <c r="D26" i="4"/>
  <c r="B26" i="4"/>
  <c r="N25" i="4"/>
  <c r="K26" i="4"/>
  <c r="M26" i="4"/>
  <c r="J26" i="4"/>
  <c r="L26" i="4"/>
  <c r="A27" i="4"/>
  <c r="I26" i="4" l="1"/>
  <c r="F27" i="4"/>
  <c r="B27" i="4"/>
  <c r="H27" i="4"/>
  <c r="G27" i="4"/>
  <c r="C27" i="4"/>
  <c r="E27" i="4"/>
  <c r="D27" i="4"/>
  <c r="N26" i="4"/>
  <c r="K27" i="4"/>
  <c r="M27" i="4"/>
  <c r="J27" i="4"/>
  <c r="L27" i="4"/>
  <c r="A28" i="4"/>
  <c r="I27" i="4" l="1"/>
  <c r="C28" i="4"/>
  <c r="D28" i="4"/>
  <c r="E28" i="4"/>
  <c r="F28" i="4"/>
  <c r="H28" i="4"/>
  <c r="G28" i="4"/>
  <c r="B28" i="4"/>
  <c r="N27" i="4"/>
  <c r="K28" i="4"/>
  <c r="M28" i="4"/>
  <c r="J28" i="4"/>
  <c r="L28" i="4"/>
  <c r="A29" i="4"/>
  <c r="I28" i="4" l="1"/>
  <c r="E29" i="4"/>
  <c r="G29" i="4"/>
  <c r="C29" i="4"/>
  <c r="F29" i="4"/>
  <c r="H29" i="4"/>
  <c r="B29" i="4"/>
  <c r="D29" i="4"/>
  <c r="N28" i="4"/>
  <c r="K29" i="4"/>
  <c r="M29" i="4"/>
  <c r="J29" i="4"/>
  <c r="L29" i="4"/>
  <c r="A30" i="4"/>
  <c r="I29" i="4" l="1"/>
  <c r="E30" i="4"/>
  <c r="B30" i="4"/>
  <c r="C30" i="4"/>
  <c r="F30" i="4"/>
  <c r="D30" i="4"/>
  <c r="H30" i="4"/>
  <c r="G30" i="4"/>
  <c r="N29" i="4"/>
  <c r="K30" i="4"/>
  <c r="M30" i="4"/>
  <c r="J30" i="4"/>
  <c r="L30" i="4"/>
  <c r="A31" i="4"/>
  <c r="I30" i="4" l="1"/>
  <c r="H31" i="4"/>
  <c r="F31" i="4"/>
  <c r="E31" i="4"/>
  <c r="B31" i="4"/>
  <c r="D31" i="4"/>
  <c r="C31" i="4"/>
  <c r="G31" i="4"/>
  <c r="N30" i="4"/>
  <c r="K31" i="4"/>
  <c r="M31" i="4"/>
  <c r="J31" i="4"/>
  <c r="L31" i="4"/>
  <c r="A32" i="4"/>
  <c r="I31" i="4" l="1"/>
  <c r="G32" i="4"/>
  <c r="D32" i="4"/>
  <c r="H32" i="4"/>
  <c r="E32" i="4"/>
  <c r="C32" i="4"/>
  <c r="F32" i="4"/>
  <c r="B32" i="4"/>
  <c r="N31" i="4"/>
  <c r="K32" i="4"/>
  <c r="M32" i="4"/>
  <c r="J32" i="4"/>
  <c r="L32" i="4"/>
  <c r="A33" i="4"/>
  <c r="I32" i="4" l="1"/>
  <c r="B33" i="4"/>
  <c r="H33" i="4"/>
  <c r="E33" i="4"/>
  <c r="C33" i="4"/>
  <c r="F33" i="4"/>
  <c r="D33" i="4"/>
  <c r="G33" i="4"/>
  <c r="N32" i="4"/>
  <c r="K33" i="4"/>
  <c r="M33" i="4"/>
  <c r="J33" i="4"/>
  <c r="L33" i="4"/>
  <c r="A34" i="4"/>
  <c r="I33" i="4" l="1"/>
  <c r="D34" i="4"/>
  <c r="C34" i="4"/>
  <c r="B34" i="4"/>
  <c r="G34" i="4"/>
  <c r="E34" i="4"/>
  <c r="H34" i="4"/>
  <c r="F34" i="4"/>
  <c r="N33" i="4"/>
  <c r="K34" i="4"/>
  <c r="M34" i="4"/>
  <c r="J34" i="4"/>
  <c r="L34" i="4"/>
  <c r="A35" i="4"/>
  <c r="I34" i="4" l="1"/>
  <c r="E35" i="4"/>
  <c r="C35" i="4"/>
  <c r="D35" i="4"/>
  <c r="H35" i="4"/>
  <c r="F35" i="4"/>
  <c r="G35" i="4"/>
  <c r="B35" i="4"/>
  <c r="N34" i="4"/>
  <c r="K35" i="4"/>
  <c r="M35" i="4"/>
  <c r="J35" i="4"/>
  <c r="L35" i="4"/>
  <c r="A36" i="4"/>
  <c r="I35" i="4" l="1"/>
  <c r="E36" i="4"/>
  <c r="F36" i="4"/>
  <c r="B36" i="4"/>
  <c r="C36" i="4"/>
  <c r="D36" i="4"/>
  <c r="G36" i="4"/>
  <c r="H36" i="4"/>
  <c r="N35" i="4"/>
  <c r="K36" i="4"/>
  <c r="M36" i="4"/>
  <c r="J36" i="4"/>
  <c r="L36" i="4"/>
  <c r="A37" i="4"/>
  <c r="I36" i="4" l="1"/>
  <c r="G37" i="4"/>
  <c r="D37" i="4"/>
  <c r="F37" i="4"/>
  <c r="C37" i="4"/>
  <c r="B37" i="4"/>
  <c r="H37" i="4"/>
  <c r="E37" i="4"/>
  <c r="N36" i="4"/>
  <c r="K37" i="4"/>
  <c r="M37" i="4"/>
  <c r="J37" i="4"/>
  <c r="L37" i="4"/>
  <c r="A38" i="4"/>
  <c r="I37" i="4" l="1"/>
  <c r="G38" i="4"/>
  <c r="F38" i="4"/>
  <c r="B38" i="4"/>
  <c r="E38" i="4"/>
  <c r="H38" i="4"/>
  <c r="D38" i="4"/>
  <c r="C38" i="4"/>
  <c r="N37" i="4"/>
  <c r="K38" i="4"/>
  <c r="M38" i="4"/>
  <c r="J38" i="4"/>
  <c r="L38" i="4"/>
  <c r="A39" i="4"/>
  <c r="I38" i="4" l="1"/>
  <c r="D39" i="4"/>
  <c r="E39" i="4"/>
  <c r="C39" i="4"/>
  <c r="G39" i="4"/>
  <c r="H39" i="4"/>
  <c r="F39" i="4"/>
  <c r="B39" i="4"/>
  <c r="N38" i="4"/>
  <c r="K39" i="4"/>
  <c r="M39" i="4"/>
  <c r="J39" i="4"/>
  <c r="L39" i="4"/>
  <c r="A40" i="4"/>
  <c r="I39" i="4" l="1"/>
  <c r="B40" i="4"/>
  <c r="F40" i="4"/>
  <c r="D40" i="4"/>
  <c r="G40" i="4"/>
  <c r="C40" i="4"/>
  <c r="E40" i="4"/>
  <c r="H40" i="4"/>
  <c r="K40" i="4"/>
  <c r="M40" i="4"/>
  <c r="J40" i="4"/>
  <c r="L40" i="4"/>
  <c r="N39" i="4"/>
  <c r="A41" i="4"/>
  <c r="I40" i="4" l="1"/>
  <c r="F41" i="4"/>
  <c r="C41" i="4"/>
  <c r="H41" i="4"/>
  <c r="E41" i="4"/>
  <c r="G41" i="4"/>
  <c r="D41" i="4"/>
  <c r="B41" i="4"/>
  <c r="N40" i="4"/>
  <c r="K41" i="4"/>
  <c r="M41" i="4"/>
  <c r="J41" i="4"/>
  <c r="L41" i="4"/>
  <c r="A42" i="4"/>
  <c r="I41" i="4" l="1"/>
  <c r="B42" i="4"/>
  <c r="F42" i="4"/>
  <c r="D42" i="4"/>
  <c r="C42" i="4"/>
  <c r="G42" i="4"/>
  <c r="E42" i="4"/>
  <c r="H42" i="4"/>
  <c r="N41" i="4"/>
  <c r="K42" i="4"/>
  <c r="M42" i="4"/>
  <c r="J42" i="4"/>
  <c r="L42" i="4"/>
  <c r="A43" i="4"/>
  <c r="I42" i="4" l="1"/>
  <c r="F43" i="4"/>
  <c r="G43" i="4"/>
  <c r="E43" i="4"/>
  <c r="B43" i="4"/>
  <c r="C43" i="4"/>
  <c r="H43" i="4"/>
  <c r="D43" i="4"/>
  <c r="N42" i="4"/>
  <c r="K43" i="4"/>
  <c r="M43" i="4"/>
  <c r="J43" i="4"/>
  <c r="L43" i="4"/>
  <c r="A44" i="4"/>
  <c r="I43" i="4" l="1"/>
  <c r="H44" i="4"/>
  <c r="B44" i="4"/>
  <c r="C44" i="4"/>
  <c r="D44" i="4"/>
  <c r="F44" i="4"/>
  <c r="G44" i="4"/>
  <c r="E44" i="4"/>
  <c r="N43" i="4"/>
  <c r="K44" i="4"/>
  <c r="M44" i="4"/>
  <c r="J44" i="4"/>
  <c r="L44" i="4"/>
  <c r="A45" i="4"/>
  <c r="I44" i="4" l="1"/>
  <c r="D45" i="4"/>
  <c r="B45" i="4"/>
  <c r="H45" i="4"/>
  <c r="C45" i="4"/>
  <c r="F45" i="4"/>
  <c r="G45" i="4"/>
  <c r="E45" i="4"/>
  <c r="N44" i="4"/>
  <c r="K45" i="4"/>
  <c r="M45" i="4"/>
  <c r="J45" i="4"/>
  <c r="L45" i="4"/>
  <c r="A46" i="4"/>
  <c r="I45" i="4" l="1"/>
  <c r="H46" i="4"/>
  <c r="D46" i="4"/>
  <c r="G46" i="4"/>
  <c r="F46" i="4"/>
  <c r="C46" i="4"/>
  <c r="B46" i="4"/>
  <c r="E46" i="4"/>
  <c r="N45" i="4"/>
  <c r="K46" i="4"/>
  <c r="M46" i="4"/>
  <c r="J46" i="4"/>
  <c r="L46" i="4"/>
  <c r="A47" i="4"/>
  <c r="I46" i="4" l="1"/>
  <c r="F47" i="4"/>
  <c r="D47" i="4"/>
  <c r="H47" i="4"/>
  <c r="G47" i="4"/>
  <c r="B47" i="4"/>
  <c r="E47" i="4"/>
  <c r="C47" i="4"/>
  <c r="N46" i="4"/>
  <c r="K47" i="4"/>
  <c r="M47" i="4"/>
  <c r="J47" i="4"/>
  <c r="L47" i="4"/>
  <c r="A48" i="4"/>
  <c r="I47" i="4" l="1"/>
  <c r="F48" i="4"/>
  <c r="E48" i="4"/>
  <c r="H48" i="4"/>
  <c r="B48" i="4"/>
  <c r="C48" i="4"/>
  <c r="D48" i="4"/>
  <c r="G48" i="4"/>
  <c r="N47" i="4"/>
  <c r="K48" i="4"/>
  <c r="M48" i="4"/>
  <c r="J48" i="4"/>
  <c r="L48" i="4"/>
  <c r="A49" i="4"/>
  <c r="I48" i="4" l="1"/>
  <c r="E49" i="4"/>
  <c r="D49" i="4"/>
  <c r="G49" i="4"/>
  <c r="B49" i="4"/>
  <c r="C49" i="4"/>
  <c r="H49" i="4"/>
  <c r="F49" i="4"/>
  <c r="N48" i="4"/>
  <c r="K49" i="4"/>
  <c r="M49" i="4"/>
  <c r="J49" i="4"/>
  <c r="L49" i="4"/>
  <c r="A50" i="4"/>
  <c r="I49" i="4" l="1"/>
  <c r="F50" i="4"/>
  <c r="D50" i="4"/>
  <c r="C50" i="4"/>
  <c r="G50" i="4"/>
  <c r="H50" i="4"/>
  <c r="E50" i="4"/>
  <c r="B50" i="4"/>
  <c r="N49" i="4"/>
  <c r="K50" i="4"/>
  <c r="M50" i="4"/>
  <c r="J50" i="4"/>
  <c r="L50" i="4"/>
  <c r="A51" i="4"/>
  <c r="I50" i="4" l="1"/>
  <c r="G51" i="4"/>
  <c r="H51" i="4"/>
  <c r="E51" i="4"/>
  <c r="D51" i="4"/>
  <c r="C51" i="4"/>
  <c r="F51" i="4"/>
  <c r="B51" i="4"/>
  <c r="N50" i="4"/>
  <c r="K51" i="4"/>
  <c r="M51" i="4"/>
  <c r="J51" i="4"/>
  <c r="L51" i="4"/>
  <c r="A52" i="4"/>
  <c r="I51" i="4" l="1"/>
  <c r="G52" i="4"/>
  <c r="C52" i="4"/>
  <c r="H52" i="4"/>
  <c r="E52" i="4"/>
  <c r="F52" i="4"/>
  <c r="D52" i="4"/>
  <c r="B52" i="4"/>
  <c r="N51" i="4"/>
  <c r="K52" i="4"/>
  <c r="M52" i="4"/>
  <c r="J52" i="4"/>
  <c r="L52" i="4"/>
  <c r="A53" i="4"/>
  <c r="I52" i="4" l="1"/>
  <c r="H53" i="4"/>
  <c r="D53" i="4"/>
  <c r="F53" i="4"/>
  <c r="B53" i="4"/>
  <c r="E53" i="4"/>
  <c r="C53" i="4"/>
  <c r="G53" i="4"/>
  <c r="N52" i="4"/>
  <c r="K53" i="4"/>
  <c r="M53" i="4"/>
  <c r="J53" i="4"/>
  <c r="L53" i="4"/>
  <c r="A54" i="4"/>
  <c r="I53" i="4" l="1"/>
  <c r="D54" i="4"/>
  <c r="F54" i="4"/>
  <c r="E54" i="4"/>
  <c r="G54" i="4"/>
  <c r="C54" i="4"/>
  <c r="B54" i="4"/>
  <c r="H54" i="4"/>
  <c r="N53" i="4"/>
  <c r="K54" i="4"/>
  <c r="M54" i="4"/>
  <c r="J54" i="4"/>
  <c r="L54" i="4"/>
  <c r="A55" i="4"/>
  <c r="I54" i="4" l="1"/>
  <c r="F55" i="4"/>
  <c r="D55" i="4"/>
  <c r="B55" i="4"/>
  <c r="E55" i="4"/>
  <c r="G55" i="4"/>
  <c r="H55" i="4"/>
  <c r="C55" i="4"/>
  <c r="N54" i="4"/>
  <c r="K55" i="4"/>
  <c r="M55" i="4"/>
  <c r="J55" i="4"/>
  <c r="L55" i="4"/>
  <c r="A56" i="4"/>
  <c r="I55" i="4" l="1"/>
  <c r="H56" i="4"/>
  <c r="G56" i="4"/>
  <c r="E56" i="4"/>
  <c r="F56" i="4"/>
  <c r="D56" i="4"/>
  <c r="B56" i="4"/>
  <c r="C56" i="4"/>
  <c r="N55" i="4"/>
  <c r="K56" i="4"/>
  <c r="M56" i="4"/>
  <c r="J56" i="4"/>
  <c r="L56" i="4"/>
  <c r="A57" i="4"/>
  <c r="I56" i="4" l="1"/>
  <c r="G57" i="4"/>
  <c r="D57" i="4"/>
  <c r="H57" i="4"/>
  <c r="B57" i="4"/>
  <c r="C57" i="4"/>
  <c r="F57" i="4"/>
  <c r="E57" i="4"/>
  <c r="N56" i="4"/>
  <c r="K57" i="4"/>
  <c r="M57" i="4"/>
  <c r="J57" i="4"/>
  <c r="L57" i="4"/>
  <c r="A58" i="4"/>
  <c r="I57" i="4" l="1"/>
  <c r="H58" i="4"/>
  <c r="D58" i="4"/>
  <c r="G58" i="4"/>
  <c r="E58" i="4"/>
  <c r="B58" i="4"/>
  <c r="F58" i="4"/>
  <c r="C58" i="4"/>
  <c r="N57" i="4"/>
  <c r="K58" i="4"/>
  <c r="M58" i="4"/>
  <c r="J58" i="4"/>
  <c r="L58" i="4"/>
  <c r="A59" i="4"/>
  <c r="I58" i="4" l="1"/>
  <c r="H59" i="4"/>
  <c r="E59" i="4"/>
  <c r="B59" i="4"/>
  <c r="D59" i="4"/>
  <c r="G59" i="4"/>
  <c r="C59" i="4"/>
  <c r="F59" i="4"/>
  <c r="N58" i="4"/>
  <c r="K59" i="4"/>
  <c r="M59" i="4"/>
  <c r="J59" i="4"/>
  <c r="L59" i="4"/>
  <c r="A60" i="4"/>
  <c r="I59" i="4" l="1"/>
  <c r="D60" i="4"/>
  <c r="E60" i="4"/>
  <c r="C60" i="4"/>
  <c r="F60" i="4"/>
  <c r="B60" i="4"/>
  <c r="G60" i="4"/>
  <c r="H60" i="4"/>
  <c r="N59" i="4"/>
  <c r="K60" i="4"/>
  <c r="M60" i="4"/>
  <c r="J60" i="4"/>
  <c r="L60" i="4"/>
  <c r="A61" i="4"/>
  <c r="I60" i="4" l="1"/>
  <c r="F61" i="4"/>
  <c r="G61" i="4"/>
  <c r="D61" i="4"/>
  <c r="H61" i="4"/>
  <c r="C61" i="4"/>
  <c r="E61" i="4"/>
  <c r="B61" i="4"/>
  <c r="K61" i="4"/>
  <c r="M61" i="4"/>
  <c r="J61" i="4"/>
  <c r="L61" i="4"/>
  <c r="N60" i="4"/>
  <c r="A62" i="4"/>
  <c r="I61" i="4" l="1"/>
  <c r="G62" i="4"/>
  <c r="E62" i="4"/>
  <c r="C62" i="4"/>
  <c r="D62" i="4"/>
  <c r="B62" i="4"/>
  <c r="H62" i="4"/>
  <c r="F62" i="4"/>
  <c r="N61" i="4"/>
  <c r="K62" i="4"/>
  <c r="M62" i="4"/>
  <c r="J62" i="4"/>
  <c r="L62" i="4"/>
  <c r="A63" i="4"/>
  <c r="I62" i="4" l="1"/>
  <c r="F63" i="4"/>
  <c r="G63" i="4"/>
  <c r="E63" i="4"/>
  <c r="B63" i="4"/>
  <c r="H63" i="4"/>
  <c r="C63" i="4"/>
  <c r="D63" i="4"/>
  <c r="N62" i="4"/>
  <c r="K63" i="4"/>
  <c r="M63" i="4"/>
  <c r="J63" i="4"/>
  <c r="L63" i="4"/>
  <c r="A64" i="4"/>
  <c r="I63" i="4" l="1"/>
  <c r="G64" i="4"/>
  <c r="D64" i="4"/>
  <c r="F64" i="4"/>
  <c r="H64" i="4"/>
  <c r="B64" i="4"/>
  <c r="E64" i="4"/>
  <c r="C64" i="4"/>
  <c r="N63" i="4"/>
  <c r="K64" i="4"/>
  <c r="M64" i="4"/>
  <c r="J64" i="4"/>
  <c r="L64" i="4"/>
  <c r="A65" i="4"/>
  <c r="I64" i="4" l="1"/>
  <c r="D65" i="4"/>
  <c r="E65" i="4"/>
  <c r="F65" i="4"/>
  <c r="H65" i="4"/>
  <c r="C65" i="4"/>
  <c r="G65" i="4"/>
  <c r="B65" i="4"/>
  <c r="K65" i="4"/>
  <c r="M65" i="4"/>
  <c r="J65" i="4"/>
  <c r="L65" i="4"/>
  <c r="N64" i="4"/>
  <c r="A66" i="4"/>
  <c r="I65" i="4" l="1"/>
  <c r="F66" i="4"/>
  <c r="C66" i="4"/>
  <c r="G66" i="4"/>
  <c r="B66" i="4"/>
  <c r="D66" i="4"/>
  <c r="E66" i="4"/>
  <c r="H66" i="4"/>
  <c r="N65" i="4"/>
  <c r="K66" i="4"/>
  <c r="M66" i="4"/>
  <c r="J66" i="4"/>
  <c r="L66" i="4"/>
  <c r="A67" i="4"/>
  <c r="I66" i="4" l="1"/>
  <c r="E67" i="4"/>
  <c r="B67" i="4"/>
  <c r="D67" i="4"/>
  <c r="F67" i="4"/>
  <c r="G67" i="4"/>
  <c r="H67" i="4"/>
  <c r="C67" i="4"/>
  <c r="N66" i="4"/>
  <c r="K67" i="4"/>
  <c r="M67" i="4"/>
  <c r="J67" i="4"/>
  <c r="L67" i="4"/>
  <c r="A68" i="4"/>
  <c r="I67" i="4" l="1"/>
  <c r="B68" i="4"/>
  <c r="F68" i="4"/>
  <c r="H68" i="4"/>
  <c r="G68" i="4"/>
  <c r="C68" i="4"/>
  <c r="D68" i="4"/>
  <c r="E68" i="4"/>
  <c r="N67" i="4"/>
  <c r="K68" i="4"/>
  <c r="M68" i="4"/>
  <c r="J68" i="4"/>
  <c r="L68" i="4"/>
  <c r="A69" i="4"/>
  <c r="I68" i="4" l="1"/>
  <c r="G69" i="4"/>
  <c r="C69" i="4"/>
  <c r="B69" i="4"/>
  <c r="H69" i="4"/>
  <c r="E69" i="4"/>
  <c r="D69" i="4"/>
  <c r="F69" i="4"/>
  <c r="N68" i="4"/>
  <c r="K69" i="4"/>
  <c r="M69" i="4"/>
  <c r="J69" i="4"/>
  <c r="L69" i="4"/>
  <c r="A70" i="4"/>
  <c r="I69" i="4" l="1"/>
  <c r="B70" i="4"/>
  <c r="E70" i="4"/>
  <c r="H70" i="4"/>
  <c r="C70" i="4"/>
  <c r="F70" i="4"/>
  <c r="D70" i="4"/>
  <c r="G70" i="4"/>
  <c r="N69" i="4"/>
  <c r="K70" i="4"/>
  <c r="M70" i="4"/>
  <c r="J70" i="4"/>
  <c r="L70" i="4"/>
  <c r="A71" i="4"/>
  <c r="I70" i="4" l="1"/>
  <c r="D71" i="4"/>
  <c r="C71" i="4"/>
  <c r="H71" i="4"/>
  <c r="F71" i="4"/>
  <c r="G71" i="4"/>
  <c r="E71" i="4"/>
  <c r="B71" i="4"/>
  <c r="K71" i="4"/>
  <c r="M71" i="4"/>
  <c r="J71" i="4"/>
  <c r="L71" i="4"/>
  <c r="N70" i="4"/>
  <c r="A72" i="4"/>
  <c r="I71" i="4" l="1"/>
  <c r="E72" i="4"/>
  <c r="D72" i="4"/>
  <c r="C72" i="4"/>
  <c r="H72" i="4"/>
  <c r="F72" i="4"/>
  <c r="B72" i="4"/>
  <c r="G72" i="4"/>
  <c r="N71" i="4"/>
  <c r="K72" i="4"/>
  <c r="M72" i="4"/>
  <c r="J72" i="4"/>
  <c r="L72" i="4"/>
  <c r="A73" i="4"/>
  <c r="I72" i="4" l="1"/>
  <c r="C73" i="4"/>
  <c r="B73" i="4"/>
  <c r="H73" i="4"/>
  <c r="F73" i="4"/>
  <c r="D73" i="4"/>
  <c r="G73" i="4"/>
  <c r="E73" i="4"/>
  <c r="N72" i="4"/>
  <c r="K73" i="4"/>
  <c r="M73" i="4"/>
  <c r="J73" i="4"/>
  <c r="L73" i="4"/>
  <c r="A74" i="4"/>
  <c r="I73" i="4" l="1"/>
  <c r="D74" i="4"/>
  <c r="F74" i="4"/>
  <c r="H74" i="4"/>
  <c r="E74" i="4"/>
  <c r="C74" i="4"/>
  <c r="G74" i="4"/>
  <c r="B74" i="4"/>
  <c r="N73" i="4"/>
  <c r="K74" i="4"/>
  <c r="M74" i="4"/>
  <c r="J74" i="4"/>
  <c r="L74" i="4"/>
  <c r="A75" i="4"/>
  <c r="I74" i="4" l="1"/>
  <c r="F75" i="4"/>
  <c r="B75" i="4"/>
  <c r="E75" i="4"/>
  <c r="G75" i="4"/>
  <c r="C75" i="4"/>
  <c r="D75" i="4"/>
  <c r="H75" i="4"/>
  <c r="N74" i="4"/>
  <c r="K75" i="4"/>
  <c r="M75" i="4"/>
  <c r="J75" i="4"/>
  <c r="L75" i="4"/>
  <c r="A76" i="4"/>
  <c r="I75" i="4" l="1"/>
  <c r="G76" i="4"/>
  <c r="B76" i="4"/>
  <c r="E76" i="4"/>
  <c r="D76" i="4"/>
  <c r="C76" i="4"/>
  <c r="F76" i="4"/>
  <c r="H76" i="4"/>
  <c r="N75" i="4"/>
  <c r="K76" i="4"/>
  <c r="M76" i="4"/>
  <c r="J76" i="4"/>
  <c r="L76" i="4"/>
  <c r="A77" i="4"/>
  <c r="I76" i="4" l="1"/>
  <c r="E77" i="4"/>
  <c r="B77" i="4"/>
  <c r="F77" i="4"/>
  <c r="G77" i="4"/>
  <c r="H77" i="4"/>
  <c r="D77" i="4"/>
  <c r="C77" i="4"/>
  <c r="K77" i="4"/>
  <c r="M77" i="4"/>
  <c r="J77" i="4"/>
  <c r="L77" i="4"/>
  <c r="N76" i="4"/>
  <c r="A78" i="4"/>
  <c r="I77" i="4" l="1"/>
  <c r="H78" i="4"/>
  <c r="B78" i="4"/>
  <c r="F78" i="4"/>
  <c r="E78" i="4"/>
  <c r="D78" i="4"/>
  <c r="G78" i="4"/>
  <c r="C78" i="4"/>
  <c r="N77" i="4"/>
  <c r="K78" i="4"/>
  <c r="M78" i="4"/>
  <c r="J78" i="4"/>
  <c r="L78" i="4"/>
  <c r="A79" i="4"/>
  <c r="I78" i="4" l="1"/>
  <c r="C79" i="4"/>
  <c r="E79" i="4"/>
  <c r="H79" i="4"/>
  <c r="D79" i="4"/>
  <c r="G79" i="4"/>
  <c r="B79" i="4"/>
  <c r="F79" i="4"/>
  <c r="N78" i="4"/>
  <c r="K79" i="4"/>
  <c r="M79" i="4"/>
  <c r="J79" i="4"/>
  <c r="L79" i="4"/>
  <c r="A80" i="4"/>
  <c r="I79" i="4" l="1"/>
  <c r="B80" i="4"/>
  <c r="F80" i="4"/>
  <c r="C80" i="4"/>
  <c r="E80" i="4"/>
  <c r="H80" i="4"/>
  <c r="G80" i="4"/>
  <c r="D80" i="4"/>
  <c r="K80" i="4"/>
  <c r="M80" i="4"/>
  <c r="J80" i="4"/>
  <c r="L80" i="4"/>
  <c r="N79" i="4"/>
  <c r="A81" i="4"/>
  <c r="I80" i="4" l="1"/>
  <c r="F81" i="4"/>
  <c r="C81" i="4"/>
  <c r="B81" i="4"/>
  <c r="D81" i="4"/>
  <c r="G81" i="4"/>
  <c r="H81" i="4"/>
  <c r="E81" i="4"/>
  <c r="N80" i="4"/>
  <c r="K81" i="4"/>
  <c r="M81" i="4"/>
  <c r="J81" i="4"/>
  <c r="L81" i="4"/>
  <c r="A82" i="4"/>
  <c r="I81" i="4" l="1"/>
  <c r="B82" i="4"/>
  <c r="H82" i="4"/>
  <c r="D82" i="4"/>
  <c r="F82" i="4"/>
  <c r="E82" i="4"/>
  <c r="C82" i="4"/>
  <c r="G82" i="4"/>
  <c r="N81" i="4"/>
  <c r="K82" i="4"/>
  <c r="M82" i="4"/>
  <c r="J82" i="4"/>
  <c r="L82" i="4"/>
  <c r="A83" i="4"/>
  <c r="I82" i="4" l="1"/>
  <c r="H83" i="4"/>
  <c r="C83" i="4"/>
  <c r="B83" i="4"/>
  <c r="F83" i="4"/>
  <c r="G83" i="4"/>
  <c r="D83" i="4"/>
  <c r="E83" i="4"/>
  <c r="N82" i="4"/>
  <c r="K83" i="4"/>
  <c r="M83" i="4"/>
  <c r="J83" i="4"/>
  <c r="L83" i="4"/>
  <c r="A84" i="4"/>
  <c r="I83" i="4" l="1"/>
  <c r="G84" i="4"/>
  <c r="H84" i="4"/>
  <c r="F84" i="4"/>
  <c r="B84" i="4"/>
  <c r="C84" i="4"/>
  <c r="D84" i="4"/>
  <c r="E84" i="4"/>
  <c r="N83" i="4"/>
  <c r="K84" i="4"/>
  <c r="M84" i="4"/>
  <c r="J84" i="4"/>
  <c r="L84" i="4"/>
  <c r="A85" i="4"/>
  <c r="I84" i="4" l="1"/>
  <c r="H85" i="4"/>
  <c r="E85" i="4"/>
  <c r="B85" i="4"/>
  <c r="C85" i="4"/>
  <c r="G85" i="4"/>
  <c r="F85" i="4"/>
  <c r="D85" i="4"/>
  <c r="N84" i="4"/>
  <c r="K85" i="4"/>
  <c r="M85" i="4"/>
  <c r="J85" i="4"/>
  <c r="L85" i="4"/>
  <c r="A86" i="4"/>
  <c r="I85" i="4" l="1"/>
  <c r="H86" i="4"/>
  <c r="G86" i="4"/>
  <c r="E86" i="4"/>
  <c r="F86" i="4"/>
  <c r="B86" i="4"/>
  <c r="D86" i="4"/>
  <c r="C86" i="4"/>
  <c r="K86" i="4"/>
  <c r="M86" i="4"/>
  <c r="J86" i="4"/>
  <c r="L86" i="4"/>
  <c r="N85" i="4"/>
  <c r="A87" i="4"/>
  <c r="I86" i="4" l="1"/>
  <c r="G87" i="4"/>
  <c r="D87" i="4"/>
  <c r="E87" i="4"/>
  <c r="B87" i="4"/>
  <c r="H87" i="4"/>
  <c r="F87" i="4"/>
  <c r="C87" i="4"/>
  <c r="N86" i="4"/>
  <c r="K87" i="4"/>
  <c r="M87" i="4"/>
  <c r="J87" i="4"/>
  <c r="L87" i="4"/>
  <c r="A88" i="4"/>
  <c r="I87" i="4" l="1"/>
  <c r="C88" i="4"/>
  <c r="G88" i="4"/>
  <c r="D88" i="4"/>
  <c r="B88" i="4"/>
  <c r="F88" i="4"/>
  <c r="H88" i="4"/>
  <c r="E88" i="4"/>
  <c r="N87" i="4"/>
  <c r="K88" i="4"/>
  <c r="M88" i="4"/>
  <c r="J88" i="4"/>
  <c r="L88" i="4"/>
  <c r="A89" i="4"/>
  <c r="I88" i="4" l="1"/>
  <c r="G89" i="4"/>
  <c r="B89" i="4"/>
  <c r="H89" i="4"/>
  <c r="F89" i="4"/>
  <c r="D89" i="4"/>
  <c r="E89" i="4"/>
  <c r="C89" i="4"/>
  <c r="N88" i="4"/>
  <c r="K89" i="4"/>
  <c r="M89" i="4"/>
  <c r="J89" i="4"/>
  <c r="L89" i="4"/>
  <c r="A90" i="4"/>
  <c r="I89" i="4" l="1"/>
  <c r="H90" i="4"/>
  <c r="E90" i="4"/>
  <c r="G90" i="4"/>
  <c r="F90" i="4"/>
  <c r="C90" i="4"/>
  <c r="B90" i="4"/>
  <c r="D90" i="4"/>
  <c r="N89" i="4"/>
  <c r="K90" i="4"/>
  <c r="J90" i="4"/>
  <c r="M90" i="4"/>
  <c r="L90" i="4"/>
  <c r="A91" i="4"/>
  <c r="I90" i="4" l="1"/>
  <c r="C91" i="4"/>
  <c r="H91" i="4"/>
  <c r="D91" i="4"/>
  <c r="B91" i="4"/>
  <c r="F91" i="4"/>
  <c r="E91" i="4"/>
  <c r="G91" i="4"/>
  <c r="N90" i="4"/>
  <c r="K91" i="4"/>
  <c r="M91" i="4"/>
  <c r="J91" i="4"/>
  <c r="L91" i="4"/>
  <c r="A92" i="4"/>
  <c r="I91" i="4" l="1"/>
  <c r="B92" i="4"/>
  <c r="E92" i="4"/>
  <c r="H92" i="4"/>
  <c r="F92" i="4"/>
  <c r="D92" i="4"/>
  <c r="G92" i="4"/>
  <c r="C92" i="4"/>
  <c r="N91" i="4"/>
  <c r="K92" i="4"/>
  <c r="J92" i="4"/>
  <c r="M92" i="4"/>
  <c r="L92" i="4"/>
  <c r="A93" i="4"/>
  <c r="I92" i="4" l="1"/>
  <c r="D93" i="4"/>
  <c r="G93" i="4"/>
  <c r="C93" i="4"/>
  <c r="B93" i="4"/>
  <c r="H93" i="4"/>
  <c r="F93" i="4"/>
  <c r="E93" i="4"/>
  <c r="N92" i="4"/>
  <c r="K93" i="4"/>
  <c r="M93" i="4"/>
  <c r="J93" i="4"/>
  <c r="L93" i="4"/>
  <c r="A94" i="4"/>
  <c r="I93" i="4" l="1"/>
  <c r="E94" i="4"/>
  <c r="C94" i="4"/>
  <c r="F94" i="4"/>
  <c r="H94" i="4"/>
  <c r="D94" i="4"/>
  <c r="G94" i="4"/>
  <c r="B94" i="4"/>
  <c r="K94" i="4"/>
  <c r="J94" i="4"/>
  <c r="M94" i="4"/>
  <c r="L94" i="4"/>
  <c r="N93" i="4"/>
  <c r="A95" i="4"/>
  <c r="I94" i="4" l="1"/>
  <c r="F95" i="4"/>
  <c r="E95" i="4"/>
  <c r="C95" i="4"/>
  <c r="H95" i="4"/>
  <c r="G95" i="4"/>
  <c r="B95" i="4"/>
  <c r="D95" i="4"/>
  <c r="N94" i="4"/>
  <c r="K95" i="4"/>
  <c r="M95" i="4"/>
  <c r="J95" i="4"/>
  <c r="L95" i="4"/>
  <c r="A96" i="4"/>
  <c r="I95" i="4" l="1"/>
  <c r="G96" i="4"/>
  <c r="E96" i="4"/>
  <c r="B96" i="4"/>
  <c r="D96" i="4"/>
  <c r="C96" i="4"/>
  <c r="F96" i="4"/>
  <c r="H96" i="4"/>
  <c r="N95" i="4"/>
  <c r="K96" i="4"/>
  <c r="J96" i="4"/>
  <c r="M96" i="4"/>
  <c r="L96" i="4"/>
  <c r="A97" i="4"/>
  <c r="I96" i="4" l="1"/>
  <c r="D97" i="4"/>
  <c r="E97" i="4"/>
  <c r="H97" i="4"/>
  <c r="F97" i="4"/>
  <c r="G97" i="4"/>
  <c r="C97" i="4"/>
  <c r="B97" i="4"/>
  <c r="K97" i="4"/>
  <c r="M97" i="4"/>
  <c r="J97" i="4"/>
  <c r="L97" i="4"/>
  <c r="N96" i="4"/>
  <c r="A98" i="4"/>
  <c r="I97" i="4" l="1"/>
  <c r="C98" i="4"/>
  <c r="D98" i="4"/>
  <c r="B98" i="4"/>
  <c r="E98" i="4"/>
  <c r="F98" i="4"/>
  <c r="H98" i="4"/>
  <c r="G98" i="4"/>
  <c r="N97" i="4"/>
  <c r="K98" i="4"/>
  <c r="M98" i="4"/>
  <c r="J98" i="4"/>
  <c r="L98" i="4"/>
  <c r="A99" i="4"/>
  <c r="I98" i="4" l="1"/>
  <c r="C99" i="4"/>
  <c r="E99" i="4"/>
  <c r="G99" i="4"/>
  <c r="F99" i="4"/>
  <c r="B99" i="4"/>
  <c r="H99" i="4"/>
  <c r="D99" i="4"/>
  <c r="N98" i="4"/>
  <c r="K99" i="4"/>
  <c r="M99" i="4"/>
  <c r="J99" i="4"/>
  <c r="L99" i="4"/>
  <c r="A100" i="4"/>
  <c r="I99" i="4" l="1"/>
  <c r="E100" i="4"/>
  <c r="F100" i="4"/>
  <c r="G100" i="4"/>
  <c r="H100" i="4"/>
  <c r="B100" i="4"/>
  <c r="D100" i="4"/>
  <c r="C100" i="4"/>
  <c r="N99" i="4"/>
  <c r="K100" i="4"/>
  <c r="M100" i="4"/>
  <c r="J100" i="4"/>
  <c r="L100" i="4"/>
  <c r="A101" i="4"/>
  <c r="I100" i="4" l="1"/>
  <c r="G101" i="4"/>
  <c r="C101" i="4"/>
  <c r="E101" i="4"/>
  <c r="F101" i="4"/>
  <c r="B101" i="4"/>
  <c r="D101" i="4"/>
  <c r="H101" i="4"/>
  <c r="N100" i="4"/>
  <c r="K101" i="4"/>
  <c r="M101" i="4"/>
  <c r="J101" i="4"/>
  <c r="L101" i="4"/>
  <c r="A102" i="4"/>
  <c r="I101" i="4" l="1"/>
  <c r="D102" i="4"/>
  <c r="B102" i="4"/>
  <c r="F102" i="4"/>
  <c r="G102" i="4"/>
  <c r="H102" i="4"/>
  <c r="E102" i="4"/>
  <c r="C102" i="4"/>
  <c r="R101" i="4"/>
  <c r="K102" i="4"/>
  <c r="M102" i="4"/>
  <c r="J102" i="4"/>
  <c r="L102" i="4"/>
  <c r="N101" i="4"/>
  <c r="S101" i="4" s="1"/>
  <c r="R22" i="4"/>
  <c r="S80" i="4"/>
  <c r="S16" i="4"/>
  <c r="R21" i="4"/>
  <c r="R5" i="4"/>
  <c r="R4" i="4"/>
  <c r="R6" i="4"/>
  <c r="R7" i="4"/>
  <c r="R8" i="4"/>
  <c r="R32" i="4"/>
  <c r="S17" i="4"/>
  <c r="S18" i="4"/>
  <c r="S20" i="4"/>
  <c r="S22" i="4"/>
  <c r="S24" i="4"/>
  <c r="S26" i="4"/>
  <c r="S28" i="4"/>
  <c r="S30" i="4"/>
  <c r="R33" i="4"/>
  <c r="S35" i="4"/>
  <c r="S37" i="4"/>
  <c r="R39" i="4"/>
  <c r="S42" i="4"/>
  <c r="S44" i="4"/>
  <c r="S46" i="4"/>
  <c r="S48" i="4"/>
  <c r="S50" i="4"/>
  <c r="R52" i="4"/>
  <c r="S54" i="4"/>
  <c r="S56" i="4"/>
  <c r="S58" i="4"/>
  <c r="S60" i="4"/>
  <c r="S62" i="4"/>
  <c r="S64" i="4"/>
  <c r="S66" i="4"/>
  <c r="R68" i="4"/>
  <c r="S70" i="4"/>
  <c r="S72" i="4"/>
  <c r="S74" i="4"/>
  <c r="S76" i="4"/>
  <c r="S78" i="4"/>
  <c r="R79" i="4"/>
  <c r="S81" i="4"/>
  <c r="S83" i="4"/>
  <c r="S85" i="4"/>
  <c r="S87" i="4"/>
  <c r="S89" i="4"/>
  <c r="S91" i="4"/>
  <c r="S93" i="4"/>
  <c r="S95" i="4"/>
  <c r="R96" i="4"/>
  <c r="R98" i="4"/>
  <c r="S100" i="4"/>
  <c r="R100" i="4"/>
  <c r="S9" i="4"/>
  <c r="R10" i="4"/>
  <c r="R11" i="4"/>
  <c r="S12" i="4"/>
  <c r="R13" i="4"/>
  <c r="R14" i="4"/>
  <c r="S15" i="4"/>
  <c r="S19" i="4"/>
  <c r="S21" i="4"/>
  <c r="R23" i="4"/>
  <c r="R25" i="4"/>
  <c r="R27" i="4"/>
  <c r="R29" i="4"/>
  <c r="R31" i="4"/>
  <c r="S34" i="4"/>
  <c r="R36" i="4"/>
  <c r="R38" i="4"/>
  <c r="R40" i="4"/>
  <c r="R41" i="4"/>
  <c r="R43" i="4"/>
  <c r="R45" i="4"/>
  <c r="R47" i="4"/>
  <c r="R49" i="4"/>
  <c r="R51" i="4"/>
  <c r="R53" i="4"/>
  <c r="S55" i="4"/>
  <c r="R57" i="4"/>
  <c r="R59" i="4"/>
  <c r="R61" i="4"/>
  <c r="R63" i="4"/>
  <c r="R65" i="4"/>
  <c r="R67" i="4"/>
  <c r="S69" i="4"/>
  <c r="R71" i="4"/>
  <c r="R73" i="4"/>
  <c r="R75" i="4"/>
  <c r="R77" i="4"/>
  <c r="R82" i="4"/>
  <c r="R84" i="4"/>
  <c r="R86" i="4"/>
  <c r="R88" i="4"/>
  <c r="R90" i="4"/>
  <c r="R92" i="4"/>
  <c r="R94" i="4"/>
  <c r="R97" i="4"/>
  <c r="R99" i="4"/>
  <c r="S3" i="4"/>
  <c r="S5" i="4"/>
  <c r="S4" i="4"/>
  <c r="S6" i="4"/>
  <c r="S7" i="4"/>
  <c r="S8" i="4"/>
  <c r="S32" i="4"/>
  <c r="S13" i="4"/>
  <c r="R16" i="4"/>
  <c r="R17" i="4"/>
  <c r="R18" i="4"/>
  <c r="S23" i="4"/>
  <c r="S25" i="4"/>
  <c r="S27" i="4"/>
  <c r="S29" i="4"/>
  <c r="S31" i="4"/>
  <c r="S33" i="4"/>
  <c r="R34" i="4"/>
  <c r="S36" i="4"/>
  <c r="S38" i="4"/>
  <c r="S41" i="4"/>
  <c r="S43" i="4"/>
  <c r="S45" i="4"/>
  <c r="S47" i="4"/>
  <c r="S49" i="4"/>
  <c r="S51" i="4"/>
  <c r="S53" i="4"/>
  <c r="R55" i="4"/>
  <c r="S57" i="4"/>
  <c r="S59" i="4"/>
  <c r="S61" i="4"/>
  <c r="S63" i="4"/>
  <c r="S65" i="4"/>
  <c r="S67" i="4"/>
  <c r="R69" i="4"/>
  <c r="S71" i="4"/>
  <c r="S73" i="4"/>
  <c r="S75" i="4"/>
  <c r="S77" i="4"/>
  <c r="S79" i="4"/>
  <c r="R80" i="4"/>
  <c r="S82" i="4"/>
  <c r="S84" i="4"/>
  <c r="S86" i="4"/>
  <c r="S88" i="4"/>
  <c r="S90" i="4"/>
  <c r="S92" i="4"/>
  <c r="S94" i="4"/>
  <c r="S96" i="4"/>
  <c r="S97" i="4"/>
  <c r="S99" i="4"/>
  <c r="R9" i="4"/>
  <c r="S10" i="4"/>
  <c r="S11" i="4"/>
  <c r="R12" i="4"/>
  <c r="S14" i="4"/>
  <c r="R15" i="4"/>
  <c r="R19" i="4"/>
  <c r="R20" i="4"/>
  <c r="R24" i="4"/>
  <c r="R26" i="4"/>
  <c r="R28" i="4"/>
  <c r="R30" i="4"/>
  <c r="R35" i="4"/>
  <c r="R37" i="4"/>
  <c r="S39" i="4"/>
  <c r="S40" i="4"/>
  <c r="R42" i="4"/>
  <c r="R44" i="4"/>
  <c r="R46" i="4"/>
  <c r="R48" i="4"/>
  <c r="R50" i="4"/>
  <c r="S52" i="4"/>
  <c r="R54" i="4"/>
  <c r="R56" i="4"/>
  <c r="R58" i="4"/>
  <c r="R60" i="4"/>
  <c r="R62" i="4"/>
  <c r="R64" i="4"/>
  <c r="R66" i="4"/>
  <c r="S68" i="4"/>
  <c r="R70" i="4"/>
  <c r="R72" i="4"/>
  <c r="R74" i="4"/>
  <c r="R76" i="4"/>
  <c r="R78" i="4"/>
  <c r="R81" i="4"/>
  <c r="R83" i="4"/>
  <c r="R85" i="4"/>
  <c r="R87" i="4"/>
  <c r="R89" i="4"/>
  <c r="R91" i="4"/>
  <c r="R93" i="4"/>
  <c r="R95" i="4"/>
  <c r="S98" i="4"/>
  <c r="I102" i="4" l="1"/>
  <c r="R102" i="4" s="1"/>
  <c r="N102" i="4"/>
  <c r="S102" i="4" s="1"/>
  <c r="U93" i="4"/>
  <c r="V93" i="4"/>
  <c r="U89" i="4"/>
  <c r="V89" i="4"/>
  <c r="U85" i="4"/>
  <c r="V85" i="4"/>
  <c r="U81" i="4"/>
  <c r="V81" i="4"/>
  <c r="V76" i="4"/>
  <c r="U76" i="4"/>
  <c r="V72" i="4"/>
  <c r="U72" i="4"/>
  <c r="V64" i="4"/>
  <c r="U64" i="4"/>
  <c r="V60" i="4"/>
  <c r="U60" i="4"/>
  <c r="V56" i="4"/>
  <c r="U56" i="4"/>
  <c r="V48" i="4"/>
  <c r="U48" i="4"/>
  <c r="V44" i="4"/>
  <c r="U44" i="4"/>
  <c r="U37" i="4"/>
  <c r="V37" i="4"/>
  <c r="V30" i="4"/>
  <c r="U30" i="4"/>
  <c r="V26" i="4"/>
  <c r="U26" i="4"/>
  <c r="V22" i="4"/>
  <c r="U22" i="4"/>
  <c r="U19" i="4"/>
  <c r="V19" i="4"/>
  <c r="U9" i="4"/>
  <c r="V9" i="4"/>
  <c r="U55" i="4"/>
  <c r="V55" i="4"/>
  <c r="V34" i="4"/>
  <c r="U34" i="4"/>
  <c r="U17" i="4"/>
  <c r="V17" i="4"/>
  <c r="U97" i="4"/>
  <c r="V97" i="4"/>
  <c r="V92" i="4"/>
  <c r="U92" i="4"/>
  <c r="V88" i="4"/>
  <c r="U88" i="4"/>
  <c r="V84" i="4"/>
  <c r="U84" i="4"/>
  <c r="U77" i="4"/>
  <c r="V77" i="4"/>
  <c r="U73" i="4"/>
  <c r="V73" i="4"/>
  <c r="U65" i="4"/>
  <c r="V65" i="4"/>
  <c r="U61" i="4"/>
  <c r="V61" i="4"/>
  <c r="U57" i="4"/>
  <c r="V57" i="4"/>
  <c r="U53" i="4"/>
  <c r="V53" i="4"/>
  <c r="U49" i="4"/>
  <c r="V49" i="4"/>
  <c r="U45" i="4"/>
  <c r="V45" i="4"/>
  <c r="U41" i="4"/>
  <c r="V41" i="4"/>
  <c r="V38" i="4"/>
  <c r="U38" i="4"/>
  <c r="U29" i="4"/>
  <c r="V29" i="4"/>
  <c r="U25" i="4"/>
  <c r="V25" i="4"/>
  <c r="U13" i="4"/>
  <c r="V13" i="4"/>
  <c r="U11" i="4"/>
  <c r="V11" i="4"/>
  <c r="V96" i="4"/>
  <c r="U96" i="4"/>
  <c r="U33" i="4"/>
  <c r="V33" i="4"/>
  <c r="V8" i="4"/>
  <c r="U8" i="4"/>
  <c r="V6" i="4"/>
  <c r="U6" i="4"/>
  <c r="U5" i="4"/>
  <c r="V5" i="4"/>
  <c r="U21" i="4"/>
  <c r="V21" i="4"/>
  <c r="U101" i="4"/>
  <c r="V101" i="4"/>
  <c r="U95" i="4"/>
  <c r="V95" i="4"/>
  <c r="U91" i="4"/>
  <c r="V91" i="4"/>
  <c r="U87" i="4"/>
  <c r="V87" i="4"/>
  <c r="U83" i="4"/>
  <c r="V83" i="4"/>
  <c r="V78" i="4"/>
  <c r="U78" i="4"/>
  <c r="V74" i="4"/>
  <c r="U74" i="4"/>
  <c r="V70" i="4"/>
  <c r="U70" i="4"/>
  <c r="V66" i="4"/>
  <c r="U66" i="4"/>
  <c r="V62" i="4"/>
  <c r="U62" i="4"/>
  <c r="V58" i="4"/>
  <c r="U58" i="4"/>
  <c r="V54" i="4"/>
  <c r="U54" i="4"/>
  <c r="V50" i="4"/>
  <c r="U50" i="4"/>
  <c r="V46" i="4"/>
  <c r="U46" i="4"/>
  <c r="V42" i="4"/>
  <c r="U42" i="4"/>
  <c r="U35" i="4"/>
  <c r="V35" i="4"/>
  <c r="V28" i="4"/>
  <c r="U28" i="4"/>
  <c r="V24" i="4"/>
  <c r="U24" i="4"/>
  <c r="V20" i="4"/>
  <c r="U20" i="4"/>
  <c r="U15" i="4"/>
  <c r="V15" i="4"/>
  <c r="V12" i="4"/>
  <c r="U12" i="4"/>
  <c r="V80" i="4"/>
  <c r="U80" i="4"/>
  <c r="U69" i="4"/>
  <c r="V69" i="4"/>
  <c r="V18" i="4"/>
  <c r="U18" i="4"/>
  <c r="V16" i="4"/>
  <c r="U16" i="4"/>
  <c r="U99" i="4"/>
  <c r="V99" i="4"/>
  <c r="V94" i="4"/>
  <c r="U94" i="4"/>
  <c r="V90" i="4"/>
  <c r="U90" i="4"/>
  <c r="V86" i="4"/>
  <c r="U86" i="4"/>
  <c r="V82" i="4"/>
  <c r="U82" i="4"/>
  <c r="U75" i="4"/>
  <c r="V75" i="4"/>
  <c r="U71" i="4"/>
  <c r="V71" i="4"/>
  <c r="U67" i="4"/>
  <c r="V67" i="4"/>
  <c r="U63" i="4"/>
  <c r="V63" i="4"/>
  <c r="U59" i="4"/>
  <c r="V59" i="4"/>
  <c r="U51" i="4"/>
  <c r="V51" i="4"/>
  <c r="U47" i="4"/>
  <c r="V47" i="4"/>
  <c r="U43" i="4"/>
  <c r="V43" i="4"/>
  <c r="V40" i="4"/>
  <c r="U40" i="4"/>
  <c r="V36" i="4"/>
  <c r="U36" i="4"/>
  <c r="U31" i="4"/>
  <c r="V31" i="4"/>
  <c r="U27" i="4"/>
  <c r="V27" i="4"/>
  <c r="U23" i="4"/>
  <c r="V23" i="4"/>
  <c r="V14" i="4"/>
  <c r="U14" i="4"/>
  <c r="V10" i="4"/>
  <c r="U10" i="4"/>
  <c r="V100" i="4"/>
  <c r="U100" i="4"/>
  <c r="V98" i="4"/>
  <c r="U98" i="4"/>
  <c r="U79" i="4"/>
  <c r="V79" i="4"/>
  <c r="V68" i="4"/>
  <c r="U68" i="4"/>
  <c r="V52" i="4"/>
  <c r="U52" i="4"/>
  <c r="U39" i="4"/>
  <c r="V39" i="4"/>
  <c r="V32" i="4"/>
  <c r="U32" i="4"/>
  <c r="U7" i="4"/>
  <c r="V7" i="4"/>
  <c r="V4" i="4"/>
  <c r="U4" i="4"/>
  <c r="U3" i="4"/>
  <c r="V3" i="4"/>
  <c r="C21" i="1" l="1"/>
  <c r="V102" i="4"/>
  <c r="C22" i="1" s="1"/>
  <c r="U102" i="4"/>
  <c r="AW2" i="4" l="1"/>
  <c r="C37" i="1"/>
  <c r="AW46" i="4"/>
  <c r="AW42" i="4"/>
  <c r="AW38" i="4"/>
  <c r="AW34" i="4"/>
  <c r="AW30" i="4"/>
  <c r="AW26" i="4"/>
  <c r="AW22" i="4"/>
  <c r="AW18" i="4"/>
  <c r="AW14" i="4"/>
  <c r="AW10" i="4"/>
  <c r="AW6" i="4"/>
  <c r="AW45" i="4"/>
  <c r="AW41" i="4"/>
  <c r="AW37" i="4"/>
  <c r="AW33" i="4"/>
  <c r="AW29" i="4"/>
  <c r="AW25" i="4"/>
  <c r="AW21" i="4"/>
  <c r="AW17" i="4"/>
  <c r="AW13" i="4"/>
  <c r="AW9" i="4"/>
  <c r="AW5" i="4"/>
  <c r="AW3" i="4"/>
  <c r="AW44" i="4"/>
  <c r="AW40" i="4"/>
  <c r="AW36" i="4"/>
  <c r="AW32" i="4"/>
  <c r="AW28" i="4"/>
  <c r="AW24" i="4"/>
  <c r="AW20" i="4"/>
  <c r="AW16" i="4"/>
  <c r="AW12" i="4"/>
  <c r="AW8" i="4"/>
  <c r="AW4" i="4"/>
  <c r="AW47" i="4"/>
  <c r="AW43" i="4"/>
  <c r="AW39" i="4"/>
  <c r="AW35" i="4"/>
  <c r="AW31" i="4"/>
  <c r="AW27" i="4"/>
  <c r="AW23" i="4"/>
  <c r="AW19" i="4"/>
  <c r="AW15" i="4"/>
  <c r="AW11" i="4"/>
  <c r="AW7" i="4"/>
  <c r="C23" i="1"/>
</calcChain>
</file>

<file path=xl/sharedStrings.xml><?xml version="1.0" encoding="utf-8"?>
<sst xmlns="http://schemas.openxmlformats.org/spreadsheetml/2006/main" count="150" uniqueCount="132">
  <si>
    <t>Maakaapelit</t>
  </si>
  <si>
    <t>Ilmajohto</t>
  </si>
  <si>
    <t xml:space="preserve">   Sparrow tai pienempi</t>
  </si>
  <si>
    <t xml:space="preserve">   Raven</t>
  </si>
  <si>
    <t xml:space="preserve">   Pigeon</t>
  </si>
  <si>
    <t xml:space="preserve">   Al 132 tai suurempi</t>
  </si>
  <si>
    <t>€/km</t>
  </si>
  <si>
    <t>Päämuuntajat</t>
  </si>
  <si>
    <t>€/kpl</t>
  </si>
  <si>
    <t>Jakelumuuntajat</t>
  </si>
  <si>
    <t>Varasyötön huomioiminen</t>
  </si>
  <si>
    <t>normaalitilanteen kuormitusaste</t>
  </si>
  <si>
    <t>kulmakerroin</t>
  </si>
  <si>
    <t>vaihejohtimen vaihtovirtaresistanssi 65 celcius asteessa 1 km kohti</t>
  </si>
  <si>
    <t>vaihejohtimen vaihtovirtaresistanssi 75 celcius asteessa 1 km kohti</t>
  </si>
  <si>
    <t>jännite</t>
  </si>
  <si>
    <t>kv</t>
  </si>
  <si>
    <t>tehokulma</t>
  </si>
  <si>
    <t>kVA</t>
  </si>
  <si>
    <t>jännitteenalenema</t>
  </si>
  <si>
    <t>keskimääräinen lähdön pituus</t>
  </si>
  <si>
    <t>vaihejännite</t>
  </si>
  <si>
    <t>--&gt;Max. kuormitus (P = 3 * U(v)*I) [kVA]</t>
  </si>
  <si>
    <t>V</t>
  </si>
  <si>
    <t>maakaapelointiaste</t>
  </si>
  <si>
    <t>Sparrow tai pienempi (kVA)</t>
  </si>
  <si>
    <t>Raven (kVA)</t>
  </si>
  <si>
    <t>Pigeon (kVA)</t>
  </si>
  <si>
    <t>Al 132 tai suurempi (kVA)</t>
  </si>
  <si>
    <t>Päämuuntajan sallittu normaali käyttöaste</t>
  </si>
  <si>
    <t>Suurin sallittu tehonsiirtokyky johtimella etäisyydellä l jännitteenalenemalla x</t>
  </si>
  <si>
    <t>Marginaalikustannus</t>
  </si>
  <si>
    <t>6 MVA</t>
  </si>
  <si>
    <t>10 MVA</t>
  </si>
  <si>
    <t>16 MVA</t>
  </si>
  <si>
    <t>20 MVA</t>
  </si>
  <si>
    <t>25 MVA</t>
  </si>
  <si>
    <t>31,5 MVA</t>
  </si>
  <si>
    <t>40 MVA</t>
  </si>
  <si>
    <t>50 MVA</t>
  </si>
  <si>
    <t>63 MVA</t>
  </si>
  <si>
    <t>80 MVA</t>
  </si>
  <si>
    <t>100 MVA</t>
  </si>
  <si>
    <t>Nimellisteho (kVA)</t>
  </si>
  <si>
    <t>kuormitusvirta (A)</t>
  </si>
  <si>
    <t>30 kVA</t>
  </si>
  <si>
    <t>50 kVA</t>
  </si>
  <si>
    <t>200 kVA</t>
  </si>
  <si>
    <t>800 kVA</t>
  </si>
  <si>
    <t>1000 kVA</t>
  </si>
  <si>
    <t>1250 kVA</t>
  </si>
  <si>
    <r>
      <t>Maakaapeli 70 mm</t>
    </r>
    <r>
      <rPr>
        <vertAlign val="superscript"/>
        <sz val="11"/>
        <color theme="1"/>
        <rFont val="Calibri"/>
        <family val="2"/>
        <scheme val="minor"/>
      </rPr>
      <t>2</t>
    </r>
    <r>
      <rPr>
        <sz val="11"/>
        <color theme="1"/>
        <rFont val="Calibri"/>
        <family val="2"/>
        <scheme val="minor"/>
      </rPr>
      <t xml:space="preserve"> tai alle</t>
    </r>
  </si>
  <si>
    <r>
      <t>Maakaapeli 95 mm</t>
    </r>
    <r>
      <rPr>
        <vertAlign val="superscript"/>
        <sz val="11"/>
        <color theme="1"/>
        <rFont val="Calibri"/>
        <family val="2"/>
        <scheme val="minor"/>
      </rPr>
      <t>2</t>
    </r>
  </si>
  <si>
    <r>
      <t>Maakaapeli 120 mm</t>
    </r>
    <r>
      <rPr>
        <vertAlign val="superscript"/>
        <sz val="11"/>
        <color theme="1"/>
        <rFont val="Calibri"/>
        <family val="2"/>
        <scheme val="minor"/>
      </rPr>
      <t>2</t>
    </r>
  </si>
  <si>
    <r>
      <t>Maakaapeli 150 mm</t>
    </r>
    <r>
      <rPr>
        <vertAlign val="superscript"/>
        <sz val="11"/>
        <color theme="1"/>
        <rFont val="Calibri"/>
        <family val="2"/>
        <scheme val="minor"/>
      </rPr>
      <t>2</t>
    </r>
  </si>
  <si>
    <r>
      <t>Maakaapeli 185 mm</t>
    </r>
    <r>
      <rPr>
        <vertAlign val="superscript"/>
        <sz val="11"/>
        <color theme="1"/>
        <rFont val="Calibri"/>
        <family val="2"/>
        <scheme val="minor"/>
      </rPr>
      <t>2</t>
    </r>
  </si>
  <si>
    <r>
      <t>Maakaapeli 240 mm</t>
    </r>
    <r>
      <rPr>
        <vertAlign val="superscript"/>
        <sz val="11"/>
        <color theme="1"/>
        <rFont val="Calibri"/>
        <family val="2"/>
        <scheme val="minor"/>
      </rPr>
      <t>2</t>
    </r>
  </si>
  <si>
    <r>
      <t>Maakaapeli 300 mm</t>
    </r>
    <r>
      <rPr>
        <vertAlign val="superscript"/>
        <sz val="11"/>
        <color theme="1"/>
        <rFont val="Calibri"/>
        <family val="2"/>
        <scheme val="minor"/>
      </rPr>
      <t>2</t>
    </r>
  </si>
  <si>
    <t>100 kVA</t>
  </si>
  <si>
    <t>315 kVA</t>
  </si>
  <si>
    <t>400 kVA</t>
  </si>
  <si>
    <t>500 kVA</t>
  </si>
  <si>
    <t>630 kVA</t>
  </si>
  <si>
    <t>1600 kVA</t>
  </si>
  <si>
    <r>
      <t>Maakaapeli 70 mm</t>
    </r>
    <r>
      <rPr>
        <b/>
        <vertAlign val="superscript"/>
        <sz val="12"/>
        <color theme="1"/>
        <rFont val="Calibri"/>
        <family val="2"/>
        <scheme val="minor"/>
      </rPr>
      <t>2</t>
    </r>
    <r>
      <rPr>
        <b/>
        <sz val="12"/>
        <color theme="1"/>
        <rFont val="Calibri"/>
        <family val="2"/>
        <scheme val="minor"/>
      </rPr>
      <t xml:space="preserve"> tai alle</t>
    </r>
  </si>
  <si>
    <r>
      <t>Maakaapeli 95 mm</t>
    </r>
    <r>
      <rPr>
        <b/>
        <vertAlign val="superscript"/>
        <sz val="12"/>
        <color theme="1"/>
        <rFont val="Calibri"/>
        <family val="2"/>
        <scheme val="minor"/>
      </rPr>
      <t>2</t>
    </r>
  </si>
  <si>
    <r>
      <t>Maakaapeli 120 mm</t>
    </r>
    <r>
      <rPr>
        <b/>
        <vertAlign val="superscript"/>
        <sz val="12"/>
        <color theme="1"/>
        <rFont val="Calibri"/>
        <family val="2"/>
        <scheme val="minor"/>
      </rPr>
      <t>2</t>
    </r>
  </si>
  <si>
    <r>
      <t>Maakaapeli 150 mm</t>
    </r>
    <r>
      <rPr>
        <b/>
        <vertAlign val="superscript"/>
        <sz val="12"/>
        <color theme="1"/>
        <rFont val="Calibri"/>
        <family val="2"/>
        <scheme val="minor"/>
      </rPr>
      <t>2</t>
    </r>
  </si>
  <si>
    <r>
      <t>Maakaapeli 185 mm</t>
    </r>
    <r>
      <rPr>
        <b/>
        <vertAlign val="superscript"/>
        <sz val="12"/>
        <color theme="1"/>
        <rFont val="Calibri"/>
        <family val="2"/>
        <scheme val="minor"/>
      </rPr>
      <t>2</t>
    </r>
  </si>
  <si>
    <r>
      <t>Maakaapeli 240 mm</t>
    </r>
    <r>
      <rPr>
        <b/>
        <vertAlign val="superscript"/>
        <sz val="12"/>
        <color theme="1"/>
        <rFont val="Calibri"/>
        <family val="2"/>
        <scheme val="minor"/>
      </rPr>
      <t>2</t>
    </r>
  </si>
  <si>
    <r>
      <t>Maakaapeli 300 mm</t>
    </r>
    <r>
      <rPr>
        <b/>
        <vertAlign val="superscript"/>
        <sz val="12"/>
        <color theme="1"/>
        <rFont val="Calibri"/>
        <family val="2"/>
        <scheme val="minor"/>
      </rPr>
      <t>2</t>
    </r>
  </si>
  <si>
    <t>AMKA</t>
  </si>
  <si>
    <t>jännitepj</t>
  </si>
  <si>
    <t>v</t>
  </si>
  <si>
    <t>jännitteenalenema pj</t>
  </si>
  <si>
    <t>PJ</t>
  </si>
  <si>
    <t>Keskiarvo</t>
  </si>
  <si>
    <t>Pienjänniteverkko</t>
  </si>
  <si>
    <t>AXCMK</t>
  </si>
  <si>
    <t>vaihejohtimen vaihtovirtaresistanssi 70 celcius asteessa 1 km kohti</t>
  </si>
  <si>
    <t>Kapasiteettivarausmaksu</t>
  </si>
  <si>
    <t>Kapasiteettivarausmaksu pisteessä x ilmajohto [euroa/kVA]</t>
  </si>
  <si>
    <t>Kapasiteettivarausmaksu pisteessä x maakaapeli [euroa/kVA] keskiarvo</t>
  </si>
  <si>
    <t>Kapasiteettivarausmaksu pisteessä x kj-maakaapeli [euroa/kVA]</t>
  </si>
  <si>
    <t>Kapasiteettivarausmaksu pisteessä x kj-ilmajohto [euroa/kVA]</t>
  </si>
  <si>
    <t>Jakelumuuntajan kapasiteettivarausmaksu</t>
  </si>
  <si>
    <t>Päämuuntajan kapasiteettivarausmaksu</t>
  </si>
  <si>
    <t>Keskimääräinen kapasiteettivarausmaksu kj-ilmajohto [euroa/kVA]</t>
  </si>
  <si>
    <t>Keskimääräinen kapasiteettivarausmaksu kj-maakaapeli [euroa/kVA]</t>
  </si>
  <si>
    <t>Keskijänniteverkon keskimääräinen kapasiteettivarausmaksu</t>
  </si>
  <si>
    <t>Pienjänniteverkon teholiittymän keskimääräinen kapasiteettivarausmaksu</t>
  </si>
  <si>
    <t>pj runkoverkon lähdön pituus / km</t>
  </si>
  <si>
    <t>kj-lähdön pituus (km)</t>
  </si>
  <si>
    <t>Pienjänniteverkon keskimääräinen kapasiteettivarausmaksu ilman kj-verkkoa ja jakelumuuntajaa</t>
  </si>
  <si>
    <t>Pienjänniteverkon keskimääräinen kapasiteettivarausmaksu</t>
  </si>
  <si>
    <r>
      <t xml:space="preserve">Laskentaperiaate:
</t>
    </r>
    <r>
      <rPr>
        <sz val="10"/>
        <color theme="1"/>
        <rFont val="Calibri"/>
        <family val="2"/>
        <scheme val="minor"/>
      </rPr>
      <t xml:space="preserve">Tämä excel laskee uusien keskijännite- ja teholiittymien sekä pienjänniteliittymien aiheuttaman laskennallisen keskimääräisen vahvistuskustannuksen, eli kuinka paljon yhden kVA:n liittäminen verkkoon aiheuttaa laskennallisia keskimääräisiä vahvistuskustannuksia. Vahvistuskustannukseksi huomioidaan vain uuden vahvistetun verkon JHA:n ja vanhan vahvistettavan verkon JHA:n erotus ilmajohtojen, maakaapelien sekä muuntajien osalta. Näin verkon kehittämisen ja jälleenrakentamisen kustannukset tulee rahoitettua jakelumaksuilla ja vahvistusosa kapasiteettivarausmaksulla. 
Laskenta perustuu yksikköhinnoista ja komponenttien tehonsiirtokyvyistä määritettyihin marginaalikustannuksiin (€/kVA/km) sekä keskimääräiseen tehonsiirtoreitin pituuteen. Keskimääräisen tehonsiirtoreitin jokaiseen pisteeseen määritetään pistekohtainen kapasiteettivarausmaksu marginaalikustannuksen ja pisteen etäisyyden avulla.Keskimääräinen kapasiteettivarausmaksu saadaan ottamalla keskiarvo määritetyistä pistekohtaisista kapasiteettivarausmaksuista. Keskimääräinen tehonsiirtoreitin pituus yhdessä sallitun jännitteenaleneman kanssa huomioi laskennassa tehonsiirtokyvyn laskun tehonsiirtoetäisyyden kasvaessa. Laskennassa otetaan lisäksi huomioon maakaapelointiaste sekä lisätään muuntajien vaikutus maksuun. </t>
    </r>
  </si>
  <si>
    <t>Keskijänniteverkko - Mellanspänningsnätet</t>
  </si>
  <si>
    <t>Pienjänniteverkko - Lågspänningsnätet</t>
  </si>
  <si>
    <t>Suurin sallittu jännittenalenema (%):
Max. Spänningsfall (%)</t>
  </si>
  <si>
    <t>Jännitetaso (kV)
Spänningsnivå (kV)</t>
  </si>
  <si>
    <t>Keskimääräinen lähdön pituus (km)
Genomsnittlig längd för utgående huvudledning (km)</t>
  </si>
  <si>
    <t>Suurin sallittu suunnittelun mukainen jännitteenalenema (%)
Max. Konstrueerad spänningsfall (%)</t>
  </si>
  <si>
    <t>Tehokulma cos(fii)
Effektvinkel cos(fi)</t>
  </si>
  <si>
    <t>Varasyötön huomioiminen (Päämuuntajan sallittu normaali käyttöaste) (%)
Reservmatningens tillräknelighet (tillåten normal användninsgrad för huvudtransformator) (%)</t>
  </si>
  <si>
    <t>KJ-maakaapelointiaste (%)
Jordkabelingsgrad i mellanspänningsnätet (%)</t>
  </si>
  <si>
    <t>Kapasiteettivarausmaksun laskentatyökalu - Kapacitetsreserveringsavgiftskalkyl</t>
  </si>
  <si>
    <t>Tarvittavat tiedot laskentaan - Uppgifter för beräkningen:</t>
  </si>
  <si>
    <t>Keskimääräinen 0,4 kV runkjohtolähdön pituus muuntamolta (50 metrin tarkkuudella) (m)
Genomsnittlig längd för utgående 0,4 kV huvudledning från transformatorstation (50 mätarens noggrannhet) (m)</t>
  </si>
  <si>
    <t>PJ-maakaapelointiaste (%)
Jordkabelingsgrad i lågspänningsnätet (%)</t>
  </si>
  <si>
    <t>Keskijänniteliittymä (110 kV sähköaseman kenttä)
Mellanspänningsanslutning (110 kV substationsfältet)</t>
  </si>
  <si>
    <t xml:space="preserve">Keskijänniteliittymä
Mellanspänningsanslutning </t>
  </si>
  <si>
    <t>Pienjänniteteholiittymä (pienjänniteliittymä muuntamolla)
Lågspänningseffekanslutning (lågspänningsanslutning nära transformatorstation)</t>
  </si>
  <si>
    <t>Pienjänniteliittymä (keskimääräinen kapasiteettivarausmaksu koko pj-verkolle)
Lågspänningsanslutning (genomsnittlig kapacitetsreserveringsavgift för hela lågspänningsnätet)</t>
  </si>
  <si>
    <t>Määritetään liittymien keskimääräisen siirtoyhteyden pituus muuntamolle runkojohtoa pitkin mitaten ja jaetaan tämä tulos vastaavalla laskennalla, jossa kuitenkin oletetaan liittymien jakautuvan tasaisesti muuntopiiriin. Liittyjien jakautuessa tasaisesti muuntopiiriin liittymien keskimääräinen siirtoyhteyden pituus voidaan määrittää jakamalla keskimääräisen 0,4 kV runkojohtolähdön pituus kahdella.</t>
  </si>
  <si>
    <t>HUOM! Pienjänniteliittymän kapasiteettivarausmaksun laskennassa tulee ottaa huomioon liittymien painottuminen muuntopiirissä. Liittymien painottuminen pienjänniteverkon kapasiteettivarausmaksun laskennassa voidaan ottaa huomioon esimerkiksi alla esitetyin periaattein:</t>
  </si>
  <si>
    <t>Määritetään vyöhyke, johon suurin osa liittymistä painottuu (esim. noin. 70-80 %). Määritetään tälle vyöhykkeelle keskimääräinen runkojohtolähdön pituus ja lasketaan tämän avulla kapasiteettivarausmaksu vyöhykkeelle. Lasketaan edellä määritetyn vyöhykkeen ulkopuoliselle alueelle oma kapasiteettivarausmaksu alla olevaa aputyökalua hyödyntäen määrittämällä vyöhykkeen lähtörajaksi edellä määritetyn vyöhykkeen keskimääräisen runkojohtolähdön pituus sekä vyöhykkeen ulkorajaksi keskimääräinen runkojohtolähdön pituus, joka huomioi koko muuntopiirin alueen. Lasketaan näistä kahdesta eri kapasiteettivarausmaksusta painotettu keskiarvo siinä suhteessa, kun liittymät jakautuvat näille kahdelle eri vyöhykkeille.</t>
  </si>
  <si>
    <t>Aputyökalu - Hjälpkalkyl</t>
  </si>
  <si>
    <t>Huomioi parametrin määrityksen lisäohjeet pienjänniteliittymän kapasiteettivarausmaksun alta!
Observera tilläggsanvisningen nedan för lågspänningsnätets kapacitetsreserveringsavgift!</t>
  </si>
  <si>
    <t xml:space="preserve">OBS! Vid beräkningen av kapacitetsreserveringsavgiften i lågspänningsnät ska beaktas anslutningarnas placering i transformatorområdet. Placeringen i beräkningen kan beaktas t.ex. genom att iaktta följande principer: </t>
  </si>
  <si>
    <t>2) Määrittämällä kerroin, jolla keskimääräistä 0,4 kV runkojohtolähdön pituus kerrotaan, ennen kuin se syötetään laskentaparametriksi.</t>
  </si>
  <si>
    <t>1) Määritettämällä kapasiteettivarausmaksu kahdelle eri vyöhykkeelle ja laskemalla näistä liittymien määrällä painotettu keskiarvo.</t>
  </si>
  <si>
    <t xml:space="preserve">Genom att fastställa en zon, där största delen av anslutningarna är beläggda (t.ex. 70-80 %). Det fastställs en genomsnittlig längd för huvudledningen för denna zon och med hjälp av denna beräknas kapacitetreserveringsafgiften för denna zon. För området utanför zonen beräknas en egen kapacitetreserveringsavgift med hjälp av kalkylen genom at fastställa som utgångspunkt den tidigare nämnda zonens genomsnittliga längd för huvudledningen och som yttergräns den genomsnittliga längden för huvudledningen, som upmärksammar hela transformatoromådet.  Därefter beräknas av dessa två kapacitetreserveringsavgifter ett medeltal med vikten på hur anslutningarna fördelas i dessa två zoner. </t>
  </si>
  <si>
    <t xml:space="preserve">Den genomsnittliga längden till transformatorstationen  fastställs, mätt längs huvudledningen, och resultatet divideras med motsvarande kalkyl var anslutningarna är beläggda jämnt i transformatorområdet. Då anslutningarna är beläggda jämnt i transformatorområdet kan längden av överföringsnätet fastställas genom att dividera den genomsnittliga längden av 0,4 kV huvudledning med två. </t>
  </si>
  <si>
    <t xml:space="preserve">Voidaan hyödyntää keskimääräisten vyöhykehintojen määrittämisessä, kun tiedetään 3x25 A liittymän hinta kyseisellä vyöhykkeellä. Työkalulla voidaan määrittää kuinka paljon kalliimpia ovat samalla vyöhykkeellä olevat suurempien liittymien keskimääräiset hinnat.
Kan utnyttjas vid fastställandet av genomsnittliga zonpriser, då avgiften för 3x25 A ansluntingar i zonen känns till. Med kalkylen kan fastställas hur mycket dyrare större anslutningar i samma zon genomsnittligt är.  </t>
  </si>
  <si>
    <t>Voidaan hyödyntää pj-verkon kapasiteettivarausmaksun määrittämisessä, jos kapasiteettivarausmaksu muodostetaan eri vyöhykkeiden kapasiteettivarausmaksujen painotetusta keskiarvosta.
Kan användas för att bestämma den genomsnittliga kapacitetsreserveravgiften för lågspänningsanslutning om kapacitetsreservavgiften bildas från det vägda genomsnittet av zonerna.</t>
  </si>
  <si>
    <t>Rajatun vyöhykkeen/alueen runkojohdon keskimääräinen pituus vyöhykkeen lähtörajalla (vyöhykkeellä 1 on 0 m) (50 metrin tarkkuudella)
En begränsad zons/områdes huvudledningens genomsnittliga längd i zonens startpunkt (zon 1 0m) (med 50 meters nogrannhet</t>
  </si>
  <si>
    <t>Rajatun vyöhykkeen/alueen runkojohdon keskimääräinen pituus vyöhykkeen ulkorajalle (50 metrin tarkkuudella)
En begränsad zons / områdes huvudledningens genomsnittliga längd till zonens yttergräns (med 50 meters nogrannhet)</t>
  </si>
  <si>
    <r>
      <rPr>
        <b/>
        <u/>
        <sz val="10"/>
        <color theme="1"/>
        <rFont val="Calibri"/>
        <family val="2"/>
        <scheme val="minor"/>
      </rPr>
      <t>Beräkningsprincip:</t>
    </r>
    <r>
      <rPr>
        <sz val="10"/>
        <color theme="1"/>
        <rFont val="Calibri"/>
        <family val="2"/>
        <scheme val="minor"/>
      </rPr>
      <t xml:space="preserve">
Denna Excel beräknar den beräknade genomsnittliga förstärkningskostnaden för nya medelspännings och effektanslutningar, det vill säga hur mycket anslutandet av en kVA medför beräknade genomsnittliga förstärkningskosnader. Som förstärkningskostnad anses endast differensen mellan det förstärkta nätets återanskaffningsväde och gamla nätets återanskaffningsvärde och gäller lufntät, jordkablar och transformatorer. Därmed blir nätets utvecklingskostnader och återbyggningskostnader finansierade med överföringsavgifter och förstäkningsdelen med kapacitetreserveringsavgiften.
Kalkylen grundar sig på marginalkosnarder (€/kVA/km) som grundar sig på enhetspricer och komponenters effektöverföringskapacitet samt den genomsnittliga längen av effektöverföringsrutten. För varje punkt av den genomsnittliga effektöverföringsutten fastställs en kapacitetreserveringsavgift med hjälp av marginalkostnaden och punktens distans. Den genomnsnittliga kapacitetreserveringsavgiften bestäms genom medeltalet av fastställda punkternas kapacitetreserveringsavgifter. Den genomsnittliga effektöverföringsruttens längd tillsammans med det konstruerade spänningsfallet uppmärksammar i kalkylen effektöverföringskapacitetens minskning när distansen ökar. I kalkylen uppmärksammas dessutom jordkableringsgraden och den ökas av transformatorernas påverkning i avgiften. </t>
    </r>
  </si>
  <si>
    <t>Kapasiteettivarausmaksu määritellyllä alueella
Kapacitetsreserveringsavgift på ett fastställt område</t>
  </si>
  <si>
    <t>PJ-verkon keskimääräinen mitoituskustannus määritellyllä alueella
Genomsnittlig mätningskostnad på ett fastställt område i lågspänningsnät</t>
  </si>
  <si>
    <t>2) Genom att fastställa en koefficient, med vilken den genomsnittliga längden av huvudledningen multipliceras, innan den matas in som kalkylparameter.</t>
  </si>
  <si>
    <t>1) Genom att fastställa kapacitetsreserverringsavgift för två olika zoner och med att beräkna ett medeltal av dessa där anslutingarnas antal har vägts.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</si>
</sst>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quot;€&quot;"/>
    <numFmt numFmtId="166" formatCode="#,##0.#__&quot;€/kVA&quot;"/>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0"/>
      <name val="Verdana"/>
      <family val="2"/>
    </font>
    <font>
      <b/>
      <sz val="16"/>
      <color theme="1"/>
      <name val="Calibri"/>
      <family val="2"/>
      <scheme val="minor"/>
    </font>
    <font>
      <sz val="12"/>
      <color theme="1"/>
      <name val="Calibri"/>
      <family val="2"/>
      <scheme val="minor"/>
    </font>
    <font>
      <sz val="11"/>
      <color theme="1"/>
      <name val="Calibri"/>
      <family val="2"/>
      <scheme val="minor"/>
    </font>
    <font>
      <sz val="10"/>
      <name val="Arial"/>
    </font>
    <font>
      <vertAlign val="superscript"/>
      <sz val="11"/>
      <color theme="1"/>
      <name val="Calibri"/>
      <family val="2"/>
      <scheme val="minor"/>
    </font>
    <font>
      <sz val="10"/>
      <name val="Calibri"/>
      <family val="2"/>
      <scheme val="minor"/>
    </font>
    <font>
      <sz val="11"/>
      <name val="Calibri"/>
      <family val="2"/>
      <scheme val="minor"/>
    </font>
    <font>
      <b/>
      <vertAlign val="superscript"/>
      <sz val="12"/>
      <color theme="1"/>
      <name val="Calibri"/>
      <family val="2"/>
      <scheme val="minor"/>
    </font>
    <font>
      <b/>
      <sz val="12"/>
      <name val="Calibri"/>
      <family val="2"/>
      <scheme val="minor"/>
    </font>
    <font>
      <b/>
      <sz val="14"/>
      <color theme="1"/>
      <name val="Calibri"/>
      <family val="2"/>
      <scheme val="minor"/>
    </font>
    <font>
      <sz val="10"/>
      <color theme="1"/>
      <name val="Calibri"/>
      <family val="2"/>
      <scheme val="minor"/>
    </font>
    <font>
      <b/>
      <u/>
      <sz val="10"/>
      <color theme="1"/>
      <name val="Calibri"/>
      <family val="2"/>
      <scheme val="minor"/>
    </font>
    <font>
      <b/>
      <sz val="20"/>
      <color theme="1"/>
      <name val="Calibri"/>
      <family val="2"/>
      <scheme val="minor"/>
    </font>
    <font>
      <b/>
      <u/>
      <sz val="14"/>
      <color rgb="FFC00000"/>
      <name val="Calibri"/>
      <family val="2"/>
      <scheme val="minor"/>
    </font>
    <font>
      <b/>
      <u/>
      <sz val="16"/>
      <color rgb="FF7030A0"/>
      <name val="Calibri"/>
      <family val="2"/>
      <scheme val="minor"/>
    </font>
    <font>
      <b/>
      <u/>
      <sz val="16"/>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3" fillId="0" borderId="0"/>
    <xf numFmtId="9" fontId="7" fillId="0" borderId="0" applyFont="0" applyFill="0" applyBorder="0" applyAlignment="0" applyProtection="0"/>
    <xf numFmtId="0" fontId="8" fillId="0" borderId="0"/>
  </cellStyleXfs>
  <cellXfs count="131">
    <xf numFmtId="0" fontId="0" fillId="0" borderId="0" xfId="0"/>
    <xf numFmtId="0" fontId="0" fillId="2" borderId="0" xfId="0" applyFill="1"/>
    <xf numFmtId="0" fontId="0" fillId="0" borderId="0" xfId="0" applyAlignment="1">
      <alignment horizontal="left" indent="2"/>
    </xf>
    <xf numFmtId="0" fontId="0" fillId="3" borderId="0" xfId="0" applyFill="1"/>
    <xf numFmtId="0" fontId="0" fillId="4" borderId="0" xfId="0" applyFill="1"/>
    <xf numFmtId="0" fontId="0" fillId="4" borderId="0" xfId="0" applyFill="1" applyAlignment="1">
      <alignment horizontal="left" indent="2"/>
    </xf>
    <xf numFmtId="164" fontId="0" fillId="4" borderId="0" xfId="0" applyNumberFormat="1" applyFill="1" applyAlignment="1">
      <alignment horizontal="left" indent="4"/>
    </xf>
    <xf numFmtId="0" fontId="0" fillId="4" borderId="9" xfId="0" applyFill="1" applyBorder="1"/>
    <xf numFmtId="0" fontId="0" fillId="0" borderId="3" xfId="0" applyBorder="1"/>
    <xf numFmtId="0" fontId="0" fillId="3" borderId="3" xfId="0" applyFill="1" applyBorder="1"/>
    <xf numFmtId="0" fontId="0" fillId="2" borderId="3" xfId="0" applyFill="1" applyBorder="1"/>
    <xf numFmtId="0" fontId="0" fillId="4" borderId="3" xfId="0" applyFill="1" applyBorder="1"/>
    <xf numFmtId="0" fontId="0" fillId="5" borderId="1" xfId="0" applyFill="1" applyBorder="1" applyProtection="1">
      <protection locked="0"/>
    </xf>
    <xf numFmtId="0" fontId="1" fillId="0" borderId="0" xfId="0" applyFont="1" applyProtection="1"/>
    <xf numFmtId="0" fontId="0" fillId="0" borderId="0" xfId="0" applyProtection="1"/>
    <xf numFmtId="0" fontId="0" fillId="2" borderId="0" xfId="0" applyFill="1" applyProtection="1"/>
    <xf numFmtId="10" fontId="1" fillId="0" borderId="0" xfId="0" applyNumberFormat="1" applyFont="1" applyProtection="1"/>
    <xf numFmtId="0" fontId="0" fillId="0" borderId="0" xfId="0" quotePrefix="1" applyProtection="1"/>
    <xf numFmtId="0" fontId="0" fillId="0" borderId="4" xfId="0" applyBorder="1" applyProtection="1"/>
    <xf numFmtId="0" fontId="0" fillId="0" borderId="1" xfId="0" applyBorder="1"/>
    <xf numFmtId="0" fontId="1" fillId="0" borderId="1" xfId="0" applyFont="1" applyBorder="1" applyProtection="1"/>
    <xf numFmtId="0" fontId="0" fillId="0" borderId="1" xfId="0" applyBorder="1" applyAlignment="1" applyProtection="1">
      <alignment wrapText="1"/>
    </xf>
    <xf numFmtId="0" fontId="0" fillId="0" borderId="1" xfId="0" applyBorder="1" applyProtection="1"/>
    <xf numFmtId="3" fontId="0" fillId="5" borderId="1" xfId="0" applyNumberFormat="1" applyFill="1" applyBorder="1" applyAlignment="1" applyProtection="1">
      <alignment horizontal="left" vertical="top" indent="1"/>
      <protection locked="0"/>
    </xf>
    <xf numFmtId="0" fontId="0" fillId="0" borderId="0" xfId="0" applyFill="1" applyBorder="1" applyProtection="1"/>
    <xf numFmtId="0" fontId="0" fillId="0" borderId="10" xfId="0" applyFont="1" applyBorder="1" applyAlignment="1">
      <alignment horizontal="left" wrapText="1" indent="1"/>
    </xf>
    <xf numFmtId="0" fontId="0" fillId="0" borderId="11" xfId="0" applyFont="1" applyBorder="1" applyAlignment="1">
      <alignment horizontal="left" wrapText="1" indent="1"/>
    </xf>
    <xf numFmtId="0" fontId="0" fillId="0" borderId="1" xfId="0" applyBorder="1" applyAlignment="1">
      <alignment horizontal="left" indent="1"/>
    </xf>
    <xf numFmtId="0" fontId="0" fillId="0" borderId="0" xfId="0"/>
    <xf numFmtId="3" fontId="11" fillId="5" borderId="1" xfId="1" applyNumberFormat="1" applyFont="1" applyFill="1" applyBorder="1" applyAlignment="1" applyProtection="1">
      <alignment horizontal="left" wrapText="1" indent="1"/>
      <protection locked="0"/>
    </xf>
    <xf numFmtId="0" fontId="10" fillId="5" borderId="1" xfId="1" applyFont="1" applyFill="1" applyBorder="1" applyAlignment="1" applyProtection="1">
      <alignment horizontal="left" vertical="top" wrapText="1" indent="1"/>
      <protection locked="0"/>
    </xf>
    <xf numFmtId="0" fontId="2" fillId="0" borderId="4" xfId="0" applyFont="1" applyBorder="1" applyAlignment="1">
      <alignment textRotation="90"/>
    </xf>
    <xf numFmtId="0" fontId="2" fillId="0" borderId="10" xfId="0" applyFont="1" applyBorder="1" applyAlignment="1">
      <alignment horizontal="left" textRotation="90" wrapText="1"/>
    </xf>
    <xf numFmtId="0" fontId="2" fillId="0" borderId="11" xfId="0" applyFont="1" applyBorder="1" applyAlignment="1">
      <alignment horizontal="left" textRotation="90" wrapText="1"/>
    </xf>
    <xf numFmtId="0" fontId="13" fillId="0" borderId="6" xfId="1" applyFont="1" applyFill="1" applyBorder="1" applyAlignment="1">
      <alignment horizontal="left" textRotation="90" wrapText="1"/>
    </xf>
    <xf numFmtId="0" fontId="13" fillId="0" borderId="5" xfId="1" applyFont="1" applyBorder="1" applyAlignment="1">
      <alignment horizontal="left" textRotation="90" wrapText="1"/>
    </xf>
    <xf numFmtId="0" fontId="13" fillId="0" borderId="7" xfId="1" applyFont="1" applyFill="1" applyBorder="1" applyAlignment="1">
      <alignment horizontal="left" textRotation="90" wrapText="1"/>
    </xf>
    <xf numFmtId="0" fontId="2" fillId="0" borderId="4" xfId="0" applyFont="1" applyBorder="1" applyAlignment="1">
      <alignment horizontal="left" textRotation="90"/>
    </xf>
    <xf numFmtId="0" fontId="13" fillId="0" borderId="8" xfId="1" applyFont="1" applyFill="1" applyBorder="1" applyAlignment="1">
      <alignment horizontal="left" textRotation="90" wrapText="1"/>
    </xf>
    <xf numFmtId="0" fontId="13" fillId="0" borderId="8" xfId="1" applyFont="1" applyFill="1" applyBorder="1" applyAlignment="1">
      <alignment vertical="top" wrapText="1"/>
    </xf>
    <xf numFmtId="49" fontId="13" fillId="0" borderId="4" xfId="1" applyNumberFormat="1" applyFont="1" applyFill="1" applyBorder="1" applyAlignment="1">
      <alignment horizontal="left" textRotation="90" wrapText="1"/>
    </xf>
    <xf numFmtId="0" fontId="2" fillId="0" borderId="4" xfId="0" applyFont="1" applyBorder="1" applyAlignment="1">
      <alignment horizontal="left" textRotation="90" wrapText="1"/>
    </xf>
    <xf numFmtId="0" fontId="0" fillId="0" borderId="0" xfId="0" applyFill="1" applyBorder="1" applyAlignment="1">
      <alignment horizontal="left" indent="1"/>
    </xf>
    <xf numFmtId="0" fontId="0" fillId="0" borderId="0" xfId="0" applyAlignment="1">
      <alignment horizontal="left" indent="1"/>
    </xf>
    <xf numFmtId="3" fontId="0" fillId="5" borderId="0" xfId="0" applyNumberFormat="1" applyFill="1" applyBorder="1" applyAlignment="1" applyProtection="1">
      <alignment horizontal="left" vertical="top" indent="1"/>
      <protection locked="0"/>
    </xf>
    <xf numFmtId="0" fontId="10" fillId="5" borderId="0" xfId="1" applyFont="1" applyFill="1" applyBorder="1" applyAlignment="1" applyProtection="1">
      <alignment horizontal="left" vertical="top" wrapText="1" indent="1"/>
      <protection locked="0"/>
    </xf>
    <xf numFmtId="0" fontId="0" fillId="0" borderId="1" xfId="0" applyFill="1" applyBorder="1" applyAlignment="1">
      <alignment horizontal="left" indent="1"/>
    </xf>
    <xf numFmtId="0" fontId="0" fillId="0" borderId="0" xfId="0" applyAlignment="1">
      <alignment horizontal="left" textRotation="90"/>
    </xf>
    <xf numFmtId="0" fontId="1" fillId="0" borderId="0" xfId="0" applyFont="1" applyAlignment="1">
      <alignment horizontal="left" textRotation="90" wrapText="1"/>
    </xf>
    <xf numFmtId="0" fontId="4" fillId="0" borderId="2" xfId="1" applyFont="1" applyFill="1" applyBorder="1" applyAlignment="1">
      <alignment horizontal="left" textRotation="90" wrapText="1"/>
    </xf>
    <xf numFmtId="9" fontId="0" fillId="0" borderId="0" xfId="2" applyFont="1" applyProtection="1"/>
    <xf numFmtId="0" fontId="1" fillId="0" borderId="0" xfId="0" applyFont="1" applyFill="1" applyBorder="1" applyAlignment="1">
      <alignment horizontal="left"/>
    </xf>
    <xf numFmtId="0" fontId="1" fillId="0" borderId="0" xfId="0" applyNumberFormat="1" applyFont="1" applyProtection="1"/>
    <xf numFmtId="9" fontId="0" fillId="0" borderId="0" xfId="0" applyNumberFormat="1"/>
    <xf numFmtId="164" fontId="0" fillId="4" borderId="0" xfId="0" applyNumberFormat="1" applyFill="1"/>
    <xf numFmtId="0" fontId="0" fillId="6" borderId="0" xfId="0" applyFill="1" applyProtection="1"/>
    <xf numFmtId="0" fontId="0" fillId="6" borderId="0" xfId="0" applyFill="1" applyProtection="1">
      <protection locked="0"/>
    </xf>
    <xf numFmtId="0" fontId="0" fillId="6" borderId="0" xfId="0" applyFill="1"/>
    <xf numFmtId="0" fontId="0" fillId="7" borderId="0" xfId="0" applyFill="1" applyProtection="1"/>
    <xf numFmtId="0" fontId="0" fillId="4" borderId="0" xfId="0" applyNumberFormat="1" applyFill="1"/>
    <xf numFmtId="0" fontId="0" fillId="0" borderId="0" xfId="0" applyNumberFormat="1"/>
    <xf numFmtId="0" fontId="0" fillId="8" borderId="0" xfId="0" applyFill="1" applyProtection="1"/>
    <xf numFmtId="0" fontId="0" fillId="8" borderId="0" xfId="0" applyFill="1"/>
    <xf numFmtId="0" fontId="0" fillId="8" borderId="2" xfId="0" applyFill="1" applyBorder="1" applyAlignment="1" applyProtection="1">
      <alignment horizontal="left" indent="2"/>
    </xf>
    <xf numFmtId="0" fontId="2" fillId="8" borderId="0" xfId="0" applyFont="1" applyFill="1" applyBorder="1" applyProtection="1"/>
    <xf numFmtId="0" fontId="2" fillId="8" borderId="2" xfId="0" applyFont="1" applyFill="1" applyBorder="1" applyAlignment="1" applyProtection="1">
      <alignment horizontal="left" vertical="top" indent="2"/>
      <protection locked="0"/>
    </xf>
    <xf numFmtId="0" fontId="2" fillId="8" borderId="0" xfId="0" applyFont="1" applyFill="1" applyAlignment="1" applyProtection="1">
      <alignment vertical="top" wrapText="1"/>
    </xf>
    <xf numFmtId="9" fontId="2" fillId="8" borderId="2" xfId="2" applyFont="1" applyFill="1" applyBorder="1" applyAlignment="1" applyProtection="1">
      <alignment horizontal="left" vertical="top" indent="2"/>
      <protection locked="0"/>
    </xf>
    <xf numFmtId="0" fontId="0" fillId="8" borderId="3" xfId="0" applyFill="1" applyBorder="1"/>
    <xf numFmtId="166" fontId="5" fillId="8" borderId="0" xfId="0" applyNumberFormat="1" applyFont="1" applyFill="1" applyBorder="1" applyAlignment="1" applyProtection="1">
      <alignment horizontal="left" indent="2"/>
    </xf>
    <xf numFmtId="0" fontId="14" fillId="8" borderId="3" xfId="0" applyFont="1" applyFill="1" applyBorder="1" applyProtection="1"/>
    <xf numFmtId="0" fontId="15" fillId="8" borderId="3" xfId="0" quotePrefix="1" applyFont="1" applyFill="1" applyBorder="1" applyAlignment="1" applyProtection="1">
      <alignment horizontal="left" vertical="center" wrapText="1"/>
    </xf>
    <xf numFmtId="0" fontId="2" fillId="8" borderId="3" xfId="0" applyFont="1" applyFill="1" applyBorder="1" applyProtection="1"/>
    <xf numFmtId="0" fontId="6" fillId="8" borderId="0" xfId="0" applyFont="1" applyFill="1" applyAlignment="1" applyProtection="1">
      <alignment vertical="top" wrapText="1"/>
    </xf>
    <xf numFmtId="0" fontId="15" fillId="8" borderId="0" xfId="0" applyFont="1" applyFill="1" applyAlignment="1" applyProtection="1">
      <alignment vertical="top" wrapText="1"/>
    </xf>
    <xf numFmtId="0" fontId="17" fillId="8" borderId="0" xfId="0" applyFont="1" applyFill="1" applyAlignment="1" applyProtection="1">
      <alignment horizontal="left" vertical="center"/>
      <protection locked="0"/>
    </xf>
    <xf numFmtId="0" fontId="5" fillId="8" borderId="0" xfId="0" applyFont="1" applyFill="1" applyAlignment="1" applyProtection="1">
      <alignment vertical="center" wrapText="1"/>
    </xf>
    <xf numFmtId="0" fontId="2" fillId="8" borderId="14" xfId="0" applyFont="1" applyFill="1" applyBorder="1" applyAlignment="1" applyProtection="1">
      <alignment vertical="center" wrapText="1"/>
    </xf>
    <xf numFmtId="10" fontId="2" fillId="2" borderId="13" xfId="0" applyNumberFormat="1" applyFont="1" applyFill="1" applyBorder="1" applyAlignment="1" applyProtection="1">
      <alignment horizontal="left" vertical="center" indent="2"/>
      <protection locked="0"/>
    </xf>
    <xf numFmtId="0" fontId="2" fillId="8" borderId="13" xfId="0" applyFont="1" applyFill="1" applyBorder="1" applyAlignment="1" applyProtection="1">
      <alignment horizontal="left" vertical="top" indent="2"/>
      <protection locked="0"/>
    </xf>
    <xf numFmtId="0" fontId="18" fillId="8" borderId="14" xfId="0" applyFont="1" applyFill="1" applyBorder="1" applyAlignment="1" applyProtection="1">
      <alignment vertical="center"/>
    </xf>
    <xf numFmtId="0" fontId="2" fillId="8" borderId="15" xfId="0" applyFont="1" applyFill="1" applyBorder="1" applyAlignment="1" applyProtection="1">
      <alignment vertical="top" wrapText="1"/>
    </xf>
    <xf numFmtId="0" fontId="2" fillId="2" borderId="16" xfId="0" applyFont="1" applyFill="1" applyBorder="1" applyAlignment="1" applyProtection="1">
      <alignment horizontal="left" vertical="center" indent="2"/>
      <protection locked="0"/>
    </xf>
    <xf numFmtId="0" fontId="2" fillId="8" borderId="15" xfId="0" applyFont="1" applyFill="1" applyBorder="1" applyAlignment="1" applyProtection="1">
      <alignment vertical="center" wrapText="1"/>
    </xf>
    <xf numFmtId="9" fontId="2" fillId="2" borderId="16" xfId="2" applyFont="1" applyFill="1" applyBorder="1" applyAlignment="1" applyProtection="1">
      <alignment horizontal="left" vertical="center" indent="2"/>
      <protection locked="0"/>
    </xf>
    <xf numFmtId="0" fontId="18" fillId="8" borderId="14" xfId="0" applyFont="1" applyFill="1" applyBorder="1" applyAlignment="1" applyProtection="1">
      <alignment vertical="center" wrapText="1"/>
    </xf>
    <xf numFmtId="9" fontId="2" fillId="8" borderId="13" xfId="2" applyFont="1" applyFill="1" applyBorder="1" applyAlignment="1" applyProtection="1">
      <alignment horizontal="left" vertical="top" indent="2"/>
      <protection locked="0"/>
    </xf>
    <xf numFmtId="0" fontId="2" fillId="2" borderId="16" xfId="2" applyNumberFormat="1" applyFont="1" applyFill="1" applyBorder="1" applyAlignment="1" applyProtection="1">
      <alignment horizontal="left" vertical="center" indent="2"/>
      <protection locked="0"/>
    </xf>
    <xf numFmtId="0" fontId="2" fillId="8" borderId="12" xfId="0" applyFont="1" applyFill="1" applyBorder="1" applyAlignment="1" applyProtection="1">
      <alignment vertical="center" wrapText="1"/>
    </xf>
    <xf numFmtId="9" fontId="2" fillId="2" borderId="13" xfId="2" applyFont="1" applyFill="1" applyBorder="1" applyAlignment="1" applyProtection="1">
      <alignment horizontal="left" vertical="center" indent="2"/>
      <protection locked="0"/>
    </xf>
    <xf numFmtId="0" fontId="2" fillId="8" borderId="15" xfId="0" applyFont="1" applyFill="1" applyBorder="1" applyAlignment="1" applyProtection="1">
      <alignment wrapText="1"/>
    </xf>
    <xf numFmtId="0" fontId="2" fillId="8" borderId="18" xfId="0" applyFont="1" applyFill="1" applyBorder="1" applyAlignment="1" applyProtection="1">
      <alignment vertical="center" wrapText="1"/>
    </xf>
    <xf numFmtId="0" fontId="2" fillId="8" borderId="17" xfId="0" applyFont="1" applyFill="1" applyBorder="1" applyAlignment="1" applyProtection="1">
      <alignment vertical="center" wrapText="1"/>
    </xf>
    <xf numFmtId="0" fontId="19" fillId="8" borderId="14" xfId="0" applyFont="1" applyFill="1" applyBorder="1" applyAlignment="1" applyProtection="1">
      <alignment vertical="center"/>
    </xf>
    <xf numFmtId="0" fontId="0" fillId="8" borderId="3" xfId="0" applyFont="1" applyFill="1" applyBorder="1" applyAlignment="1" applyProtection="1">
      <alignment vertical="center" wrapText="1"/>
    </xf>
    <xf numFmtId="0" fontId="0" fillId="8" borderId="0" xfId="0" applyFont="1" applyFill="1" applyBorder="1" applyAlignment="1" applyProtection="1">
      <alignment horizontal="left" vertical="center" wrapText="1" indent="2"/>
    </xf>
    <xf numFmtId="0" fontId="0" fillId="8" borderId="3" xfId="0" applyFont="1" applyFill="1" applyBorder="1" applyAlignment="1" applyProtection="1">
      <alignment horizontal="left" vertical="center" wrapText="1" indent="2"/>
    </xf>
    <xf numFmtId="0" fontId="0" fillId="8" borderId="14" xfId="0" applyFont="1" applyFill="1" applyBorder="1" applyAlignment="1" applyProtection="1">
      <alignment horizontal="left" vertical="center" wrapText="1" indent="2"/>
    </xf>
    <xf numFmtId="0" fontId="20" fillId="8" borderId="3" xfId="0" applyFont="1" applyFill="1" applyBorder="1" applyAlignment="1" applyProtection="1">
      <alignment vertical="center"/>
    </xf>
    <xf numFmtId="165" fontId="5" fillId="8" borderId="13" xfId="0" applyNumberFormat="1" applyFont="1" applyFill="1" applyBorder="1" applyAlignment="1" applyProtection="1">
      <alignment horizontal="left" indent="2"/>
    </xf>
    <xf numFmtId="166" fontId="5" fillId="8" borderId="13" xfId="0" applyNumberFormat="1" applyFont="1" applyFill="1" applyBorder="1" applyAlignment="1" applyProtection="1">
      <alignment horizontal="left" vertical="center" indent="2"/>
    </xf>
    <xf numFmtId="166" fontId="5" fillId="8" borderId="16" xfId="0" applyNumberFormat="1" applyFont="1" applyFill="1" applyBorder="1" applyAlignment="1" applyProtection="1">
      <alignment horizontal="left" vertical="center" indent="2"/>
    </xf>
    <xf numFmtId="0" fontId="6" fillId="8" borderId="12" xfId="0" applyFont="1" applyFill="1" applyBorder="1" applyAlignment="1" applyProtection="1">
      <alignment vertical="center" wrapText="1"/>
    </xf>
    <xf numFmtId="0" fontId="1" fillId="8" borderId="0" xfId="0" applyFont="1" applyFill="1" applyBorder="1" applyAlignment="1" applyProtection="1">
      <alignment vertical="center" wrapText="1"/>
    </xf>
    <xf numFmtId="0" fontId="1" fillId="8" borderId="0" xfId="0" applyFont="1" applyFill="1" applyBorder="1" applyAlignment="1" applyProtection="1">
      <alignment wrapText="1"/>
    </xf>
    <xf numFmtId="0" fontId="1" fillId="8" borderId="14" xfId="0" applyFont="1" applyFill="1" applyBorder="1" applyAlignment="1" applyProtection="1">
      <alignment horizontal="left" vertical="center" wrapText="1"/>
    </xf>
    <xf numFmtId="166" fontId="5" fillId="8" borderId="13" xfId="0" applyNumberFormat="1" applyFont="1" applyFill="1" applyBorder="1" applyAlignment="1" applyProtection="1">
      <alignment horizontal="left" indent="2"/>
    </xf>
    <xf numFmtId="0" fontId="1" fillId="8" borderId="15" xfId="0" applyFont="1" applyFill="1" applyBorder="1" applyAlignment="1" applyProtection="1">
      <alignment vertical="center" wrapText="1"/>
    </xf>
    <xf numFmtId="0" fontId="15" fillId="8" borderId="14" xfId="0"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indent="2"/>
    </xf>
    <xf numFmtId="0" fontId="2" fillId="8" borderId="20" xfId="0" applyNumberFormat="1" applyFont="1" applyFill="1" applyBorder="1" applyAlignment="1" applyProtection="1">
      <alignment horizontal="left" indent="2"/>
    </xf>
    <xf numFmtId="166" fontId="5" fillId="8" borderId="21" xfId="0" applyNumberFormat="1" applyFont="1" applyFill="1" applyBorder="1" applyAlignment="1" applyProtection="1">
      <alignment horizontal="left" indent="2"/>
    </xf>
    <xf numFmtId="0" fontId="0" fillId="8" borderId="21" xfId="0" applyFill="1" applyBorder="1" applyProtection="1"/>
    <xf numFmtId="0" fontId="2" fillId="8" borderId="3" xfId="0" applyFont="1" applyFill="1" applyBorder="1" applyAlignment="1" applyProtection="1">
      <alignment wrapText="1"/>
    </xf>
    <xf numFmtId="166" fontId="5" fillId="8" borderId="20" xfId="0" applyNumberFormat="1" applyFont="1" applyFill="1" applyBorder="1" applyAlignment="1" applyProtection="1">
      <alignment horizontal="left" vertical="center" indent="2"/>
    </xf>
    <xf numFmtId="0" fontId="2" fillId="8" borderId="14" xfId="0" applyFont="1" applyFill="1" applyBorder="1" applyAlignment="1" applyProtection="1">
      <alignment wrapText="1"/>
    </xf>
    <xf numFmtId="166" fontId="5" fillId="8" borderId="19" xfId="0" applyNumberFormat="1" applyFont="1" applyFill="1" applyBorder="1" applyAlignment="1" applyProtection="1">
      <alignment horizontal="left" vertical="center" indent="2"/>
    </xf>
    <xf numFmtId="0" fontId="0" fillId="6" borderId="0" xfId="0" applyFill="1" applyAlignment="1">
      <alignment horizontal="center"/>
    </xf>
    <xf numFmtId="0" fontId="6" fillId="0" borderId="0" xfId="0" quotePrefix="1" applyFont="1" applyAlignment="1" applyProtection="1">
      <alignment horizontal="left" vertical="top" wrapText="1"/>
    </xf>
    <xf numFmtId="0" fontId="6" fillId="0" borderId="0" xfId="0" applyFont="1" applyAlignment="1" applyProtection="1">
      <alignment horizontal="left" vertical="top" wrapText="1"/>
    </xf>
    <xf numFmtId="0" fontId="0" fillId="8" borderId="0" xfId="0" applyFill="1" applyAlignment="1" applyProtection="1">
      <alignment horizontal="left" vertical="top" wrapText="1"/>
    </xf>
    <xf numFmtId="0" fontId="16" fillId="8" borderId="0" xfId="0" applyFont="1" applyFill="1" applyAlignment="1">
      <alignment horizontal="left" vertical="top" wrapText="1"/>
    </xf>
    <xf numFmtId="166" fontId="0" fillId="8" borderId="2" xfId="0" applyNumberFormat="1" applyFont="1" applyFill="1" applyBorder="1" applyAlignment="1" applyProtection="1">
      <alignment horizontal="left" vertical="center" wrapText="1"/>
    </xf>
    <xf numFmtId="166" fontId="0" fillId="8" borderId="0" xfId="0" applyNumberFormat="1" applyFont="1" applyFill="1" applyBorder="1" applyAlignment="1" applyProtection="1">
      <alignment horizontal="left" vertical="center" wrapText="1"/>
    </xf>
    <xf numFmtId="166" fontId="1" fillId="8" borderId="2" xfId="0" applyNumberFormat="1" applyFont="1" applyFill="1" applyBorder="1" applyAlignment="1" applyProtection="1">
      <alignment horizontal="left" vertical="center"/>
    </xf>
    <xf numFmtId="166" fontId="1" fillId="8" borderId="0" xfId="0" applyNumberFormat="1" applyFont="1" applyFill="1" applyBorder="1" applyAlignment="1" applyProtection="1">
      <alignment horizontal="left" vertical="center"/>
    </xf>
    <xf numFmtId="166" fontId="0" fillId="8" borderId="2" xfId="0" applyNumberFormat="1" applyFont="1" applyFill="1" applyBorder="1" applyAlignment="1" applyProtection="1">
      <alignment horizontal="left" vertical="center" wrapText="1" indent="2"/>
    </xf>
    <xf numFmtId="166" fontId="0" fillId="8" borderId="0" xfId="0" applyNumberFormat="1" applyFont="1" applyFill="1" applyBorder="1" applyAlignment="1" applyProtection="1">
      <alignment horizontal="left" vertical="center" wrapText="1" indent="2"/>
    </xf>
    <xf numFmtId="166" fontId="0" fillId="8" borderId="13" xfId="0" applyNumberFormat="1" applyFont="1" applyFill="1" applyBorder="1" applyAlignment="1" applyProtection="1">
      <alignment horizontal="left" vertical="center" wrapText="1" indent="2"/>
    </xf>
    <xf numFmtId="166" fontId="0" fillId="8" borderId="12" xfId="0" applyNumberFormat="1" applyFont="1" applyFill="1" applyBorder="1" applyAlignment="1" applyProtection="1">
      <alignment horizontal="left" vertical="center" wrapText="1" indent="2"/>
    </xf>
    <xf numFmtId="0" fontId="15" fillId="8" borderId="0" xfId="0" quotePrefix="1" applyFont="1" applyFill="1" applyAlignment="1" applyProtection="1">
      <alignment horizontal="left" vertical="top" wrapText="1"/>
    </xf>
  </cellXfs>
  <cellStyles count="4">
    <cellStyle name="Normaali" xfId="0" builtinId="0"/>
    <cellStyle name="Normaali 2" xfId="1" xr:uid="{00000000-0005-0000-0000-000001000000}"/>
    <cellStyle name="Normaali 2 2" xfId="3" xr:uid="{00000000-0005-0000-0000-00000200000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KJ-kapasiteettivarausmaksu </a:t>
            </a:r>
          </a:p>
          <a:p>
            <a:pPr>
              <a:defRPr/>
            </a:pPr>
            <a:r>
              <a:rPr lang="en-US"/>
              <a:t>Kapacitetsreserveringsavgift i mellanspänningsnätet</a:t>
            </a:r>
          </a:p>
        </c:rich>
      </c:tx>
      <c:overlay val="0"/>
    </c:title>
    <c:autoTitleDeleted val="0"/>
    <c:plotArea>
      <c:layout/>
      <c:scatterChart>
        <c:scatterStyle val="smoothMarker"/>
        <c:varyColors val="0"/>
        <c:ser>
          <c:idx val="0"/>
          <c:order val="0"/>
          <c:tx>
            <c:v>kapasiteettivarausmaksu</c:v>
          </c:tx>
          <c:marker>
            <c:symbol val="none"/>
          </c:marker>
          <c:xVal>
            <c:numRef>
              <c:f>Laskenta!$A$3:$A$62</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xVal>
          <c:yVal>
            <c:numRef>
              <c:f>Laskenta!$U$3:$U$62</c:f>
              <c:numCache>
                <c:formatCode>#\ ##0.0</c:formatCode>
                <c:ptCount val="60"/>
                <c:pt idx="0">
                  <c:v>9.5475967149857741</c:v>
                </c:pt>
                <c:pt idx="1">
                  <c:v>10.263043854585774</c:v>
                </c:pt>
                <c:pt idx="2">
                  <c:v>10.915055854119977</c:v>
                </c:pt>
                <c:pt idx="3">
                  <c:v>11.506561806136951</c:v>
                </c:pt>
                <c:pt idx="4">
                  <c:v>12.19006701834733</c:v>
                </c:pt>
                <c:pt idx="5">
                  <c:v>12.889668394075638</c:v>
                </c:pt>
                <c:pt idx="6">
                  <c:v>13.598027047513812</c:v>
                </c:pt>
                <c:pt idx="7">
                  <c:v>14.349035616502476</c:v>
                </c:pt>
                <c:pt idx="8">
                  <c:v>15.157034984719164</c:v>
                </c:pt>
                <c:pt idx="9">
                  <c:v>16.053833577323815</c:v>
                </c:pt>
                <c:pt idx="10">
                  <c:v>17.084484961567423</c:v>
                </c:pt>
                <c:pt idx="11">
                  <c:v>18.243007216191739</c:v>
                </c:pt>
                <c:pt idx="12">
                  <c:v>19.525127540298023</c:v>
                </c:pt>
                <c:pt idx="13">
                  <c:v>20.927712546560521</c:v>
                </c:pt>
                <c:pt idx="14">
                  <c:v>22.448412194484931</c:v>
                </c:pt>
                <c:pt idx="15">
                  <c:v>24.085429394281476</c:v>
                </c:pt>
                <c:pt idx="16">
                  <c:v>25.837366409447014</c:v>
                </c:pt>
                <c:pt idx="17">
                  <c:v>27.703119763794842</c:v>
                </c:pt>
                <c:pt idx="18">
                  <c:v>29.681806676375601</c:v>
                </c:pt>
                <c:pt idx="19">
                  <c:v>31.77271251499219</c:v>
                </c:pt>
                <c:pt idx="20">
                  <c:v>33.975252580574264</c:v>
                </c:pt>
                <c:pt idx="21">
                  <c:v>36.288943860846288</c:v>
                </c:pt>
                <c:pt idx="22">
                  <c:v>38.713383845578704</c:v>
                </c:pt>
                <c:pt idx="23">
                  <c:v>41.248234426178627</c:v>
                </c:pt>
                <c:pt idx="24">
                  <c:v>43.893209510759803</c:v>
                </c:pt>
                <c:pt idx="25">
                  <c:v>46.648065391419124</c:v>
                </c:pt>
                <c:pt idx="26">
                  <c:v>49.512593175668201</c:v>
                </c:pt>
                <c:pt idx="27">
                  <c:v>52.486612783775669</c:v>
                </c:pt>
                <c:pt idx="28">
                  <c:v>55.569968146641003</c:v>
                </c:pt>
                <c:pt idx="29">
                  <c:v>58.762523333112156</c:v>
                </c:pt>
                <c:pt idx="30">
                  <c:v>62.064159403431077</c:v>
                </c:pt>
                <c:pt idx="31">
                  <c:v>65.474771834780057</c:v>
                </c:pt>
                <c:pt idx="32">
                  <c:v>68.994268401143529</c:v>
                </c:pt>
                <c:pt idx="33">
                  <c:v>72.622567416621919</c:v>
                </c:pt>
                <c:pt idx="34">
                  <c:v>76.359596271526769</c:v>
                </c:pt>
                <c:pt idx="35">
                  <c:v>80.205290205865651</c:v>
                </c:pt>
                <c:pt idx="36">
                  <c:v>84.159591276487475</c:v>
                </c:pt>
                <c:pt idx="37">
                  <c:v>88.222447483128377</c:v>
                </c:pt>
                <c:pt idx="38">
                  <c:v>92.393812025550943</c:v>
                </c:pt>
                <c:pt idx="39">
                  <c:v>96.673642669394539</c:v>
                </c:pt>
                <c:pt idx="40">
                  <c:v>101.06190120261864</c:v>
                </c:pt>
                <c:pt idx="41">
                  <c:v>105.55855296779107</c:v>
                </c:pt>
                <c:pt idx="42">
                  <c:v>110.16356645815536</c:v>
                </c:pt>
                <c:pt idx="43">
                  <c:v>114.87691296755561</c:v>
                </c:pt>
                <c:pt idx="44">
                  <c:v>119.69856628602339</c:v>
                </c:pt>
                <c:pt idx="45">
                  <c:v>124.62850243422584</c:v>
                </c:pt>
                <c:pt idx="46">
                  <c:v>129.6666994311079</c:v>
                </c:pt>
                <c:pt idx="47">
                  <c:v>134.81313708998633</c:v>
                </c:pt>
                <c:pt idx="48">
                  <c:v>140.0677968391125</c:v>
                </c:pt>
                <c:pt idx="49">
                  <c:v>145.43066156334558</c:v>
                </c:pt>
                <c:pt idx="50">
                  <c:v>150.90171546409402</c:v>
                </c:pt>
                <c:pt idx="51">
                  <c:v>156.48094393511278</c:v>
                </c:pt>
                <c:pt idx="52">
                  <c:v>162.16833345210091</c:v>
                </c:pt>
                <c:pt idx="53">
                  <c:v>167.96387147434302</c:v>
                </c:pt>
                <c:pt idx="54">
                  <c:v>173.86754635688899</c:v>
                </c:pt>
                <c:pt idx="55">
                  <c:v>179.87934727197833</c:v>
                </c:pt>
                <c:pt idx="56">
                  <c:v>185.99926413859257</c:v>
                </c:pt>
                <c:pt idx="57">
                  <c:v>192.22728755917214</c:v>
                </c:pt>
                <c:pt idx="58">
                  <c:v>198.5634087626614</c:v>
                </c:pt>
                <c:pt idx="59">
                  <c:v>205.00761955315599</c:v>
                </c:pt>
              </c:numCache>
            </c:numRef>
          </c:yVal>
          <c:smooth val="1"/>
          <c:extLst>
            <c:ext xmlns:c16="http://schemas.microsoft.com/office/drawing/2014/chart" uri="{C3380CC4-5D6E-409C-BE32-E72D297353CC}">
              <c16:uniqueId val="{00000000-E34E-4F86-9D70-7E71996A6FDF}"/>
            </c:ext>
          </c:extLst>
        </c:ser>
        <c:dLbls>
          <c:showLegendKey val="0"/>
          <c:showVal val="0"/>
          <c:showCatName val="0"/>
          <c:showSerName val="0"/>
          <c:showPercent val="0"/>
          <c:showBubbleSize val="0"/>
        </c:dLbls>
        <c:axId val="701239744"/>
        <c:axId val="701240920"/>
      </c:scatterChart>
      <c:valAx>
        <c:axId val="701239744"/>
        <c:scaling>
          <c:orientation val="minMax"/>
        </c:scaling>
        <c:delete val="0"/>
        <c:axPos val="b"/>
        <c:title>
          <c:tx>
            <c:rich>
              <a:bodyPr/>
              <a:lstStyle/>
              <a:p>
                <a:pPr>
                  <a:defRPr/>
                </a:pPr>
                <a:r>
                  <a:rPr lang="fi-FI"/>
                  <a:t>Lähdön keskimääräinen pituus (km)</a:t>
                </a:r>
              </a:p>
              <a:p>
                <a:pPr>
                  <a:defRPr/>
                </a:pPr>
                <a:r>
                  <a:rPr lang="fi-FI"/>
                  <a:t>Genomsnittlig längd för utgående huvudledning</a:t>
                </a:r>
              </a:p>
            </c:rich>
          </c:tx>
          <c:overlay val="0"/>
        </c:title>
        <c:numFmt formatCode="#,##0" sourceLinked="0"/>
        <c:majorTickMark val="out"/>
        <c:minorTickMark val="none"/>
        <c:tickLblPos val="nextTo"/>
        <c:crossAx val="701240920"/>
        <c:crosses val="autoZero"/>
        <c:crossBetween val="midCat"/>
      </c:valAx>
      <c:valAx>
        <c:axId val="701240920"/>
        <c:scaling>
          <c:orientation val="minMax"/>
        </c:scaling>
        <c:delete val="0"/>
        <c:axPos val="l"/>
        <c:majorGridlines/>
        <c:title>
          <c:tx>
            <c:rich>
              <a:bodyPr rot="-5400000" vert="horz"/>
              <a:lstStyle/>
              <a:p>
                <a:pPr>
                  <a:defRPr sz="1050"/>
                </a:pPr>
                <a:r>
                  <a:rPr lang="fi-FI" sz="1050"/>
                  <a:t>€ / kVA</a:t>
                </a:r>
              </a:p>
            </c:rich>
          </c:tx>
          <c:overlay val="0"/>
        </c:title>
        <c:numFmt formatCode="#,##0" sourceLinked="0"/>
        <c:majorTickMark val="out"/>
        <c:minorTickMark val="none"/>
        <c:tickLblPos val="nextTo"/>
        <c:crossAx val="701239744"/>
        <c:crosses val="autoZero"/>
        <c:crossBetween val="midCat"/>
        <c:minorUnit val="10"/>
      </c:valAx>
    </c:plotArea>
    <c:plotVisOnly val="1"/>
    <c:dispBlanksAs val="gap"/>
    <c:showDLblsOverMax val="0"/>
  </c:chart>
  <c:spPr>
    <a:ln w="19050">
      <a:solidFill>
        <a:sysClr val="windowText" lastClr="000000"/>
      </a:solidFill>
    </a:ln>
  </c:sp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PJ-kapasiteettivarausmaksu</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fi-FI"/>
        </a:p>
      </c:txPr>
    </c:title>
    <c:autoTitleDeleted val="0"/>
    <c:plotArea>
      <c:layout/>
      <c:scatterChart>
        <c:scatterStyle val="lineMarker"/>
        <c:varyColors val="0"/>
        <c:ser>
          <c:idx val="0"/>
          <c:order val="0"/>
          <c:tx>
            <c:v>PJ kapasiteettivarausmaksu</c:v>
          </c:tx>
          <c:spPr>
            <a:ln w="25400" cap="rnd">
              <a:noFill/>
              <a:round/>
            </a:ln>
            <a:effectLst/>
          </c:spPr>
          <c:marker>
            <c:symbol val="circle"/>
            <c:size val="5"/>
            <c:spPr>
              <a:solidFill>
                <a:schemeClr val="accent1"/>
              </a:solidFill>
              <a:ln w="9525">
                <a:solidFill>
                  <a:schemeClr val="accent1"/>
                </a:solidFill>
              </a:ln>
              <a:effectLst/>
            </c:spPr>
          </c:marker>
          <c:xVal>
            <c:numRef>
              <c:f>Laskenta!$Y$2:$Y$28</c:f>
              <c:numCache>
                <c:formatCode>General</c:formatCode>
                <c:ptCount val="27"/>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pt idx="20">
                  <c:v>1000</c:v>
                </c:pt>
                <c:pt idx="21">
                  <c:v>1050</c:v>
                </c:pt>
                <c:pt idx="22">
                  <c:v>1100</c:v>
                </c:pt>
                <c:pt idx="23">
                  <c:v>1150</c:v>
                </c:pt>
                <c:pt idx="24">
                  <c:v>1200</c:v>
                </c:pt>
                <c:pt idx="25">
                  <c:v>1250</c:v>
                </c:pt>
                <c:pt idx="26">
                  <c:v>1300</c:v>
                </c:pt>
              </c:numCache>
            </c:numRef>
          </c:xVal>
          <c:yVal>
            <c:numRef>
              <c:f>Laskenta!$AW$2:$AW$29</c:f>
              <c:numCache>
                <c:formatCode>#\ ##0.0</c:formatCode>
                <c:ptCount val="28"/>
                <c:pt idx="0">
                  <c:v>71.076410036701446</c:v>
                </c:pt>
                <c:pt idx="1">
                  <c:v>72.782255330580753</c:v>
                </c:pt>
                <c:pt idx="2">
                  <c:v>74.488100624460046</c:v>
                </c:pt>
                <c:pt idx="3">
                  <c:v>76.178264008710244</c:v>
                </c:pt>
                <c:pt idx="4">
                  <c:v>77.604079139590269</c:v>
                </c:pt>
                <c:pt idx="5">
                  <c:v>78.883840220108766</c:v>
                </c:pt>
                <c:pt idx="6">
                  <c:v>80.206104413827731</c:v>
                </c:pt>
                <c:pt idx="7">
                  <c:v>81.760834867109395</c:v>
                </c:pt>
                <c:pt idx="8">
                  <c:v>83.651686062216172</c:v>
                </c:pt>
                <c:pt idx="9">
                  <c:v>85.900203666689507</c:v>
                </c:pt>
                <c:pt idx="10">
                  <c:v>88.487541402936159</c:v>
                </c:pt>
                <c:pt idx="11">
                  <c:v>91.401135085893998</c:v>
                </c:pt>
                <c:pt idx="12">
                  <c:v>94.632286433596875</c:v>
                </c:pt>
                <c:pt idx="13">
                  <c:v>98.174782387497572</c:v>
                </c:pt>
                <c:pt idx="14">
                  <c:v>102.02406670466146</c:v>
                </c:pt>
                <c:pt idx="15">
                  <c:v>106.1767222028876</c:v>
                </c:pt>
                <c:pt idx="16">
                  <c:v>110.63013574284579</c:v>
                </c:pt>
                <c:pt idx="17">
                  <c:v>115.38227488283482</c:v>
                </c:pt>
                <c:pt idx="18">
                  <c:v>120.43153506361688</c:v>
                </c:pt>
                <c:pt idx="19">
                  <c:v>125.7766326378017</c:v>
                </c:pt>
                <c:pt idx="20">
                  <c:v>131.41652846226384</c:v>
                </c:pt>
                <c:pt idx="21">
                  <c:v>137.3503723289916</c:v>
                </c:pt>
                <c:pt idx="22">
                  <c:v>143.57746189223613</c:v>
                </c:pt>
                <c:pt idx="23">
                  <c:v>150.09721186387344</c:v>
                </c:pt>
                <c:pt idx="24">
                  <c:v>156.90913060187935</c:v>
                </c:pt>
                <c:pt idx="25">
                  <c:v>164.01280210146416</c:v>
                </c:pt>
                <c:pt idx="26">
                  <c:v>171.40787198817745</c:v>
                </c:pt>
                <c:pt idx="27">
                  <c:v>179.09403651249019</c:v>
                </c:pt>
              </c:numCache>
            </c:numRef>
          </c:yVal>
          <c:smooth val="0"/>
          <c:extLst>
            <c:ext xmlns:c16="http://schemas.microsoft.com/office/drawing/2014/chart" uri="{C3380CC4-5D6E-409C-BE32-E72D297353CC}">
              <c16:uniqueId val="{00000000-E62A-4131-84CD-C2DAD31E0673}"/>
            </c:ext>
          </c:extLst>
        </c:ser>
        <c:dLbls>
          <c:showLegendKey val="0"/>
          <c:showVal val="0"/>
          <c:showCatName val="0"/>
          <c:showSerName val="0"/>
          <c:showPercent val="0"/>
          <c:showBubbleSize val="0"/>
        </c:dLbls>
        <c:axId val="302021408"/>
        <c:axId val="302015832"/>
      </c:scatterChart>
      <c:valAx>
        <c:axId val="302021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fi-FI" b="1">
                    <a:solidFill>
                      <a:sysClr val="windowText" lastClr="000000"/>
                    </a:solidFill>
                  </a:rPr>
                  <a:t>Keskimääräinen 0,4 kV runkjohtolähdön pituus muuntamolta (m)</a:t>
                </a:r>
              </a:p>
              <a:p>
                <a:pPr>
                  <a:defRPr b="1">
                    <a:solidFill>
                      <a:sysClr val="windowText" lastClr="000000"/>
                    </a:solidFill>
                  </a:defRPr>
                </a:pPr>
                <a:r>
                  <a:rPr lang="fi-FI" b="1">
                    <a:solidFill>
                      <a:sysClr val="windowText" lastClr="000000"/>
                    </a:solidFill>
                  </a:rPr>
                  <a:t>Genomsnittlig längd för utgående 0,4 kV huvudledning från transformatorstation</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15832"/>
        <c:crosses val="autoZero"/>
        <c:crossBetween val="midCat"/>
      </c:valAx>
      <c:valAx>
        <c:axId val="302015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fi-FI" sz="1050" b="1">
                    <a:solidFill>
                      <a:sysClr val="windowText" lastClr="000000"/>
                    </a:solidFill>
                  </a:rPr>
                  <a:t>€ / kVA</a:t>
                </a:r>
              </a:p>
            </c:rich>
          </c:tx>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i-FI"/>
            </a:p>
          </c:txPr>
        </c:title>
        <c:numFmt formatCode="#\ ##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21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xdr:colOff>
      <xdr:row>1</xdr:row>
      <xdr:rowOff>9528</xdr:rowOff>
    </xdr:from>
    <xdr:to>
      <xdr:col>13</xdr:col>
      <xdr:colOff>2025650</xdr:colOff>
      <xdr:row>12</xdr:row>
      <xdr:rowOff>247651</xdr:rowOff>
    </xdr:to>
    <xdr:graphicFrame macro="">
      <xdr:nvGraphicFramePr>
        <xdr:cNvPr id="3" name="Kaavi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12699</xdr:colOff>
      <xdr:row>13</xdr:row>
      <xdr:rowOff>19050</xdr:rowOff>
    </xdr:from>
    <xdr:to>
      <xdr:col>13</xdr:col>
      <xdr:colOff>2019299</xdr:colOff>
      <xdr:row>22</xdr:row>
      <xdr:rowOff>390525</xdr:rowOff>
    </xdr:to>
    <xdr:graphicFrame macro="">
      <xdr:nvGraphicFramePr>
        <xdr:cNvPr id="4" name="Kaavi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104775</xdr:rowOff>
        </xdr:from>
        <xdr:to>
          <xdr:col>11</xdr:col>
          <xdr:colOff>228600</xdr:colOff>
          <xdr:row>15</xdr:row>
          <xdr:rowOff>161925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kettu/AppData/Local/Microsoft/Windows/Temporary%20Internet%20Files/Content.Outlook/UAET8E20/Kapasiteettivarausmaksun%20lask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KENTA"/>
      <sheetName val="Taul1"/>
      <sheetName val="Taul2"/>
      <sheetName val="Taul4"/>
      <sheetName val="Taul5"/>
      <sheetName val="OHJE"/>
      <sheetName val="Taul3"/>
    </sheetNames>
    <sheetDataSet>
      <sheetData sheetId="0"/>
      <sheetData sheetId="1">
        <row r="1">
          <cell r="D1">
            <v>0.95</v>
          </cell>
        </row>
        <row r="2">
          <cell r="D2">
            <v>0.04</v>
          </cell>
        </row>
        <row r="3">
          <cell r="D3">
            <v>8</v>
          </cell>
        </row>
        <row r="4">
          <cell r="D4">
            <v>20000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B1" workbookViewId="0">
      <selection activeCell="B1" sqref="B1"/>
    </sheetView>
  </sheetViews>
  <sheetFormatPr defaultRowHeight="15" x14ac:dyDescent="0.25"/>
  <cols>
    <col min="2" max="2" width="127.42578125" customWidth="1"/>
    <col min="3" max="3" width="20.5703125" customWidth="1"/>
    <col min="14" max="14" width="31.140625" customWidth="1"/>
  </cols>
  <sheetData>
    <row r="1" spans="1:14" ht="41.25" customHeight="1" x14ac:dyDescent="0.25">
      <c r="A1" s="55"/>
      <c r="B1" s="75" t="s">
        <v>105</v>
      </c>
      <c r="C1" s="61"/>
      <c r="D1" s="62"/>
      <c r="E1" s="62"/>
      <c r="F1" s="62"/>
      <c r="G1" s="62"/>
      <c r="H1" s="62"/>
      <c r="I1" s="62"/>
      <c r="J1" s="62"/>
      <c r="K1" s="62"/>
      <c r="L1" s="62"/>
      <c r="M1" s="62"/>
      <c r="N1" s="62"/>
    </row>
    <row r="2" spans="1:14" ht="27" customHeight="1" x14ac:dyDescent="0.25">
      <c r="A2" s="55"/>
      <c r="B2" s="76" t="s">
        <v>106</v>
      </c>
      <c r="C2" s="63"/>
      <c r="D2" s="62"/>
      <c r="E2" s="62"/>
      <c r="F2" s="62"/>
      <c r="G2" s="62"/>
      <c r="H2" s="62"/>
      <c r="I2" s="62"/>
      <c r="J2" s="62"/>
      <c r="K2" s="62"/>
      <c r="L2" s="62"/>
      <c r="M2" s="62"/>
      <c r="N2" s="62"/>
    </row>
    <row r="3" spans="1:14" ht="31.5" x14ac:dyDescent="0.25">
      <c r="A3" s="55"/>
      <c r="B3" s="90" t="s">
        <v>102</v>
      </c>
      <c r="C3" s="82">
        <v>0.95</v>
      </c>
      <c r="D3" s="62"/>
      <c r="E3" s="62"/>
      <c r="F3" s="62"/>
      <c r="G3" s="62"/>
      <c r="H3" s="62"/>
      <c r="I3" s="62"/>
      <c r="J3" s="62"/>
      <c r="K3" s="62"/>
      <c r="L3" s="62"/>
      <c r="M3" s="62"/>
      <c r="N3" s="62"/>
    </row>
    <row r="4" spans="1:14" s="28" customFormat="1" ht="10.5" customHeight="1" x14ac:dyDescent="0.25">
      <c r="A4" s="55"/>
      <c r="B4" s="64"/>
      <c r="C4" s="65"/>
      <c r="D4" s="62"/>
      <c r="E4" s="62"/>
      <c r="F4" s="62"/>
      <c r="G4" s="62"/>
      <c r="H4" s="62"/>
      <c r="I4" s="62"/>
      <c r="J4" s="62"/>
      <c r="K4" s="62"/>
      <c r="L4" s="62"/>
      <c r="M4" s="62"/>
      <c r="N4" s="62"/>
    </row>
    <row r="5" spans="1:14" s="28" customFormat="1" ht="27.75" customHeight="1" x14ac:dyDescent="0.25">
      <c r="A5" s="55"/>
      <c r="B5" s="80" t="s">
        <v>96</v>
      </c>
      <c r="C5" s="79"/>
      <c r="D5" s="62"/>
      <c r="E5" s="62"/>
      <c r="F5" s="62"/>
      <c r="G5" s="62"/>
      <c r="H5" s="62"/>
      <c r="I5" s="62"/>
      <c r="J5" s="62"/>
      <c r="K5" s="62"/>
      <c r="L5" s="62"/>
      <c r="M5" s="62"/>
      <c r="N5" s="62"/>
    </row>
    <row r="6" spans="1:14" ht="31.5" x14ac:dyDescent="0.25">
      <c r="A6" s="55"/>
      <c r="B6" s="77" t="s">
        <v>101</v>
      </c>
      <c r="C6" s="78">
        <v>0.05</v>
      </c>
      <c r="D6" s="62"/>
      <c r="E6" s="62"/>
      <c r="F6" s="62"/>
      <c r="G6" s="62"/>
      <c r="H6" s="62"/>
      <c r="I6" s="62"/>
      <c r="J6" s="62"/>
      <c r="K6" s="62"/>
      <c r="L6" s="62"/>
      <c r="M6" s="62"/>
      <c r="N6" s="62"/>
    </row>
    <row r="7" spans="1:14" ht="31.5" x14ac:dyDescent="0.25">
      <c r="A7" s="55"/>
      <c r="B7" s="81" t="s">
        <v>100</v>
      </c>
      <c r="C7" s="82">
        <v>30</v>
      </c>
      <c r="D7" s="62"/>
      <c r="E7" s="62"/>
      <c r="F7" s="62"/>
      <c r="G7" s="62"/>
      <c r="H7" s="62"/>
      <c r="I7" s="62"/>
      <c r="J7" s="62"/>
      <c r="K7" s="62"/>
      <c r="L7" s="62"/>
      <c r="M7" s="62"/>
      <c r="N7" s="62"/>
    </row>
    <row r="8" spans="1:14" ht="31.5" x14ac:dyDescent="0.25">
      <c r="A8" s="55"/>
      <c r="B8" s="83" t="s">
        <v>99</v>
      </c>
      <c r="C8" s="82">
        <v>20</v>
      </c>
      <c r="D8" s="62"/>
      <c r="E8" s="62"/>
      <c r="F8" s="62"/>
      <c r="G8" s="62"/>
      <c r="H8" s="62"/>
      <c r="I8" s="62"/>
      <c r="J8" s="62"/>
      <c r="K8" s="62"/>
      <c r="L8" s="62"/>
      <c r="M8" s="62"/>
      <c r="N8" s="62"/>
    </row>
    <row r="9" spans="1:14" ht="31.5" x14ac:dyDescent="0.25">
      <c r="A9" s="55"/>
      <c r="B9" s="83" t="s">
        <v>104</v>
      </c>
      <c r="C9" s="84">
        <v>0.35</v>
      </c>
      <c r="D9" s="62"/>
      <c r="E9" s="62"/>
      <c r="F9" s="62"/>
      <c r="G9" s="62"/>
      <c r="H9" s="62"/>
      <c r="I9" s="62"/>
      <c r="J9" s="62"/>
      <c r="K9" s="62"/>
      <c r="L9" s="62"/>
      <c r="M9" s="62"/>
      <c r="N9" s="62"/>
    </row>
    <row r="10" spans="1:14" ht="31.5" x14ac:dyDescent="0.25">
      <c r="A10" s="55"/>
      <c r="B10" s="83" t="s">
        <v>103</v>
      </c>
      <c r="C10" s="84">
        <v>0.8</v>
      </c>
      <c r="D10" s="62"/>
      <c r="E10" s="62"/>
      <c r="F10" s="62"/>
      <c r="G10" s="62"/>
      <c r="H10" s="62"/>
      <c r="I10" s="62"/>
      <c r="J10" s="62"/>
      <c r="K10" s="62"/>
      <c r="L10" s="62"/>
      <c r="M10" s="62"/>
      <c r="N10" s="62"/>
    </row>
    <row r="11" spans="1:14" s="28" customFormat="1" ht="6.75" customHeight="1" x14ac:dyDescent="0.25">
      <c r="A11" s="55"/>
      <c r="B11" s="66"/>
      <c r="C11" s="67"/>
      <c r="D11" s="62"/>
      <c r="E11" s="62"/>
      <c r="F11" s="62"/>
      <c r="G11" s="62"/>
      <c r="H11" s="62"/>
      <c r="I11" s="62"/>
      <c r="J11" s="62"/>
      <c r="K11" s="62"/>
      <c r="L11" s="62"/>
      <c r="M11" s="62"/>
      <c r="N11" s="62"/>
    </row>
    <row r="12" spans="1:14" s="28" customFormat="1" ht="23.25" customHeight="1" x14ac:dyDescent="0.25">
      <c r="A12" s="55"/>
      <c r="B12" s="85" t="s">
        <v>97</v>
      </c>
      <c r="C12" s="86"/>
      <c r="D12" s="62"/>
      <c r="E12" s="62"/>
      <c r="F12" s="62"/>
      <c r="G12" s="62"/>
      <c r="H12" s="62"/>
      <c r="I12" s="62"/>
      <c r="J12" s="62"/>
      <c r="K12" s="62"/>
      <c r="L12" s="62"/>
      <c r="M12" s="62"/>
      <c r="N12" s="62"/>
    </row>
    <row r="13" spans="1:14" s="28" customFormat="1" ht="31.5" x14ac:dyDescent="0.25">
      <c r="A13" s="55"/>
      <c r="B13" s="91" t="s">
        <v>98</v>
      </c>
      <c r="C13" s="84">
        <v>0.1</v>
      </c>
      <c r="D13" s="62"/>
      <c r="E13" s="62"/>
      <c r="F13" s="62"/>
      <c r="G13" s="62"/>
      <c r="H13" s="62"/>
      <c r="I13" s="62"/>
      <c r="J13" s="62"/>
      <c r="K13" s="62"/>
      <c r="L13" s="62"/>
      <c r="M13" s="62"/>
      <c r="N13" s="62"/>
    </row>
    <row r="14" spans="1:14" s="28" customFormat="1" ht="31.5" x14ac:dyDescent="0.25">
      <c r="A14" s="55"/>
      <c r="B14" s="92" t="s">
        <v>99</v>
      </c>
      <c r="C14" s="87">
        <v>0.4</v>
      </c>
      <c r="D14" s="62"/>
      <c r="E14" s="62"/>
      <c r="F14" s="62"/>
      <c r="G14" s="62"/>
      <c r="H14" s="62"/>
      <c r="I14" s="62"/>
      <c r="J14" s="62"/>
      <c r="K14" s="62"/>
      <c r="L14" s="62"/>
      <c r="M14" s="62"/>
      <c r="N14" s="62"/>
    </row>
    <row r="15" spans="1:14" s="28" customFormat="1" ht="35.25" customHeight="1" x14ac:dyDescent="0.25">
      <c r="A15" s="55"/>
      <c r="B15" s="83" t="s">
        <v>107</v>
      </c>
      <c r="C15" s="87">
        <v>800</v>
      </c>
      <c r="D15" s="62"/>
      <c r="E15" s="62"/>
      <c r="F15" s="62"/>
      <c r="G15" s="62"/>
      <c r="H15" s="62"/>
      <c r="I15" s="62"/>
      <c r="J15" s="62"/>
      <c r="K15" s="62"/>
      <c r="L15" s="62"/>
      <c r="M15" s="62"/>
      <c r="N15" s="62"/>
    </row>
    <row r="16" spans="1:14" s="28" customFormat="1" ht="31.5" x14ac:dyDescent="0.35">
      <c r="A16" s="55"/>
      <c r="B16" s="102" t="s">
        <v>117</v>
      </c>
      <c r="C16" s="99"/>
      <c r="D16" s="62"/>
      <c r="E16" s="62"/>
      <c r="F16" s="62"/>
      <c r="G16" s="62"/>
      <c r="H16" s="62"/>
      <c r="I16" s="62"/>
      <c r="J16" s="62"/>
      <c r="K16" s="62"/>
      <c r="L16" s="62"/>
      <c r="M16" s="62"/>
      <c r="N16" s="62"/>
    </row>
    <row r="17" spans="1:14" s="28" customFormat="1" ht="31.5" x14ac:dyDescent="0.25">
      <c r="A17" s="55"/>
      <c r="B17" s="88" t="s">
        <v>108</v>
      </c>
      <c r="C17" s="89">
        <v>0.5</v>
      </c>
      <c r="D17" s="62"/>
      <c r="E17" s="62"/>
      <c r="F17" s="62"/>
      <c r="G17" s="62"/>
      <c r="H17" s="62"/>
      <c r="I17" s="62"/>
      <c r="J17" s="62"/>
      <c r="K17" s="62"/>
      <c r="L17" s="62"/>
      <c r="M17" s="62"/>
      <c r="N17" s="62"/>
    </row>
    <row r="18" spans="1:14" s="28" customFormat="1" ht="23.25" customHeight="1" x14ac:dyDescent="0.25">
      <c r="A18" s="55"/>
      <c r="B18" s="68"/>
      <c r="C18" s="62"/>
      <c r="D18" s="62"/>
      <c r="E18" s="62"/>
      <c r="F18" s="62"/>
      <c r="G18" s="62"/>
      <c r="H18" s="62"/>
      <c r="I18" s="62"/>
      <c r="J18" s="62"/>
      <c r="K18" s="62"/>
      <c r="L18" s="62"/>
      <c r="M18" s="62"/>
      <c r="N18" s="62"/>
    </row>
    <row r="19" spans="1:14" ht="21" x14ac:dyDescent="0.35">
      <c r="A19" s="55"/>
      <c r="B19" s="93" t="s">
        <v>80</v>
      </c>
      <c r="C19" s="99"/>
      <c r="D19" s="62"/>
      <c r="E19" s="62"/>
      <c r="F19" s="62"/>
      <c r="G19" s="62"/>
      <c r="H19" s="62"/>
      <c r="I19" s="62"/>
      <c r="J19" s="62"/>
      <c r="K19" s="62"/>
      <c r="L19" s="62"/>
      <c r="M19" s="62"/>
      <c r="N19" s="62"/>
    </row>
    <row r="20" spans="1:14" s="28" customFormat="1" ht="31.5" x14ac:dyDescent="0.25">
      <c r="A20" s="55"/>
      <c r="B20" s="77" t="s">
        <v>109</v>
      </c>
      <c r="C20" s="100">
        <f>pmrajakust</f>
        <v>8.8321495753857739</v>
      </c>
      <c r="D20" s="62"/>
      <c r="E20" s="62"/>
      <c r="F20" s="62"/>
      <c r="G20" s="62"/>
      <c r="H20" s="62"/>
      <c r="I20" s="62"/>
      <c r="J20" s="62"/>
      <c r="K20" s="62"/>
      <c r="L20" s="62"/>
      <c r="M20" s="62"/>
      <c r="N20" s="62"/>
    </row>
    <row r="21" spans="1:14" ht="31.5" x14ac:dyDescent="0.25">
      <c r="A21" s="55"/>
      <c r="B21" s="83" t="s">
        <v>110</v>
      </c>
      <c r="C21" s="101">
        <f>VLOOKUP(C7,Laskenta!$A$2:$V$102,21,FALSE)</f>
        <v>58.762523333112156</v>
      </c>
      <c r="D21" s="62"/>
      <c r="E21" s="62"/>
      <c r="F21" s="62"/>
      <c r="G21" s="62"/>
      <c r="H21" s="62"/>
      <c r="I21" s="62"/>
      <c r="J21" s="62"/>
      <c r="K21" s="62"/>
      <c r="L21" s="62"/>
      <c r="M21" s="62"/>
      <c r="N21" s="62"/>
    </row>
    <row r="22" spans="1:14" ht="31.5" x14ac:dyDescent="0.25">
      <c r="A22" s="55"/>
      <c r="B22" s="83" t="s">
        <v>111</v>
      </c>
      <c r="C22" s="101">
        <f>VLOOKUP(C7,Laskenta!$A$2:$V$102,22,FALSE)</f>
        <v>71.076410036701446</v>
      </c>
      <c r="D22" s="62"/>
      <c r="E22" s="62"/>
      <c r="F22" s="62"/>
      <c r="G22" s="62"/>
      <c r="H22" s="62"/>
      <c r="I22" s="62"/>
      <c r="J22" s="62"/>
      <c r="K22" s="62"/>
      <c r="L22" s="62"/>
      <c r="M22" s="62"/>
      <c r="N22" s="62"/>
    </row>
    <row r="23" spans="1:14" ht="31.5" x14ac:dyDescent="0.25">
      <c r="A23" s="56"/>
      <c r="B23" s="83" t="s">
        <v>112</v>
      </c>
      <c r="C23" s="101">
        <f>VLOOKUP(C15,Laskenta!Y2:AT47,22,FALSE)+C22</f>
        <v>110.63013574284579</v>
      </c>
      <c r="D23" s="62"/>
      <c r="E23" s="62"/>
      <c r="F23" s="62"/>
      <c r="G23" s="62"/>
      <c r="H23" s="62"/>
      <c r="I23" s="62"/>
      <c r="J23" s="62"/>
      <c r="K23" s="62"/>
      <c r="L23" s="62"/>
      <c r="M23" s="62"/>
      <c r="N23" s="62"/>
    </row>
    <row r="24" spans="1:14" s="28" customFormat="1" ht="36" customHeight="1" x14ac:dyDescent="0.25">
      <c r="A24" s="56"/>
      <c r="B24" s="94" t="s">
        <v>114</v>
      </c>
      <c r="C24" s="122" t="s">
        <v>118</v>
      </c>
      <c r="D24" s="123"/>
      <c r="E24" s="123"/>
      <c r="F24" s="123"/>
      <c r="G24" s="123"/>
      <c r="H24" s="123"/>
      <c r="I24" s="123"/>
      <c r="J24" s="123"/>
      <c r="K24" s="123"/>
      <c r="L24" s="123"/>
      <c r="M24" s="123"/>
      <c r="N24" s="123"/>
    </row>
    <row r="25" spans="1:14" s="28" customFormat="1" x14ac:dyDescent="0.25">
      <c r="A25" s="56"/>
      <c r="B25" s="103" t="s">
        <v>120</v>
      </c>
      <c r="C25" s="124" t="s">
        <v>131</v>
      </c>
      <c r="D25" s="125"/>
      <c r="E25" s="125"/>
      <c r="F25" s="125"/>
      <c r="G25" s="125"/>
      <c r="H25" s="125"/>
      <c r="I25" s="125"/>
      <c r="J25" s="125"/>
      <c r="K25" s="125"/>
      <c r="L25" s="125"/>
      <c r="M25" s="125"/>
      <c r="N25" s="125"/>
    </row>
    <row r="26" spans="1:14" s="28" customFormat="1" ht="90" x14ac:dyDescent="0.25">
      <c r="A26" s="56"/>
      <c r="B26" s="95" t="s">
        <v>115</v>
      </c>
      <c r="C26" s="126" t="s">
        <v>121</v>
      </c>
      <c r="D26" s="127"/>
      <c r="E26" s="127"/>
      <c r="F26" s="127"/>
      <c r="G26" s="127"/>
      <c r="H26" s="127"/>
      <c r="I26" s="127"/>
      <c r="J26" s="127"/>
      <c r="K26" s="127"/>
      <c r="L26" s="127"/>
      <c r="M26" s="127"/>
      <c r="N26" s="127"/>
    </row>
    <row r="27" spans="1:14" s="28" customFormat="1" x14ac:dyDescent="0.25">
      <c r="A27" s="56"/>
      <c r="B27" s="104" t="s">
        <v>119</v>
      </c>
      <c r="C27" s="124" t="s">
        <v>130</v>
      </c>
      <c r="D27" s="125"/>
      <c r="E27" s="125"/>
      <c r="F27" s="125"/>
      <c r="G27" s="125"/>
      <c r="H27" s="125"/>
      <c r="I27" s="125"/>
      <c r="J27" s="125"/>
      <c r="K27" s="125"/>
      <c r="L27" s="125"/>
      <c r="M27" s="125"/>
      <c r="N27" s="125"/>
    </row>
    <row r="28" spans="1:14" s="28" customFormat="1" ht="48.75" customHeight="1" x14ac:dyDescent="0.25">
      <c r="A28" s="56"/>
      <c r="B28" s="97" t="s">
        <v>113</v>
      </c>
      <c r="C28" s="128" t="s">
        <v>122</v>
      </c>
      <c r="D28" s="129"/>
      <c r="E28" s="129"/>
      <c r="F28" s="129"/>
      <c r="G28" s="129"/>
      <c r="H28" s="129"/>
      <c r="I28" s="129"/>
      <c r="J28" s="129"/>
      <c r="K28" s="129"/>
      <c r="L28" s="129"/>
      <c r="M28" s="129"/>
      <c r="N28" s="129"/>
    </row>
    <row r="29" spans="1:14" s="28" customFormat="1" ht="21" x14ac:dyDescent="0.35">
      <c r="A29" s="56"/>
      <c r="B29" s="96"/>
      <c r="C29" s="69"/>
      <c r="D29" s="62"/>
      <c r="E29" s="62"/>
      <c r="F29" s="62"/>
      <c r="G29" s="62"/>
      <c r="H29" s="62"/>
      <c r="I29" s="62"/>
      <c r="J29" s="62"/>
      <c r="K29" s="62"/>
      <c r="L29" s="62"/>
      <c r="M29" s="62"/>
      <c r="N29" s="62"/>
    </row>
    <row r="30" spans="1:14" s="28" customFormat="1" ht="21" x14ac:dyDescent="0.35">
      <c r="A30" s="56"/>
      <c r="B30" s="98" t="s">
        <v>116</v>
      </c>
      <c r="C30" s="69"/>
      <c r="D30" s="62"/>
      <c r="E30" s="62"/>
      <c r="F30" s="62"/>
      <c r="G30" s="62"/>
      <c r="H30" s="62"/>
      <c r="I30" s="62"/>
      <c r="J30" s="62"/>
      <c r="K30" s="62"/>
      <c r="L30" s="62"/>
      <c r="M30" s="62"/>
      <c r="N30" s="62"/>
    </row>
    <row r="31" spans="1:14" s="28" customFormat="1" ht="61.5" customHeight="1" x14ac:dyDescent="0.35">
      <c r="A31" s="56"/>
      <c r="B31" s="71" t="s">
        <v>123</v>
      </c>
      <c r="C31" s="69"/>
      <c r="D31" s="62"/>
      <c r="E31" s="62"/>
      <c r="F31" s="62"/>
      <c r="G31" s="62"/>
      <c r="H31" s="62"/>
      <c r="I31" s="62"/>
      <c r="J31" s="62"/>
      <c r="K31" s="62"/>
      <c r="L31" s="62"/>
      <c r="M31" s="62"/>
      <c r="N31" s="62"/>
    </row>
    <row r="32" spans="1:14" s="28" customFormat="1" ht="64.5" customHeight="1" x14ac:dyDescent="0.35">
      <c r="A32" s="56"/>
      <c r="B32" s="108" t="s">
        <v>124</v>
      </c>
      <c r="C32" s="106"/>
      <c r="D32" s="62"/>
      <c r="E32" s="62"/>
      <c r="F32" s="62"/>
      <c r="G32" s="62"/>
      <c r="H32" s="62"/>
      <c r="I32" s="62"/>
      <c r="J32" s="62"/>
      <c r="K32" s="62"/>
      <c r="L32" s="62"/>
      <c r="M32" s="62"/>
      <c r="N32" s="62"/>
    </row>
    <row r="33" spans="1:14" s="28" customFormat="1" ht="30" x14ac:dyDescent="0.25">
      <c r="A33" s="56"/>
      <c r="B33" s="105" t="s">
        <v>125</v>
      </c>
      <c r="C33" s="109">
        <v>500</v>
      </c>
      <c r="D33" s="62"/>
      <c r="E33" s="62"/>
      <c r="F33" s="62"/>
      <c r="G33" s="62"/>
      <c r="H33" s="62"/>
      <c r="I33" s="62"/>
      <c r="J33" s="62"/>
      <c r="K33" s="62"/>
      <c r="L33" s="62"/>
      <c r="M33" s="62"/>
      <c r="N33" s="62"/>
    </row>
    <row r="34" spans="1:14" s="28" customFormat="1" ht="30" x14ac:dyDescent="0.25">
      <c r="A34" s="56"/>
      <c r="B34" s="107" t="s">
        <v>126</v>
      </c>
      <c r="C34" s="109">
        <v>800</v>
      </c>
      <c r="D34" s="62"/>
      <c r="E34" s="62"/>
      <c r="F34" s="62"/>
      <c r="G34" s="62"/>
      <c r="H34" s="62"/>
      <c r="I34" s="62"/>
      <c r="J34" s="62"/>
      <c r="K34" s="62"/>
      <c r="L34" s="62"/>
      <c r="M34" s="62"/>
      <c r="N34" s="62"/>
    </row>
    <row r="35" spans="1:14" s="28" customFormat="1" ht="15.75" x14ac:dyDescent="0.25">
      <c r="A35" s="56"/>
      <c r="B35" s="72"/>
      <c r="C35" s="110"/>
      <c r="D35" s="62"/>
      <c r="E35" s="62"/>
      <c r="F35" s="62"/>
      <c r="G35" s="62"/>
      <c r="H35" s="62"/>
      <c r="I35" s="62"/>
      <c r="J35" s="62"/>
      <c r="K35" s="62"/>
      <c r="L35" s="62"/>
      <c r="M35" s="62"/>
      <c r="N35" s="62"/>
    </row>
    <row r="36" spans="1:14" s="28" customFormat="1" ht="31.5" x14ac:dyDescent="0.25">
      <c r="A36" s="56"/>
      <c r="B36" s="115" t="s">
        <v>129</v>
      </c>
      <c r="C36" s="116">
        <f>Laskenta!BH1</f>
        <v>74.882200100653336</v>
      </c>
      <c r="D36" s="62"/>
      <c r="E36" s="62"/>
      <c r="F36" s="62"/>
      <c r="G36" s="62"/>
      <c r="H36" s="62"/>
      <c r="I36" s="62"/>
      <c r="J36" s="62"/>
      <c r="K36" s="62"/>
      <c r="L36" s="62"/>
      <c r="M36" s="62"/>
      <c r="N36" s="62"/>
    </row>
    <row r="37" spans="1:14" ht="31.5" x14ac:dyDescent="0.25">
      <c r="A37" s="56"/>
      <c r="B37" s="113" t="s">
        <v>128</v>
      </c>
      <c r="C37" s="114">
        <f>C36+C22</f>
        <v>145.95861013735478</v>
      </c>
      <c r="D37" s="62"/>
      <c r="E37" s="62"/>
      <c r="F37" s="62"/>
      <c r="G37" s="62"/>
      <c r="H37" s="62"/>
      <c r="I37" s="62"/>
      <c r="J37" s="62"/>
      <c r="K37" s="62"/>
      <c r="L37" s="62"/>
      <c r="M37" s="62"/>
      <c r="N37" s="62"/>
    </row>
    <row r="38" spans="1:14" s="28" customFormat="1" ht="21" x14ac:dyDescent="0.35">
      <c r="A38" s="56"/>
      <c r="B38" s="70"/>
      <c r="C38" s="111"/>
      <c r="D38" s="62"/>
      <c r="E38" s="62"/>
      <c r="F38" s="62"/>
      <c r="G38" s="62"/>
      <c r="H38" s="62"/>
      <c r="I38" s="62"/>
      <c r="J38" s="62"/>
      <c r="K38" s="62"/>
      <c r="L38" s="62"/>
      <c r="M38" s="62"/>
      <c r="N38" s="62"/>
    </row>
    <row r="39" spans="1:14" s="28" customFormat="1" ht="15.75" x14ac:dyDescent="0.25">
      <c r="A39" s="56"/>
      <c r="B39" s="72"/>
      <c r="C39" s="112"/>
      <c r="D39" s="62"/>
      <c r="E39" s="62"/>
      <c r="F39" s="62"/>
      <c r="G39" s="62"/>
      <c r="H39" s="62"/>
      <c r="I39" s="62"/>
      <c r="J39" s="62"/>
      <c r="K39" s="62"/>
      <c r="L39" s="62"/>
      <c r="M39" s="62"/>
      <c r="N39" s="62"/>
    </row>
    <row r="40" spans="1:14" s="28" customFormat="1" ht="15.75" x14ac:dyDescent="0.25">
      <c r="A40" s="56"/>
      <c r="B40" s="64"/>
      <c r="C40" s="61"/>
      <c r="D40" s="62"/>
      <c r="E40" s="62"/>
      <c r="F40" s="62"/>
      <c r="G40" s="62"/>
      <c r="H40" s="62"/>
      <c r="I40" s="62"/>
      <c r="J40" s="62"/>
      <c r="K40" s="62"/>
      <c r="L40" s="62"/>
      <c r="M40" s="62"/>
      <c r="N40" s="62"/>
    </row>
    <row r="41" spans="1:14" s="28" customFormat="1" ht="15.75" x14ac:dyDescent="0.25">
      <c r="A41" s="56"/>
      <c r="B41" s="64"/>
      <c r="C41" s="61"/>
      <c r="D41" s="62"/>
      <c r="E41" s="62"/>
      <c r="F41" s="62"/>
      <c r="G41" s="62"/>
      <c r="H41" s="62"/>
      <c r="I41" s="62"/>
      <c r="J41" s="62"/>
      <c r="K41" s="62"/>
      <c r="L41" s="62"/>
      <c r="M41" s="62"/>
      <c r="N41" s="62"/>
    </row>
    <row r="42" spans="1:14" x14ac:dyDescent="0.25">
      <c r="A42" s="57"/>
      <c r="B42" s="61"/>
      <c r="C42" s="61"/>
      <c r="D42" s="62"/>
      <c r="E42" s="62"/>
      <c r="F42" s="62"/>
      <c r="G42" s="62"/>
      <c r="H42" s="62"/>
      <c r="I42" s="62"/>
      <c r="J42" s="62"/>
      <c r="K42" s="62"/>
      <c r="L42" s="62"/>
      <c r="M42" s="62"/>
      <c r="N42" s="62"/>
    </row>
    <row r="43" spans="1:14" ht="14.25" customHeight="1" x14ac:dyDescent="0.25">
      <c r="A43" s="57"/>
      <c r="B43" s="120"/>
      <c r="C43" s="120"/>
      <c r="D43" s="120"/>
      <c r="E43" s="120"/>
      <c r="F43" s="120"/>
      <c r="G43" s="120"/>
      <c r="H43" s="62"/>
      <c r="I43" s="62"/>
      <c r="J43" s="62"/>
      <c r="K43" s="62"/>
      <c r="L43" s="62"/>
      <c r="M43" s="62"/>
      <c r="N43" s="62"/>
    </row>
    <row r="44" spans="1:14" ht="126" customHeight="1" x14ac:dyDescent="0.25">
      <c r="A44" s="57"/>
      <c r="B44" s="121" t="s">
        <v>95</v>
      </c>
      <c r="C44" s="121"/>
      <c r="D44" s="121"/>
      <c r="E44" s="121"/>
      <c r="F44" s="121"/>
      <c r="G44" s="121"/>
      <c r="H44" s="62"/>
      <c r="I44" s="62"/>
      <c r="J44" s="62"/>
      <c r="K44" s="62"/>
      <c r="L44" s="62"/>
      <c r="M44" s="62"/>
      <c r="N44" s="62"/>
    </row>
    <row r="45" spans="1:14" ht="120" customHeight="1" x14ac:dyDescent="0.25">
      <c r="A45" s="117"/>
      <c r="B45" s="130" t="s">
        <v>127</v>
      </c>
      <c r="C45" s="130"/>
      <c r="D45" s="130"/>
      <c r="E45" s="130"/>
      <c r="F45" s="130"/>
      <c r="G45" s="130"/>
      <c r="H45" s="73"/>
      <c r="I45" s="73"/>
      <c r="J45" s="73"/>
      <c r="K45" s="73"/>
      <c r="L45" s="73"/>
      <c r="M45" s="73"/>
      <c r="N45" s="73"/>
    </row>
    <row r="46" spans="1:14" ht="23.25" customHeight="1" x14ac:dyDescent="0.25">
      <c r="A46" s="117"/>
      <c r="B46" s="74"/>
      <c r="C46" s="73"/>
      <c r="D46" s="73"/>
      <c r="E46" s="73"/>
      <c r="F46" s="73"/>
      <c r="G46" s="73"/>
      <c r="H46" s="73"/>
      <c r="I46" s="73"/>
      <c r="J46" s="73"/>
      <c r="K46" s="73"/>
      <c r="L46" s="73"/>
      <c r="M46" s="73"/>
      <c r="N46" s="73"/>
    </row>
    <row r="47" spans="1:14" ht="24.75" customHeight="1" x14ac:dyDescent="0.25">
      <c r="B47" s="118"/>
      <c r="C47" s="119"/>
      <c r="D47" s="119"/>
      <c r="E47" s="119"/>
      <c r="F47" s="119"/>
      <c r="G47" s="119"/>
      <c r="H47" s="119"/>
      <c r="I47" s="119"/>
      <c r="J47" s="119"/>
      <c r="K47" s="119"/>
      <c r="L47" s="119"/>
      <c r="M47" s="119"/>
      <c r="N47" s="119"/>
    </row>
  </sheetData>
  <sheetProtection selectLockedCells="1"/>
  <mergeCells count="10">
    <mergeCell ref="A45:A46"/>
    <mergeCell ref="B47:N47"/>
    <mergeCell ref="B43:G43"/>
    <mergeCell ref="B44:G44"/>
    <mergeCell ref="C24:N24"/>
    <mergeCell ref="C25:N25"/>
    <mergeCell ref="C26:N26"/>
    <mergeCell ref="C27:N27"/>
    <mergeCell ref="C28:N28"/>
    <mergeCell ref="B45:G4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2"/>
  <sheetViews>
    <sheetView zoomScaleNormal="100" workbookViewId="0">
      <pane xSplit="1" topLeftCell="B1" activePane="topRight" state="frozen"/>
      <selection pane="topRight" activeCell="R8" sqref="R8"/>
    </sheetView>
  </sheetViews>
  <sheetFormatPr defaultRowHeight="15" x14ac:dyDescent="0.25"/>
  <cols>
    <col min="1" max="1" width="39.42578125" bestFit="1" customWidth="1"/>
    <col min="2" max="2" width="20.85546875" customWidth="1"/>
    <col min="3" max="3" width="16.140625" customWidth="1"/>
    <col min="4" max="4" width="11.85546875" customWidth="1"/>
    <col min="5" max="5" width="19.140625" customWidth="1"/>
    <col min="6" max="6" width="35.42578125" bestFit="1" customWidth="1"/>
    <col min="8" max="8" width="18.5703125" bestFit="1" customWidth="1"/>
    <col min="12" max="12" width="13.42578125" customWidth="1"/>
    <col min="14" max="14" width="18.140625" customWidth="1"/>
    <col min="16" max="16" width="4.42578125" customWidth="1"/>
    <col min="17" max="17" width="16.5703125" customWidth="1"/>
  </cols>
  <sheetData>
    <row r="1" spans="1:25" x14ac:dyDescent="0.25">
      <c r="A1" s="13" t="s">
        <v>29</v>
      </c>
      <c r="B1" s="13">
        <f>Lähtötiedot!C10</f>
        <v>0.8</v>
      </c>
      <c r="C1" s="13" t="s">
        <v>15</v>
      </c>
      <c r="D1" s="13">
        <f>Lähtötiedot!C8</f>
        <v>20</v>
      </c>
      <c r="E1" s="13" t="s">
        <v>16</v>
      </c>
      <c r="F1" s="13" t="s">
        <v>19</v>
      </c>
      <c r="G1" s="16">
        <f>Lähtötiedot!C6</f>
        <v>0.05</v>
      </c>
      <c r="H1" s="13" t="s">
        <v>21</v>
      </c>
      <c r="I1" s="13">
        <f>D1/SQRT(3)*1000</f>
        <v>11547.005383792517</v>
      </c>
      <c r="J1" s="13" t="s">
        <v>23</v>
      </c>
      <c r="K1" s="58"/>
      <c r="L1" s="17"/>
      <c r="M1" s="13" t="s">
        <v>75</v>
      </c>
      <c r="N1" s="13" t="s">
        <v>72</v>
      </c>
      <c r="O1" s="52">
        <f>Lähtötiedot!C14</f>
        <v>0.4</v>
      </c>
      <c r="P1" s="13" t="s">
        <v>16</v>
      </c>
      <c r="Q1" s="13" t="s">
        <v>21</v>
      </c>
      <c r="R1" s="13">
        <f>O1/SQRT(3)*1000</f>
        <v>230.94010767585033</v>
      </c>
      <c r="S1" s="13" t="s">
        <v>73</v>
      </c>
    </row>
    <row r="2" spans="1:25" x14ac:dyDescent="0.25">
      <c r="A2" s="14"/>
      <c r="B2" s="14"/>
      <c r="C2" s="13" t="s">
        <v>17</v>
      </c>
      <c r="D2" s="13">
        <f>Lähtötiedot!C3</f>
        <v>0.95</v>
      </c>
      <c r="E2" s="13"/>
      <c r="F2" s="13" t="s">
        <v>20</v>
      </c>
      <c r="G2" s="13">
        <f>ROUND(Lähtötiedot!C7,0)</f>
        <v>30</v>
      </c>
      <c r="H2" s="13" t="s">
        <v>24</v>
      </c>
      <c r="I2" s="13">
        <f>Lähtötiedot!C9</f>
        <v>0.35</v>
      </c>
      <c r="J2" s="14"/>
      <c r="K2" s="14"/>
      <c r="L2" s="14"/>
      <c r="M2" s="14"/>
      <c r="N2" s="13" t="s">
        <v>74</v>
      </c>
      <c r="O2" s="50">
        <f>Lähtötiedot!C13</f>
        <v>0.1</v>
      </c>
      <c r="P2" s="14"/>
      <c r="Q2" s="14" t="s">
        <v>24</v>
      </c>
      <c r="R2" s="53">
        <f>Lähtötiedot!C17</f>
        <v>0.5</v>
      </c>
    </row>
    <row r="3" spans="1:25" ht="121.5" customHeight="1" thickBot="1" x14ac:dyDescent="0.3">
      <c r="A3" s="20" t="s">
        <v>0</v>
      </c>
      <c r="B3" s="21" t="s">
        <v>13</v>
      </c>
      <c r="C3" s="22" t="s">
        <v>44</v>
      </c>
      <c r="D3" s="22" t="s">
        <v>6</v>
      </c>
      <c r="E3" s="14"/>
      <c r="F3" s="17" t="s">
        <v>22</v>
      </c>
      <c r="G3" s="14"/>
      <c r="H3" s="14"/>
      <c r="I3" s="14" t="s">
        <v>30</v>
      </c>
      <c r="J3" s="14"/>
      <c r="K3" s="14"/>
      <c r="L3" s="14"/>
      <c r="M3" s="14"/>
      <c r="N3" s="14"/>
      <c r="O3" s="14"/>
      <c r="P3" s="14"/>
      <c r="Q3" s="14"/>
      <c r="Y3" t="e">
        <f>IF(((jän.ale*3*(Taulukkotiedot!R1*cosfii)^2)/(Taulukkotiedot!B47*$X3))/1000&gt;Taulukkotiedot!F47,Taulukkotiedot!F47,(jän.ale*3*(Taulukkotiedot!R1*cosfii)^2)/(Taulukkotiedot!B47*$X3)/1000)</f>
        <v>#DIV/0!</v>
      </c>
    </row>
    <row r="4" spans="1:25" ht="18" thickBot="1" x14ac:dyDescent="0.3">
      <c r="A4" s="25" t="s">
        <v>51</v>
      </c>
      <c r="B4" s="12">
        <v>0.52</v>
      </c>
      <c r="C4" s="12">
        <v>200</v>
      </c>
      <c r="D4" s="23">
        <v>24300</v>
      </c>
      <c r="F4" s="14">
        <f>3*$D$1/SQRT(3)*C4</f>
        <v>6928.2032302755097</v>
      </c>
      <c r="G4" s="14" t="s">
        <v>18</v>
      </c>
      <c r="H4" s="14"/>
      <c r="I4" s="14"/>
      <c r="J4" s="14"/>
      <c r="K4" s="14"/>
      <c r="L4" s="14"/>
      <c r="M4" s="14"/>
      <c r="N4" s="14"/>
      <c r="O4" s="14"/>
      <c r="P4" s="14"/>
      <c r="Q4" s="14"/>
      <c r="R4" s="14"/>
    </row>
    <row r="5" spans="1:25" ht="18" thickBot="1" x14ac:dyDescent="0.3">
      <c r="A5" s="25" t="s">
        <v>52</v>
      </c>
      <c r="B5" s="12">
        <v>0.38</v>
      </c>
      <c r="C5" s="12">
        <v>235</v>
      </c>
      <c r="D5" s="23">
        <v>28300</v>
      </c>
      <c r="F5" s="14">
        <f t="shared" ref="F5:F10" si="0">3*$D$1/SQRT(3)*C5</f>
        <v>8140.6387955737237</v>
      </c>
      <c r="G5" s="14"/>
      <c r="H5" s="14"/>
      <c r="I5" s="14"/>
      <c r="J5" s="14"/>
      <c r="K5" s="14"/>
      <c r="L5" s="14"/>
      <c r="M5" s="14"/>
      <c r="N5" s="14"/>
      <c r="O5" s="14"/>
      <c r="P5" s="14"/>
      <c r="Q5" s="14"/>
      <c r="R5" s="14"/>
    </row>
    <row r="6" spans="1:25" ht="18" thickBot="1" x14ac:dyDescent="0.3">
      <c r="A6" s="25" t="s">
        <v>53</v>
      </c>
      <c r="B6" s="12">
        <v>0.3</v>
      </c>
      <c r="C6" s="12">
        <v>265</v>
      </c>
      <c r="D6" s="23">
        <v>29600</v>
      </c>
      <c r="F6" s="14">
        <f t="shared" si="0"/>
        <v>9179.8692801150501</v>
      </c>
      <c r="G6" s="14"/>
      <c r="H6" s="14"/>
      <c r="I6" s="17"/>
      <c r="J6" s="14"/>
      <c r="K6" s="14"/>
      <c r="L6" s="14"/>
      <c r="M6" s="14"/>
      <c r="N6" s="14"/>
      <c r="O6" s="14"/>
      <c r="P6" s="14"/>
      <c r="Q6" s="14"/>
      <c r="R6" s="14"/>
    </row>
    <row r="7" spans="1:25" ht="18" thickBot="1" x14ac:dyDescent="0.3">
      <c r="A7" s="25" t="s">
        <v>54</v>
      </c>
      <c r="B7" s="12">
        <v>0.25</v>
      </c>
      <c r="C7" s="12">
        <v>300</v>
      </c>
      <c r="D7" s="23">
        <v>31000</v>
      </c>
      <c r="F7" s="14">
        <f t="shared" si="0"/>
        <v>10392.304845413264</v>
      </c>
      <c r="G7" s="14"/>
      <c r="H7" s="14"/>
      <c r="I7" s="14"/>
      <c r="J7" s="14"/>
      <c r="K7" s="14"/>
      <c r="L7" s="14"/>
      <c r="M7" s="14"/>
      <c r="N7" s="14"/>
      <c r="O7" s="14"/>
      <c r="P7" s="14"/>
      <c r="Q7" s="14"/>
      <c r="R7" s="14"/>
    </row>
    <row r="8" spans="1:25" ht="18" thickBot="1" x14ac:dyDescent="0.3">
      <c r="A8" s="26" t="s">
        <v>55</v>
      </c>
      <c r="B8" s="12">
        <v>0.2</v>
      </c>
      <c r="C8" s="12">
        <v>330</v>
      </c>
      <c r="D8" s="23">
        <v>36200</v>
      </c>
      <c r="F8" s="24">
        <f t="shared" si="0"/>
        <v>11431.535329954591</v>
      </c>
      <c r="G8" s="14"/>
      <c r="H8" s="14"/>
      <c r="I8" s="14"/>
      <c r="J8" s="14"/>
      <c r="K8" s="14"/>
      <c r="L8" s="14"/>
      <c r="M8" s="14"/>
      <c r="N8" s="14"/>
      <c r="O8" s="14"/>
      <c r="P8" s="14"/>
      <c r="Q8" s="14"/>
      <c r="R8" s="14"/>
    </row>
    <row r="9" spans="1:25" ht="18" thickBot="1" x14ac:dyDescent="0.3">
      <c r="A9" s="26" t="s">
        <v>56</v>
      </c>
      <c r="B9" s="12">
        <v>0.15</v>
      </c>
      <c r="C9" s="12">
        <v>385</v>
      </c>
      <c r="D9" s="23">
        <v>39000</v>
      </c>
      <c r="F9" s="24">
        <f t="shared" si="0"/>
        <v>13336.791218280356</v>
      </c>
      <c r="G9" s="14"/>
      <c r="H9" s="14"/>
      <c r="I9" s="14"/>
      <c r="J9" s="14"/>
      <c r="K9" s="14"/>
      <c r="L9" s="14"/>
      <c r="M9" s="14"/>
      <c r="N9" s="14"/>
      <c r="O9" s="14"/>
      <c r="P9" s="14"/>
      <c r="Q9" s="14"/>
      <c r="R9" s="14"/>
    </row>
    <row r="10" spans="1:25" ht="18" thickBot="1" x14ac:dyDescent="0.3">
      <c r="A10" s="26" t="s">
        <v>57</v>
      </c>
      <c r="B10" s="12">
        <v>0.12</v>
      </c>
      <c r="C10" s="12">
        <v>435</v>
      </c>
      <c r="D10" s="23">
        <v>44500</v>
      </c>
      <c r="F10" s="24">
        <f t="shared" si="0"/>
        <v>15068.842025849233</v>
      </c>
      <c r="G10" s="14"/>
      <c r="H10" s="14"/>
      <c r="I10" s="14"/>
      <c r="J10" s="14"/>
      <c r="K10" s="14"/>
      <c r="L10" s="14"/>
      <c r="M10" s="14"/>
      <c r="N10" s="14"/>
      <c r="O10" s="14"/>
      <c r="P10" s="14"/>
      <c r="Q10" s="14"/>
      <c r="R10" s="14"/>
    </row>
    <row r="11" spans="1:25" s="1" customFormat="1" x14ac:dyDescent="0.25">
      <c r="A11" s="15"/>
      <c r="E11" s="15"/>
      <c r="F11" s="15"/>
      <c r="G11" s="15"/>
      <c r="H11" s="15"/>
      <c r="I11" s="15"/>
      <c r="J11" s="15"/>
      <c r="K11" s="15"/>
      <c r="L11" s="15"/>
      <c r="M11" s="15"/>
      <c r="N11" s="15"/>
      <c r="O11" s="15"/>
      <c r="P11" s="15"/>
      <c r="Q11" s="15"/>
      <c r="R11" s="15"/>
    </row>
    <row r="12" spans="1:25" ht="60" x14ac:dyDescent="0.25">
      <c r="A12" s="20" t="s">
        <v>1</v>
      </c>
      <c r="B12" s="21" t="s">
        <v>14</v>
      </c>
      <c r="C12" s="22" t="s">
        <v>44</v>
      </c>
      <c r="D12" s="22" t="s">
        <v>6</v>
      </c>
      <c r="E12" s="14"/>
      <c r="F12" s="17" t="s">
        <v>22</v>
      </c>
      <c r="G12" s="14"/>
      <c r="H12" s="14"/>
      <c r="I12" s="14"/>
      <c r="J12" s="14"/>
      <c r="K12" s="14"/>
      <c r="L12" s="14"/>
      <c r="M12" s="14"/>
      <c r="N12" s="14"/>
      <c r="O12" s="14"/>
      <c r="P12" s="14"/>
      <c r="Q12" s="14"/>
      <c r="R12" s="14"/>
    </row>
    <row r="13" spans="1:25" x14ac:dyDescent="0.25">
      <c r="A13" s="22" t="s">
        <v>2</v>
      </c>
      <c r="B13" s="12">
        <v>1.0900000000000001</v>
      </c>
      <c r="C13" s="12">
        <v>210</v>
      </c>
      <c r="D13" s="23">
        <v>21800</v>
      </c>
      <c r="E13" s="14"/>
      <c r="F13" s="14">
        <f t="shared" ref="F13:F16" si="1">3*$D$1/SQRT(3)*C13</f>
        <v>7274.6133917892857</v>
      </c>
      <c r="G13" s="14" t="s">
        <v>18</v>
      </c>
      <c r="H13" s="14"/>
      <c r="I13" s="14"/>
      <c r="J13" s="14"/>
      <c r="K13" s="14"/>
      <c r="L13" s="14"/>
      <c r="M13" s="14"/>
      <c r="N13" s="14"/>
      <c r="O13" s="14"/>
      <c r="P13" s="14"/>
      <c r="Q13" s="14"/>
      <c r="R13" s="14"/>
    </row>
    <row r="14" spans="1:25" x14ac:dyDescent="0.25">
      <c r="A14" s="22" t="s">
        <v>3</v>
      </c>
      <c r="B14" s="12">
        <v>0.71</v>
      </c>
      <c r="C14" s="12">
        <v>280</v>
      </c>
      <c r="D14" s="23">
        <v>25100</v>
      </c>
      <c r="E14" s="14"/>
      <c r="F14" s="14">
        <f t="shared" si="1"/>
        <v>9699.4845223857137</v>
      </c>
      <c r="G14" s="14"/>
      <c r="H14" s="14"/>
      <c r="I14" s="14"/>
      <c r="J14" s="14"/>
      <c r="K14" s="14"/>
      <c r="L14" s="14"/>
      <c r="M14" s="14"/>
      <c r="N14" s="14"/>
      <c r="O14" s="14"/>
      <c r="P14" s="14"/>
      <c r="Q14" s="14"/>
      <c r="R14" s="14"/>
    </row>
    <row r="15" spans="1:25" x14ac:dyDescent="0.25">
      <c r="A15" s="22" t="s">
        <v>4</v>
      </c>
      <c r="B15" s="12">
        <v>0.47</v>
      </c>
      <c r="C15" s="12">
        <v>360</v>
      </c>
      <c r="D15" s="23">
        <v>29100</v>
      </c>
      <c r="E15" s="14"/>
      <c r="F15" s="14">
        <f t="shared" si="1"/>
        <v>12470.765814495917</v>
      </c>
      <c r="G15" s="14"/>
      <c r="H15" s="14"/>
      <c r="I15" s="14"/>
      <c r="J15" s="14"/>
      <c r="K15" s="14"/>
      <c r="L15" s="14"/>
      <c r="M15" s="14"/>
      <c r="N15" s="14"/>
      <c r="O15" s="14"/>
      <c r="P15" s="14"/>
      <c r="Q15" s="14"/>
      <c r="R15" s="14"/>
    </row>
    <row r="16" spans="1:25" x14ac:dyDescent="0.25">
      <c r="A16" s="22" t="s">
        <v>5</v>
      </c>
      <c r="B16" s="12">
        <v>0.26</v>
      </c>
      <c r="C16" s="12">
        <v>495</v>
      </c>
      <c r="D16" s="23">
        <v>30800</v>
      </c>
      <c r="E16" s="14"/>
      <c r="F16" s="14">
        <f t="shared" si="1"/>
        <v>17147.302994931888</v>
      </c>
      <c r="G16" s="14"/>
      <c r="H16" s="14"/>
      <c r="I16" s="14"/>
      <c r="J16" s="14"/>
      <c r="K16" s="14"/>
      <c r="L16" s="14"/>
      <c r="M16" s="14"/>
      <c r="N16" s="14"/>
      <c r="O16" s="14"/>
      <c r="P16" s="14"/>
      <c r="Q16" s="14"/>
      <c r="R16" s="14"/>
    </row>
    <row r="17" spans="1:18" s="1" customFormat="1" x14ac:dyDescent="0.25">
      <c r="A17" s="15"/>
      <c r="E17" s="15"/>
      <c r="F17" s="15"/>
      <c r="G17" s="15"/>
      <c r="H17" s="15"/>
      <c r="I17" s="15"/>
      <c r="J17" s="15"/>
      <c r="K17" s="15"/>
      <c r="L17" s="15"/>
      <c r="M17" s="15"/>
      <c r="N17" s="15"/>
      <c r="O17" s="15"/>
      <c r="P17" s="15"/>
      <c r="Q17" s="15"/>
      <c r="R17" s="15"/>
    </row>
    <row r="18" spans="1:18" x14ac:dyDescent="0.25">
      <c r="A18" s="20" t="s">
        <v>7</v>
      </c>
      <c r="B18" s="19"/>
      <c r="C18" s="22" t="s">
        <v>43</v>
      </c>
      <c r="D18" s="22" t="s">
        <v>8</v>
      </c>
      <c r="E18" s="14"/>
      <c r="F18" s="14"/>
      <c r="G18" s="14"/>
      <c r="H18" s="14"/>
      <c r="I18" s="14"/>
      <c r="J18" s="14"/>
      <c r="K18" s="14"/>
      <c r="L18" s="14"/>
      <c r="M18" s="14"/>
      <c r="N18" s="14"/>
      <c r="O18" s="14"/>
      <c r="P18" s="14"/>
      <c r="Q18" s="14"/>
      <c r="R18" s="14"/>
    </row>
    <row r="19" spans="1:18" x14ac:dyDescent="0.25">
      <c r="A19" s="27" t="s">
        <v>32</v>
      </c>
      <c r="B19" s="19"/>
      <c r="C19" s="30">
        <v>6000</v>
      </c>
      <c r="D19" s="29">
        <v>240700</v>
      </c>
      <c r="E19" s="14" t="s">
        <v>12</v>
      </c>
      <c r="F19" s="14">
        <f>SLOPE(D19:D29,C19:C29)</f>
        <v>7.065719660308619</v>
      </c>
      <c r="G19" s="14"/>
      <c r="H19" s="14"/>
      <c r="I19" s="14"/>
      <c r="J19" s="14"/>
      <c r="K19" s="14"/>
      <c r="L19" s="14"/>
      <c r="M19" s="14"/>
      <c r="N19" s="14"/>
      <c r="O19" s="14"/>
      <c r="P19" s="14"/>
      <c r="Q19" s="14"/>
      <c r="R19" s="14"/>
    </row>
    <row r="20" spans="1:18" x14ac:dyDescent="0.25">
      <c r="A20" s="27" t="s">
        <v>33</v>
      </c>
      <c r="B20" s="19"/>
      <c r="C20" s="30">
        <v>10000</v>
      </c>
      <c r="D20" s="29">
        <v>257800</v>
      </c>
      <c r="E20" s="14"/>
      <c r="F20" s="14" t="s">
        <v>10</v>
      </c>
      <c r="G20" s="14"/>
      <c r="H20" s="14"/>
      <c r="I20" s="14"/>
      <c r="J20" s="14"/>
      <c r="K20" s="14"/>
      <c r="L20" s="14"/>
      <c r="M20" s="14"/>
      <c r="N20" s="14"/>
      <c r="O20" s="14"/>
      <c r="P20" s="14"/>
      <c r="Q20" s="14"/>
      <c r="R20" s="14"/>
    </row>
    <row r="21" spans="1:18" x14ac:dyDescent="0.25">
      <c r="A21" s="27" t="s">
        <v>34</v>
      </c>
      <c r="B21" s="19"/>
      <c r="C21" s="30">
        <v>16000</v>
      </c>
      <c r="D21" s="29">
        <v>289000</v>
      </c>
      <c r="E21" s="14"/>
      <c r="F21" s="14" t="s">
        <v>11</v>
      </c>
      <c r="G21" s="14">
        <f>B1</f>
        <v>0.8</v>
      </c>
      <c r="H21" s="14"/>
      <c r="I21" s="14"/>
      <c r="J21" s="14"/>
      <c r="K21" s="14"/>
      <c r="L21" s="14"/>
      <c r="M21" s="14"/>
      <c r="N21" s="14"/>
      <c r="O21" s="14"/>
      <c r="P21" s="14"/>
      <c r="Q21" s="14"/>
      <c r="R21" s="14"/>
    </row>
    <row r="22" spans="1:18" x14ac:dyDescent="0.25">
      <c r="A22" s="27" t="s">
        <v>35</v>
      </c>
      <c r="B22" s="19"/>
      <c r="C22" s="30">
        <v>20000</v>
      </c>
      <c r="D22" s="29">
        <v>313600</v>
      </c>
      <c r="E22" s="14"/>
      <c r="F22" s="14"/>
      <c r="G22" s="14"/>
      <c r="H22" s="14"/>
      <c r="I22" s="14"/>
      <c r="J22" s="14"/>
      <c r="K22" s="14"/>
      <c r="L22" s="14"/>
      <c r="M22" s="14"/>
      <c r="N22" s="14"/>
      <c r="O22" s="14"/>
      <c r="P22" s="14"/>
      <c r="Q22" s="14"/>
      <c r="R22" s="14"/>
    </row>
    <row r="23" spans="1:18" ht="15.75" thickBot="1" x14ac:dyDescent="0.3">
      <c r="A23" s="27" t="s">
        <v>36</v>
      </c>
      <c r="B23" s="19"/>
      <c r="C23" s="30">
        <v>25000</v>
      </c>
      <c r="D23" s="29">
        <v>338100</v>
      </c>
      <c r="E23" s="18" t="s">
        <v>31</v>
      </c>
      <c r="F23" s="18">
        <f>F19/G21</f>
        <v>8.8321495753857739</v>
      </c>
      <c r="G23" s="14"/>
      <c r="H23" s="14"/>
      <c r="I23" s="14"/>
      <c r="J23" s="14"/>
      <c r="K23" s="14"/>
      <c r="L23" s="14"/>
      <c r="M23" s="14"/>
      <c r="N23" s="14"/>
      <c r="O23" s="14"/>
      <c r="P23" s="14"/>
      <c r="Q23" s="14"/>
      <c r="R23" s="14"/>
    </row>
    <row r="24" spans="1:18" x14ac:dyDescent="0.25">
      <c r="A24" s="27" t="s">
        <v>37</v>
      </c>
      <c r="B24" s="19"/>
      <c r="C24" s="30">
        <v>31500</v>
      </c>
      <c r="D24" s="29">
        <v>450200</v>
      </c>
      <c r="E24" s="14"/>
      <c r="F24" s="14"/>
      <c r="G24" s="14"/>
      <c r="H24" s="14"/>
      <c r="I24" s="14"/>
      <c r="J24" s="14"/>
      <c r="K24" s="14"/>
      <c r="L24" s="14"/>
      <c r="M24" s="14"/>
      <c r="N24" s="14"/>
      <c r="O24" s="14"/>
      <c r="P24" s="14"/>
      <c r="Q24" s="14"/>
      <c r="R24" s="14"/>
    </row>
    <row r="25" spans="1:18" x14ac:dyDescent="0.25">
      <c r="A25" s="27" t="s">
        <v>38</v>
      </c>
      <c r="B25" s="19"/>
      <c r="C25" s="30">
        <v>40000</v>
      </c>
      <c r="D25" s="29">
        <v>538400</v>
      </c>
      <c r="E25" s="14"/>
      <c r="F25" s="14"/>
      <c r="G25" s="14"/>
      <c r="H25" s="14"/>
      <c r="I25" s="14"/>
      <c r="J25" s="14"/>
      <c r="K25" s="14"/>
      <c r="L25" s="14"/>
      <c r="M25" s="14"/>
      <c r="N25" s="14"/>
      <c r="O25" s="14"/>
      <c r="P25" s="14"/>
      <c r="Q25" s="14"/>
      <c r="R25" s="14"/>
    </row>
    <row r="26" spans="1:18" x14ac:dyDescent="0.25">
      <c r="A26" s="27" t="s">
        <v>39</v>
      </c>
      <c r="B26" s="19"/>
      <c r="C26" s="30">
        <v>50000</v>
      </c>
      <c r="D26" s="29">
        <v>593000</v>
      </c>
      <c r="E26" s="14"/>
      <c r="F26" s="14"/>
      <c r="G26" s="14"/>
      <c r="H26" s="14"/>
      <c r="I26" s="14"/>
      <c r="J26" s="14"/>
      <c r="K26" s="14"/>
      <c r="L26" s="14"/>
      <c r="M26" s="14"/>
      <c r="N26" s="14"/>
      <c r="O26" s="14"/>
      <c r="P26" s="14"/>
      <c r="Q26" s="14"/>
      <c r="R26" s="14"/>
    </row>
    <row r="27" spans="1:18" x14ac:dyDescent="0.25">
      <c r="A27" s="27" t="s">
        <v>40</v>
      </c>
      <c r="B27" s="19"/>
      <c r="C27" s="30">
        <v>63000</v>
      </c>
      <c r="D27" s="29">
        <v>664000</v>
      </c>
      <c r="E27" s="14"/>
      <c r="F27" s="14"/>
      <c r="G27" s="14"/>
      <c r="J27" s="14"/>
      <c r="K27" s="14"/>
      <c r="L27" s="14"/>
      <c r="M27" s="14"/>
      <c r="N27" s="14"/>
      <c r="O27" s="14"/>
      <c r="P27" s="14"/>
      <c r="Q27" s="14"/>
      <c r="R27" s="14"/>
    </row>
    <row r="28" spans="1:18" x14ac:dyDescent="0.25">
      <c r="A28" s="27" t="s">
        <v>41</v>
      </c>
      <c r="B28" s="19"/>
      <c r="C28" s="30">
        <v>80000</v>
      </c>
      <c r="D28" s="29">
        <v>756900</v>
      </c>
      <c r="E28" s="14"/>
      <c r="F28" s="14"/>
      <c r="G28" s="14"/>
      <c r="H28" s="14"/>
      <c r="I28" s="14"/>
      <c r="J28" s="14"/>
      <c r="K28" s="14"/>
      <c r="L28" s="14"/>
      <c r="M28" s="14"/>
      <c r="N28" s="14"/>
      <c r="O28" s="14"/>
      <c r="P28" s="14"/>
      <c r="Q28" s="14"/>
      <c r="R28" s="14"/>
    </row>
    <row r="29" spans="1:18" x14ac:dyDescent="0.25">
      <c r="A29" s="27" t="s">
        <v>42</v>
      </c>
      <c r="B29" s="19"/>
      <c r="C29" s="30">
        <v>100000</v>
      </c>
      <c r="D29" s="29">
        <v>866300</v>
      </c>
      <c r="E29" s="14"/>
      <c r="F29" s="14"/>
      <c r="G29" s="14"/>
      <c r="H29" s="14"/>
      <c r="I29" s="14"/>
      <c r="J29" s="14"/>
      <c r="K29" s="14"/>
      <c r="L29" s="14"/>
      <c r="M29" s="14"/>
      <c r="N29" s="14"/>
      <c r="O29" s="14"/>
      <c r="P29" s="14"/>
      <c r="Q29" s="14"/>
      <c r="R29" s="14"/>
    </row>
    <row r="30" spans="1:18" s="1" customFormat="1" x14ac:dyDescent="0.25">
      <c r="A30" s="15"/>
      <c r="E30" s="15"/>
      <c r="F30" s="15"/>
      <c r="G30" s="15"/>
      <c r="H30" s="15"/>
      <c r="I30" s="15"/>
      <c r="J30" s="15"/>
      <c r="K30" s="15"/>
      <c r="L30" s="15"/>
      <c r="M30" s="15"/>
      <c r="N30" s="15"/>
      <c r="O30" s="15"/>
      <c r="P30" s="15"/>
      <c r="Q30" s="15"/>
      <c r="R30" s="15"/>
    </row>
    <row r="31" spans="1:18" x14ac:dyDescent="0.25">
      <c r="A31" s="20" t="s">
        <v>9</v>
      </c>
      <c r="B31" s="19"/>
      <c r="C31" s="22" t="s">
        <v>43</v>
      </c>
      <c r="D31" s="22" t="s">
        <v>8</v>
      </c>
      <c r="E31" s="14"/>
      <c r="F31" s="14"/>
      <c r="G31" s="14"/>
      <c r="H31" s="14"/>
      <c r="I31" s="14"/>
      <c r="J31" s="14"/>
      <c r="K31" s="14"/>
      <c r="L31" s="14"/>
      <c r="M31" s="14"/>
      <c r="N31" s="14"/>
      <c r="O31" s="14"/>
      <c r="P31" s="14"/>
      <c r="Q31" s="14"/>
      <c r="R31" s="14"/>
    </row>
    <row r="32" spans="1:18" x14ac:dyDescent="0.25">
      <c r="A32" s="27" t="s">
        <v>45</v>
      </c>
      <c r="B32" s="19"/>
      <c r="C32" s="30">
        <v>30</v>
      </c>
      <c r="D32" s="23">
        <v>3600</v>
      </c>
      <c r="E32" s="14" t="s">
        <v>12</v>
      </c>
      <c r="F32" s="14">
        <f>SLOPE(D32:D43,C32:C43)</f>
        <v>12.313886703589286</v>
      </c>
      <c r="G32" s="14"/>
      <c r="H32" s="14"/>
      <c r="I32" s="14"/>
      <c r="J32" s="14"/>
      <c r="K32" s="14"/>
      <c r="L32" s="14"/>
      <c r="M32" s="14"/>
      <c r="N32" s="14"/>
      <c r="O32" s="14"/>
      <c r="P32" s="14"/>
      <c r="Q32" s="14"/>
      <c r="R32" s="14"/>
    </row>
    <row r="33" spans="1:32" x14ac:dyDescent="0.25">
      <c r="A33" s="27" t="s">
        <v>46</v>
      </c>
      <c r="B33" s="19"/>
      <c r="C33" s="30">
        <v>50</v>
      </c>
      <c r="D33" s="23">
        <v>3700</v>
      </c>
      <c r="E33" s="14"/>
      <c r="F33" s="14"/>
      <c r="G33" s="14"/>
      <c r="H33" s="14"/>
      <c r="I33" s="14"/>
      <c r="J33" s="14"/>
      <c r="K33" s="14"/>
      <c r="L33" s="14"/>
      <c r="M33" s="14"/>
      <c r="N33" s="14"/>
      <c r="O33" s="14"/>
      <c r="P33" s="14"/>
      <c r="Q33" s="14"/>
      <c r="R33" s="14"/>
    </row>
    <row r="34" spans="1:32" s="28" customFormat="1" x14ac:dyDescent="0.25">
      <c r="A34" s="27" t="s">
        <v>58</v>
      </c>
      <c r="B34" s="19"/>
      <c r="C34" s="30">
        <v>100</v>
      </c>
      <c r="D34" s="23">
        <v>4500</v>
      </c>
      <c r="E34" s="14"/>
      <c r="F34" s="14"/>
      <c r="G34" s="14"/>
      <c r="H34" s="14"/>
      <c r="I34" s="14"/>
      <c r="J34" s="14"/>
      <c r="K34" s="14"/>
      <c r="L34" s="14"/>
      <c r="M34" s="14"/>
      <c r="N34" s="14"/>
      <c r="O34" s="14"/>
      <c r="P34" s="14"/>
      <c r="Q34" s="14"/>
      <c r="R34" s="14"/>
    </row>
    <row r="35" spans="1:32" ht="15.75" thickBot="1" x14ac:dyDescent="0.3">
      <c r="A35" s="27" t="s">
        <v>47</v>
      </c>
      <c r="B35" s="19"/>
      <c r="C35" s="30">
        <v>200</v>
      </c>
      <c r="D35" s="23">
        <v>6100</v>
      </c>
      <c r="E35" s="18" t="s">
        <v>31</v>
      </c>
      <c r="F35" s="18">
        <f>F32</f>
        <v>12.313886703589286</v>
      </c>
      <c r="G35" s="14"/>
      <c r="H35" s="14"/>
      <c r="I35" s="14"/>
      <c r="J35" s="14"/>
      <c r="K35" s="14"/>
      <c r="L35" s="14"/>
      <c r="M35" s="14"/>
      <c r="N35" s="14"/>
      <c r="O35" s="14"/>
      <c r="P35" s="14"/>
      <c r="Q35" s="14"/>
      <c r="R35" s="14"/>
    </row>
    <row r="36" spans="1:32" x14ac:dyDescent="0.25">
      <c r="A36" s="27" t="s">
        <v>59</v>
      </c>
      <c r="B36" s="19"/>
      <c r="C36" s="30">
        <v>315</v>
      </c>
      <c r="D36" s="23">
        <v>7800</v>
      </c>
      <c r="E36" s="14"/>
      <c r="F36" s="14"/>
      <c r="G36" s="14"/>
      <c r="H36" s="14"/>
      <c r="I36" s="14"/>
      <c r="J36" s="14"/>
      <c r="K36" s="14"/>
      <c r="L36" s="14"/>
      <c r="M36" s="14"/>
      <c r="N36" s="14"/>
      <c r="O36" s="14"/>
      <c r="P36" s="14"/>
      <c r="Q36" s="14"/>
      <c r="R36" s="14"/>
    </row>
    <row r="37" spans="1:32" x14ac:dyDescent="0.25">
      <c r="A37" s="27" t="s">
        <v>60</v>
      </c>
      <c r="B37" s="19"/>
      <c r="C37" s="30">
        <v>400</v>
      </c>
      <c r="D37" s="23">
        <v>8700</v>
      </c>
      <c r="E37" s="14"/>
      <c r="F37" s="14"/>
      <c r="G37" s="14"/>
      <c r="H37" s="14"/>
      <c r="I37" s="14"/>
      <c r="J37" s="14"/>
      <c r="K37" s="14"/>
      <c r="L37" s="14"/>
      <c r="M37" s="14"/>
      <c r="N37" s="14"/>
      <c r="O37" s="14"/>
      <c r="P37" s="14"/>
      <c r="Q37" s="14"/>
      <c r="R37" s="14"/>
    </row>
    <row r="38" spans="1:32" x14ac:dyDescent="0.25">
      <c r="A38" s="27" t="s">
        <v>61</v>
      </c>
      <c r="B38" s="19"/>
      <c r="C38" s="30">
        <v>500</v>
      </c>
      <c r="D38" s="23">
        <v>9600</v>
      </c>
      <c r="E38" s="14"/>
      <c r="F38" s="14"/>
      <c r="G38" s="14"/>
      <c r="H38" s="14"/>
      <c r="I38" s="14"/>
      <c r="J38" s="14"/>
      <c r="K38" s="14"/>
      <c r="L38" s="14"/>
      <c r="M38" s="14"/>
      <c r="N38" s="14"/>
      <c r="O38" s="14"/>
      <c r="P38" s="14"/>
      <c r="Q38" s="14"/>
      <c r="R38" s="14"/>
    </row>
    <row r="39" spans="1:32" x14ac:dyDescent="0.25">
      <c r="A39" s="27" t="s">
        <v>62</v>
      </c>
      <c r="B39" s="19"/>
      <c r="C39" s="30">
        <v>630</v>
      </c>
      <c r="D39" s="23">
        <v>11500</v>
      </c>
      <c r="E39" s="14"/>
      <c r="F39" s="14"/>
      <c r="G39" s="14"/>
      <c r="H39" s="14"/>
      <c r="I39" s="14"/>
      <c r="J39" s="14"/>
      <c r="K39" s="14"/>
      <c r="L39" s="14"/>
      <c r="M39" s="14"/>
      <c r="N39" s="14"/>
      <c r="O39" s="14"/>
      <c r="P39" s="14"/>
      <c r="Q39" s="14"/>
      <c r="R39" s="14"/>
    </row>
    <row r="40" spans="1:32" x14ac:dyDescent="0.25">
      <c r="A40" s="27" t="s">
        <v>48</v>
      </c>
      <c r="B40" s="19"/>
      <c r="C40" s="30">
        <v>800</v>
      </c>
      <c r="D40" s="23">
        <v>13300</v>
      </c>
      <c r="E40" s="14"/>
      <c r="F40" s="14"/>
      <c r="G40" s="14"/>
      <c r="H40" s="14"/>
      <c r="I40" s="14"/>
      <c r="J40" s="14"/>
      <c r="K40" s="14"/>
      <c r="L40" s="14"/>
      <c r="M40" s="14"/>
      <c r="N40" s="14"/>
      <c r="O40" s="14"/>
      <c r="P40" s="14"/>
      <c r="Q40" s="14"/>
      <c r="R40" s="14"/>
    </row>
    <row r="41" spans="1:32" s="28" customFormat="1" x14ac:dyDescent="0.25">
      <c r="A41" s="27" t="s">
        <v>49</v>
      </c>
      <c r="B41" s="19"/>
      <c r="C41" s="30">
        <v>1000</v>
      </c>
      <c r="D41" s="23">
        <v>16000</v>
      </c>
      <c r="E41" s="14"/>
      <c r="F41" s="14"/>
      <c r="G41" s="14"/>
      <c r="H41" s="14"/>
      <c r="I41" s="14"/>
      <c r="J41" s="14"/>
      <c r="K41" s="14"/>
      <c r="L41" s="14"/>
      <c r="M41" s="14"/>
      <c r="N41" s="14"/>
      <c r="O41" s="14"/>
      <c r="P41" s="14"/>
      <c r="Q41" s="14"/>
      <c r="R41" s="14"/>
    </row>
    <row r="42" spans="1:32" s="28" customFormat="1" x14ac:dyDescent="0.25">
      <c r="A42" s="27" t="s">
        <v>50</v>
      </c>
      <c r="B42" s="19"/>
      <c r="C42" s="30">
        <v>1250</v>
      </c>
      <c r="D42" s="23">
        <v>20500</v>
      </c>
      <c r="E42" s="14"/>
      <c r="F42" s="14"/>
      <c r="G42" s="14"/>
      <c r="H42" s="14"/>
      <c r="I42" s="14"/>
      <c r="J42" s="14"/>
      <c r="K42" s="14"/>
      <c r="L42" s="14"/>
      <c r="M42" s="14"/>
      <c r="N42" s="14"/>
      <c r="O42" s="14"/>
      <c r="P42" s="14"/>
      <c r="Q42" s="14"/>
      <c r="R42" s="14"/>
    </row>
    <row r="43" spans="1:32" x14ac:dyDescent="0.25">
      <c r="A43" s="27" t="s">
        <v>63</v>
      </c>
      <c r="B43" s="19"/>
      <c r="C43" s="30">
        <v>1600</v>
      </c>
      <c r="D43" s="23">
        <v>21800</v>
      </c>
      <c r="E43" s="14"/>
      <c r="F43" s="14"/>
      <c r="G43" s="14"/>
      <c r="H43" s="14"/>
      <c r="I43" s="14"/>
      <c r="J43" s="14"/>
      <c r="K43" s="14"/>
      <c r="L43" s="14"/>
      <c r="M43" s="14"/>
      <c r="N43" s="14"/>
      <c r="O43" s="14"/>
      <c r="P43" s="14"/>
      <c r="Q43" s="14"/>
      <c r="R43" s="14"/>
    </row>
    <row r="44" spans="1:32" s="28" customFormat="1" x14ac:dyDescent="0.25">
      <c r="A44" s="15"/>
      <c r="B44" s="1"/>
      <c r="C44" s="1"/>
      <c r="D44" s="1"/>
      <c r="E44" s="15"/>
      <c r="F44" s="15"/>
      <c r="G44" s="15"/>
      <c r="H44" s="15"/>
      <c r="I44" s="15"/>
      <c r="J44" s="1"/>
      <c r="K44" s="1"/>
      <c r="L44" s="1"/>
      <c r="M44" s="15"/>
      <c r="N44" s="15"/>
      <c r="O44" s="15"/>
      <c r="P44" s="15"/>
      <c r="Q44" s="15"/>
      <c r="R44" s="1"/>
      <c r="S44" s="1"/>
      <c r="T44" s="1"/>
      <c r="U44" s="15"/>
      <c r="V44" s="15"/>
      <c r="W44" s="15"/>
      <c r="X44" s="15"/>
      <c r="Y44" s="15"/>
      <c r="Z44" s="1"/>
      <c r="AA44" s="1"/>
      <c r="AB44" s="1"/>
      <c r="AC44" s="15"/>
      <c r="AD44" s="15"/>
      <c r="AE44" s="15"/>
      <c r="AF44" s="15"/>
    </row>
    <row r="45" spans="1:32" x14ac:dyDescent="0.25">
      <c r="A45" s="51" t="s">
        <v>77</v>
      </c>
    </row>
    <row r="46" spans="1:32" ht="60" x14ac:dyDescent="0.25">
      <c r="A46" s="46" t="s">
        <v>71</v>
      </c>
      <c r="B46" s="21" t="s">
        <v>79</v>
      </c>
      <c r="C46" s="22" t="s">
        <v>44</v>
      </c>
      <c r="D46" s="22" t="s">
        <v>6</v>
      </c>
    </row>
    <row r="47" spans="1:32" x14ac:dyDescent="0.25">
      <c r="A47" s="27">
        <v>25</v>
      </c>
      <c r="B47" s="30">
        <v>1.4</v>
      </c>
      <c r="C47" s="30">
        <v>95</v>
      </c>
      <c r="D47" s="23">
        <v>16600</v>
      </c>
      <c r="F47" s="14">
        <f>3*$O$1/SQRT(3)*C47</f>
        <v>65.817930687617348</v>
      </c>
    </row>
    <row r="48" spans="1:32" x14ac:dyDescent="0.25">
      <c r="A48" s="27">
        <v>50</v>
      </c>
      <c r="B48" s="30">
        <v>0.77</v>
      </c>
      <c r="C48" s="30">
        <v>140</v>
      </c>
      <c r="D48" s="23">
        <v>17300</v>
      </c>
      <c r="F48" s="14">
        <f t="shared" ref="F48:F50" si="2">3*$O$1/SQRT(3)*C48</f>
        <v>96.994845223857141</v>
      </c>
    </row>
    <row r="49" spans="1:6" x14ac:dyDescent="0.25">
      <c r="A49" s="27">
        <v>70</v>
      </c>
      <c r="B49" s="30">
        <v>0.53</v>
      </c>
      <c r="C49" s="30">
        <v>180</v>
      </c>
      <c r="D49" s="23">
        <v>19600</v>
      </c>
      <c r="F49" s="14">
        <f t="shared" si="2"/>
        <v>124.70765814495918</v>
      </c>
    </row>
    <row r="50" spans="1:6" x14ac:dyDescent="0.25">
      <c r="A50" s="27">
        <v>120</v>
      </c>
      <c r="B50" s="30">
        <v>0.3</v>
      </c>
      <c r="C50" s="30">
        <v>250</v>
      </c>
      <c r="D50" s="23">
        <v>23300</v>
      </c>
      <c r="F50" s="14">
        <f t="shared" si="2"/>
        <v>173.20508075688775</v>
      </c>
    </row>
    <row r="51" spans="1:6" x14ac:dyDescent="0.25">
      <c r="A51" s="43"/>
    </row>
    <row r="52" spans="1:6" ht="60" x14ac:dyDescent="0.25">
      <c r="A52" t="s">
        <v>78</v>
      </c>
      <c r="B52" s="21" t="s">
        <v>79</v>
      </c>
      <c r="C52" s="22" t="s">
        <v>44</v>
      </c>
      <c r="D52" s="22" t="s">
        <v>6</v>
      </c>
    </row>
    <row r="53" spans="1:6" x14ac:dyDescent="0.25">
      <c r="A53" s="42">
        <v>25</v>
      </c>
      <c r="B53" s="45">
        <v>1.5</v>
      </c>
      <c r="C53" s="45">
        <v>100</v>
      </c>
      <c r="D53" s="44">
        <v>8500</v>
      </c>
      <c r="F53" s="14">
        <f t="shared" ref="F53:F62" si="3">3*$O$1/SQRT(3)*C53</f>
        <v>69.282032302755098</v>
      </c>
    </row>
    <row r="54" spans="1:6" x14ac:dyDescent="0.25">
      <c r="A54" s="42">
        <v>35</v>
      </c>
      <c r="B54" s="45">
        <v>1</v>
      </c>
      <c r="C54" s="45">
        <v>125</v>
      </c>
      <c r="D54" s="44">
        <v>9100</v>
      </c>
      <c r="F54" s="14">
        <f t="shared" si="3"/>
        <v>86.602540378443877</v>
      </c>
    </row>
    <row r="55" spans="1:6" x14ac:dyDescent="0.25">
      <c r="A55" s="42">
        <v>50</v>
      </c>
      <c r="B55" s="45">
        <v>0.77</v>
      </c>
      <c r="C55" s="45">
        <v>150</v>
      </c>
      <c r="D55" s="44">
        <v>10000</v>
      </c>
      <c r="F55" s="14">
        <f t="shared" si="3"/>
        <v>103.92304845413265</v>
      </c>
    </row>
    <row r="56" spans="1:6" x14ac:dyDescent="0.25">
      <c r="A56" s="42">
        <v>70</v>
      </c>
      <c r="B56" s="45">
        <v>0.53</v>
      </c>
      <c r="C56" s="45">
        <v>185</v>
      </c>
      <c r="D56" s="44">
        <v>10900</v>
      </c>
      <c r="F56" s="14">
        <f t="shared" si="3"/>
        <v>128.17175976009693</v>
      </c>
    </row>
    <row r="57" spans="1:6" x14ac:dyDescent="0.25">
      <c r="A57" s="42">
        <v>95</v>
      </c>
      <c r="B57" s="45">
        <v>0.39</v>
      </c>
      <c r="C57" s="45">
        <v>220</v>
      </c>
      <c r="D57" s="44">
        <v>12100</v>
      </c>
      <c r="F57" s="14">
        <f t="shared" si="3"/>
        <v>152.42047106606122</v>
      </c>
    </row>
    <row r="58" spans="1:6" x14ac:dyDescent="0.25">
      <c r="A58" s="42">
        <v>120</v>
      </c>
      <c r="B58" s="45">
        <v>0.31</v>
      </c>
      <c r="C58" s="45">
        <v>255</v>
      </c>
      <c r="D58" s="44">
        <v>14300</v>
      </c>
      <c r="F58" s="14">
        <f t="shared" si="3"/>
        <v>176.66918237202552</v>
      </c>
    </row>
    <row r="59" spans="1:6" x14ac:dyDescent="0.25">
      <c r="A59" s="42">
        <v>150</v>
      </c>
      <c r="B59" s="45">
        <v>0.25</v>
      </c>
      <c r="C59" s="45">
        <v>290</v>
      </c>
      <c r="D59" s="44">
        <v>16500</v>
      </c>
      <c r="F59" s="14">
        <f t="shared" si="3"/>
        <v>200.91789367798981</v>
      </c>
    </row>
    <row r="60" spans="1:6" x14ac:dyDescent="0.25">
      <c r="A60" s="42">
        <v>185</v>
      </c>
      <c r="B60" s="45">
        <v>0.2</v>
      </c>
      <c r="C60" s="45">
        <v>330</v>
      </c>
      <c r="D60" s="44">
        <v>18100</v>
      </c>
      <c r="F60" s="14">
        <f t="shared" si="3"/>
        <v>228.63070659909184</v>
      </c>
    </row>
    <row r="61" spans="1:6" x14ac:dyDescent="0.25">
      <c r="A61" s="42">
        <v>240</v>
      </c>
      <c r="B61" s="45">
        <v>0.16</v>
      </c>
      <c r="C61" s="45">
        <v>375</v>
      </c>
      <c r="D61" s="44">
        <v>20300</v>
      </c>
      <c r="F61" s="14">
        <f t="shared" si="3"/>
        <v>259.80762113533166</v>
      </c>
    </row>
    <row r="62" spans="1:6" x14ac:dyDescent="0.25">
      <c r="A62" s="42">
        <v>300</v>
      </c>
      <c r="B62" s="45">
        <v>0.13</v>
      </c>
      <c r="C62" s="45">
        <v>430</v>
      </c>
      <c r="D62" s="44">
        <v>25500</v>
      </c>
      <c r="F62" s="14">
        <f t="shared" si="3"/>
        <v>297.91273890184692</v>
      </c>
    </row>
  </sheetData>
  <sheetProtection select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5" r:id="rId4">
          <objectPr locked="0" defaultSize="0" autoPict="0" r:id="rId5">
            <anchor moveWithCells="1">
              <from>
                <xdr:col>8</xdr:col>
                <xdr:colOff>0</xdr:colOff>
                <xdr:row>3</xdr:row>
                <xdr:rowOff>104775</xdr:rowOff>
              </from>
              <to>
                <xdr:col>11</xdr:col>
                <xdr:colOff>228600</xdr:colOff>
                <xdr:row>15</xdr:row>
                <xdr:rowOff>161925</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2"/>
  <sheetViews>
    <sheetView workbookViewId="0">
      <pane xSplit="1" ySplit="1" topLeftCell="X2" activePane="bottomRight" state="frozen"/>
      <selection pane="topRight" activeCell="B1" sqref="B1"/>
      <selection pane="bottomLeft" activeCell="A2" sqref="A2"/>
      <selection pane="bottomRight" activeCell="AR9" sqref="AR9"/>
    </sheetView>
  </sheetViews>
  <sheetFormatPr defaultRowHeight="15" x14ac:dyDescent="0.25"/>
  <cols>
    <col min="6" max="8" width="8.85546875" style="28"/>
    <col min="9" max="9" width="18.42578125" style="2" customWidth="1"/>
    <col min="14" max="14" width="18" style="2" customWidth="1"/>
    <col min="20" max="20" width="17.85546875" customWidth="1"/>
    <col min="21" max="21" width="24" customWidth="1"/>
    <col min="22" max="22" width="15.140625" customWidth="1"/>
    <col min="23" max="23" width="13.42578125" bestFit="1" customWidth="1"/>
    <col min="24" max="24" width="10.140625" customWidth="1"/>
    <col min="25" max="25" width="10.140625" style="28" customWidth="1"/>
    <col min="30" max="30" width="10.5703125" bestFit="1" customWidth="1"/>
    <col min="47" max="47" width="8.7109375" style="28"/>
    <col min="55" max="55" width="13.85546875" customWidth="1"/>
  </cols>
  <sheetData>
    <row r="1" spans="1:60" ht="158.25" customHeight="1" thickBot="1" x14ac:dyDescent="0.3">
      <c r="A1" s="31" t="s">
        <v>92</v>
      </c>
      <c r="B1" s="32" t="s">
        <v>64</v>
      </c>
      <c r="C1" s="32" t="s">
        <v>65</v>
      </c>
      <c r="D1" s="32" t="s">
        <v>66</v>
      </c>
      <c r="E1" s="32" t="s">
        <v>67</v>
      </c>
      <c r="F1" s="33" t="s">
        <v>68</v>
      </c>
      <c r="G1" s="33" t="s">
        <v>69</v>
      </c>
      <c r="H1" s="33" t="s">
        <v>70</v>
      </c>
      <c r="I1" s="34" t="s">
        <v>83</v>
      </c>
      <c r="J1" s="35" t="s">
        <v>25</v>
      </c>
      <c r="K1" s="35" t="s">
        <v>26</v>
      </c>
      <c r="L1" s="35" t="s">
        <v>27</v>
      </c>
      <c r="M1" s="35" t="s">
        <v>28</v>
      </c>
      <c r="N1" s="36" t="s">
        <v>84</v>
      </c>
      <c r="O1" s="37"/>
      <c r="P1" s="38" t="s">
        <v>85</v>
      </c>
      <c r="Q1" s="38" t="s">
        <v>86</v>
      </c>
      <c r="R1" s="34" t="s">
        <v>88</v>
      </c>
      <c r="S1" s="36" t="s">
        <v>87</v>
      </c>
      <c r="T1" s="39"/>
      <c r="U1" s="40" t="s">
        <v>89</v>
      </c>
      <c r="V1" s="41" t="s">
        <v>90</v>
      </c>
      <c r="X1" s="48" t="s">
        <v>91</v>
      </c>
      <c r="Y1" s="48"/>
      <c r="Z1" s="49">
        <v>25</v>
      </c>
      <c r="AA1" s="47">
        <v>50</v>
      </c>
      <c r="AB1" s="47">
        <v>70</v>
      </c>
      <c r="AC1" s="47">
        <v>120</v>
      </c>
      <c r="AD1" s="36" t="s">
        <v>81</v>
      </c>
      <c r="AE1" t="s">
        <v>76</v>
      </c>
      <c r="AG1">
        <v>25</v>
      </c>
      <c r="AH1">
        <v>35</v>
      </c>
      <c r="AI1">
        <v>50</v>
      </c>
      <c r="AJ1">
        <v>70</v>
      </c>
      <c r="AK1">
        <v>95</v>
      </c>
      <c r="AL1">
        <v>120</v>
      </c>
      <c r="AM1">
        <v>150</v>
      </c>
      <c r="AN1">
        <v>185</v>
      </c>
      <c r="AO1">
        <v>240</v>
      </c>
      <c r="AP1">
        <v>300</v>
      </c>
      <c r="AQ1" s="34" t="s">
        <v>82</v>
      </c>
      <c r="AR1" s="28" t="s">
        <v>76</v>
      </c>
      <c r="AT1" s="48" t="s">
        <v>93</v>
      </c>
      <c r="AU1" s="48"/>
      <c r="AW1" s="48" t="s">
        <v>94</v>
      </c>
      <c r="AX1" s="48"/>
      <c r="BB1" s="60">
        <f>Lähtötiedot!C17</f>
        <v>0.5</v>
      </c>
      <c r="BE1">
        <f>IF(Lähtötiedot!C33-50&lt;0,0,Lähtötiedot!C33-50)</f>
        <v>450</v>
      </c>
      <c r="BF1">
        <f>Lähtötiedot!C34</f>
        <v>800</v>
      </c>
      <c r="BG1">
        <f>VLOOKUP(BF1,AY2:BD45,6,FALSE)-VLOOKUP(BE1,AY2:BD45,6,FALSE)</f>
        <v>524.17540070457335</v>
      </c>
      <c r="BH1">
        <f>BG1/((BF1-Lähtötiedot!C33)/50+1)</f>
        <v>74.882200100653336</v>
      </c>
    </row>
    <row r="2" spans="1:60" s="4" customFormat="1" ht="16.5" customHeight="1" x14ac:dyDescent="0.25">
      <c r="A2" s="7">
        <v>0</v>
      </c>
      <c r="B2">
        <f>kuorma70</f>
        <v>6928.2032302755097</v>
      </c>
      <c r="C2">
        <f>kuorma95</f>
        <v>8140.6387955737237</v>
      </c>
      <c r="D2">
        <f>kuorma120</f>
        <v>9179.8692801150501</v>
      </c>
      <c r="E2">
        <f>kuorma150</f>
        <v>10392.304845413264</v>
      </c>
      <c r="F2" s="28">
        <f>kuorma185</f>
        <v>11431.535329954591</v>
      </c>
      <c r="G2" s="28">
        <f>kuorma240</f>
        <v>13336.791218280356</v>
      </c>
      <c r="H2" s="28">
        <f>kuorma300</f>
        <v>15068.842025849233</v>
      </c>
      <c r="I2" s="5">
        <v>0</v>
      </c>
      <c r="J2" s="4">
        <v>7274.6133917892857</v>
      </c>
      <c r="K2" s="4">
        <v>9699.4845223857137</v>
      </c>
      <c r="L2" s="4">
        <v>12470.765814495917</v>
      </c>
      <c r="M2" s="4">
        <v>17147.302994931888</v>
      </c>
      <c r="N2" s="5">
        <v>0</v>
      </c>
      <c r="P2" s="4">
        <f t="shared" ref="P2:P33" si="0">jmrajakustannus</f>
        <v>12.313886703589286</v>
      </c>
      <c r="Q2" s="4">
        <f t="shared" ref="Q2:Q33" si="1">pmrajakust</f>
        <v>8.8321495753857739</v>
      </c>
      <c r="R2" s="4">
        <f>AVERAGE($I$2:$I2)</f>
        <v>0</v>
      </c>
      <c r="S2" s="4">
        <f>AVERAGE($N$2:$N2)</f>
        <v>0</v>
      </c>
      <c r="U2" s="6">
        <f>R2*Taulukkotiedot!$I$2+(1-Taulukkotiedot!$I$2)*Laskenta!S2+Laskenta!Q2</f>
        <v>8.8321495753857739</v>
      </c>
      <c r="V2" s="6">
        <f>R2*Taulukkotiedot!$I$2+(1-Taulukkotiedot!$I$2)*Laskenta!S2+Laskenta!Q2+P2</f>
        <v>21.14603627897506</v>
      </c>
      <c r="X2" s="4">
        <v>0</v>
      </c>
      <c r="Y2" s="4">
        <v>0</v>
      </c>
      <c r="Z2" s="4">
        <f>Taulukkotiedot!F47</f>
        <v>65.817930687617348</v>
      </c>
      <c r="AA2" s="4">
        <f>Taulukkotiedot!F48</f>
        <v>96.994845223857141</v>
      </c>
      <c r="AB2" s="4">
        <f>Taulukkotiedot!F49</f>
        <v>124.70765814495918</v>
      </c>
      <c r="AC2" s="4">
        <f>Taulukkotiedot!F50</f>
        <v>173.20508075688775</v>
      </c>
      <c r="AD2" s="4">
        <v>0</v>
      </c>
      <c r="AE2" s="4">
        <f>AVERAGE($AD$2:$AD2)</f>
        <v>0</v>
      </c>
      <c r="AG2" s="4">
        <f>Taulukkotiedot!$F53</f>
        <v>69.282032302755098</v>
      </c>
      <c r="AH2" s="4">
        <f>Taulukkotiedot!$F54</f>
        <v>86.602540378443877</v>
      </c>
      <c r="AI2" s="4">
        <f>Taulukkotiedot!$F55</f>
        <v>103.92304845413265</v>
      </c>
      <c r="AJ2" s="4">
        <f>Taulukkotiedot!$F56</f>
        <v>128.17175976009693</v>
      </c>
      <c r="AK2" s="4">
        <f>Taulukkotiedot!$F57</f>
        <v>152.42047106606122</v>
      </c>
      <c r="AL2" s="4">
        <f>Taulukkotiedot!$F58</f>
        <v>176.66918237202552</v>
      </c>
      <c r="AM2" s="4">
        <f>Taulukkotiedot!$F59</f>
        <v>200.91789367798981</v>
      </c>
      <c r="AN2" s="4">
        <f>Taulukkotiedot!$F60</f>
        <v>228.63070659909184</v>
      </c>
      <c r="AO2" s="4">
        <f>Taulukkotiedot!$F61</f>
        <v>259.80762113533166</v>
      </c>
      <c r="AP2" s="4">
        <f>Taulukkotiedot!$F62</f>
        <v>297.91273890184692</v>
      </c>
      <c r="AQ2" s="4">
        <f>SLOPE(Taulukkotiedot!$D$53:$D$62*X2,AG2:AP2)</f>
        <v>0</v>
      </c>
      <c r="AR2" s="4">
        <f>AVERAGE($AQ$2:$AQ2)</f>
        <v>0</v>
      </c>
      <c r="AT2" s="4">
        <v>0</v>
      </c>
      <c r="AW2" s="54">
        <f>AT2+Lähtötiedot!C$22</f>
        <v>71.076410036701446</v>
      </c>
      <c r="AX2" s="3"/>
      <c r="AY2" s="4">
        <v>0</v>
      </c>
      <c r="AZ2" s="4">
        <v>1</v>
      </c>
      <c r="BA2" s="4">
        <f>AQ2</f>
        <v>0</v>
      </c>
      <c r="BB2" s="4">
        <f>AD2</f>
        <v>0</v>
      </c>
      <c r="BC2" s="59">
        <f>BA2*BB$1+(1-BB$1)*BB2</f>
        <v>0</v>
      </c>
      <c r="BD2" s="4">
        <f>BC2</f>
        <v>0</v>
      </c>
    </row>
    <row r="3" spans="1:60" ht="16.5" customHeight="1" x14ac:dyDescent="0.25">
      <c r="A3" s="8">
        <v>1</v>
      </c>
      <c r="B3">
        <f t="shared" ref="B3:B34" si="2">IF(((jän.ale*3*(vaihejännite*cosfii)^2)/(res.70*$A3))/1000&gt;kuorma70,kuorma70,(jän.ale*3*(vaihejännite*cosfii)^2)/(res.70*$A3)/1000)</f>
        <v>6928.2032302755097</v>
      </c>
      <c r="C3">
        <f t="shared" ref="C3:C34" si="3">IF(((jän.ale*3*(vaihejännite*cosfii)^2)/(res.95*$A3))/1000&gt;kuorma95,kuorma95,(jän.ale*3*(vaihejännite*cosfii)^2)/(res.95*$A3)/1000)</f>
        <v>8140.6387955737237</v>
      </c>
      <c r="D3">
        <f t="shared" ref="D3:D34" si="4">IF(((jän.ale*3*(vaihejännite*cosfii)^2)/(res.120*$A3))/1000&gt;kuorma120,kuorma120,(jän.ale*3*(vaihejännite*cosfii)^2)/(res.120*$A3)/1000)</f>
        <v>9179.8692801150501</v>
      </c>
      <c r="E3">
        <f t="shared" ref="E3:E34" si="5">IF(((jän.ale*3*(vaihejännite*cosfii)^2)/(res.150*$A3))/1000&gt;kuorma150,kuorma150,(jän.ale*3*(vaihejännite*cosfii)^2)/(res.150*$A3)/1000)</f>
        <v>10392.304845413264</v>
      </c>
      <c r="F3" s="28">
        <f t="shared" ref="F3:F34" si="6">IF(((jän.ale*3*(vaihejännite*cosfii)^2)/(res.185*$A3))/1000&gt;kuorma185,kuorma185,(jän.ale*3*(vaihejännite*cosfii)^2)/(res.185*$A3)/1000)</f>
        <v>11431.535329954591</v>
      </c>
      <c r="G3" s="28">
        <f t="shared" ref="G3:G34" si="7">IF(((jän.ale*3*(vaihejännite*cosfii)^2)/(res.240*$A3))/1000&gt;kuorma240,kuorma240,(jän.ale*3*(vaihejännite*cosfii)^2)/(res.240*$A3)/1000)</f>
        <v>13336.791218280356</v>
      </c>
      <c r="H3" s="28">
        <f t="shared" ref="H3:H34" si="8">IF(((jän.ale*3*(vaihejännite*cosfii)^2)/(res.300*$A3))/1000&gt;kuorma300,kuorma300,(jän.ale*3*(vaihejännite*cosfii)^2)/(res.300*$A3)/1000)</f>
        <v>15068.842025849233</v>
      </c>
      <c r="I3" s="2">
        <f>SLOPE(Taulukkotiedot!$D$4:$D$10*A3,Laskenta!B3:H3)</f>
        <v>2.395774746813069</v>
      </c>
      <c r="J3">
        <f t="shared" ref="J3:J34" si="9">IF(((jän.ale*3*(vaihejännite*cosfii)^2)/(res.spar*$A3))/1000&gt;maxkuorm.i1,maxkuorm.i1,(jän.ale*3*(vaihejännite*cosfii)^2)/(res.spar*$A3)/1000)</f>
        <v>7274.6133917892857</v>
      </c>
      <c r="K3">
        <f t="shared" ref="K3:K34" si="10">IF(((jän.ale*3*(vaihejännite*cosfii)^2)/(res.rav*$A3))/1000&gt;maxkuorm.i2,maxkuorm.i2,(jän.ale*3*(vaihejännite*cosfii)^2)/(res.rav*$A3)/1000)</f>
        <v>9699.4845223857137</v>
      </c>
      <c r="L3">
        <f t="shared" ref="L3:L34" si="11">IF(((jän.ale*3*(vaihejännite*cosfii)^2)/(res.pig*$A3))/1000&gt;maxkuorm.i3,maxkuorm.i3,(jän.ale*3*(vaihejännite*cosfii)^2)/(res.pig*$A3)/1000)</f>
        <v>12470.765814495917</v>
      </c>
      <c r="M3">
        <f t="shared" ref="M3:M34" si="12">IF(((jän.ale*3*(vaihejännite*cosfii)^2)/(res.Al*$A3))/1000&gt;maxkuorm.i4,maxkuorm.i4,(jän.ale*3*(vaihejännite*cosfii)^2)/(res.Al*$A3)/1000)</f>
        <v>17147.302994931888</v>
      </c>
      <c r="N3" s="2">
        <f>SLOPE((Taulukkotiedot!$D$13:$D$16)*A3,Laskenta!J3:M3)</f>
        <v>0.91134325817757877</v>
      </c>
      <c r="P3">
        <f t="shared" si="0"/>
        <v>12.313886703589286</v>
      </c>
      <c r="Q3">
        <f t="shared" si="1"/>
        <v>8.8321495753857739</v>
      </c>
      <c r="R3">
        <f>AVERAGE($I$2:$I3)</f>
        <v>1.1978873734065345</v>
      </c>
      <c r="S3">
        <f>AVERAGE($N$2:$N3)</f>
        <v>0.45567162908878939</v>
      </c>
      <c r="U3" s="6">
        <f>R3*Taulukkotiedot!$I$2+(1-Taulukkotiedot!$I$2)*Laskenta!S3+Laskenta!Q3</f>
        <v>9.5475967149857741</v>
      </c>
      <c r="V3" s="6">
        <f>R3*Taulukkotiedot!$I$2+(1-Taulukkotiedot!$I$2)*Laskenta!S3+Laskenta!Q3+P3</f>
        <v>21.861483418575062</v>
      </c>
      <c r="X3">
        <v>0.05</v>
      </c>
      <c r="Y3" s="28">
        <v>50</v>
      </c>
      <c r="Z3" s="28">
        <f t="shared" ref="Z3:Z47" si="13">IF(((pjjänale*3*(pjvaihejän*cosfii)^2)/(pjres25*$X3))/1000&gt;pjkuorma25,pjkuorma25,(pjjänale*3*(pjvaihejän*cosfii)^2)/(pjres25*$X3)/1000)</f>
        <v>65.817930687617348</v>
      </c>
      <c r="AA3" s="28">
        <f t="shared" ref="AA3:AA47" si="14">IF(((pjjänale*3*(pjvaihejän*cosfii)^2)/(pjres50*$X3))/1000&gt;pjkuorma50,pjkuorma50,(pjjänale*3*(pjvaihejän*cosfii)^2)/(pjres50*$X3)/1000)</f>
        <v>96.994845223857141</v>
      </c>
      <c r="AB3" s="28">
        <f t="shared" ref="AB3:AB47" si="15">IF(((pjjänale*3*(pjvaihejän*cosfii)^2)/(pjres70*$X3))/1000&gt;pjkuorma70,pjkuorma70,(pjjänale*3*(pjvaihejän*cosfii)^2)/(pjres70*$X3)/1000)</f>
        <v>124.70765814495918</v>
      </c>
      <c r="AC3" s="28">
        <f t="shared" ref="AC3:AC47" si="16">IF(((pjjänale*3*(pjvaihejän*cosfii)^2)/(pjres120*$X3))/1000&gt;pjkuorma120,pjkuorma120,(pjjänale*3*(pjvaihejän*cosfii)^2)/(pjres120*$X3)/1000)</f>
        <v>173.20508075688775</v>
      </c>
      <c r="AD3">
        <f>SLOPE(Taulukkotiedot!$D$47:$D$50*X3,Z3:AC3)</f>
        <v>3.2498559730770253</v>
      </c>
      <c r="AE3" s="4">
        <f>AVERAGE($AD$2:$AD3)</f>
        <v>1.6249279865385127</v>
      </c>
      <c r="AG3" s="28">
        <f t="shared" ref="AG3:AG47" si="17">IF(((pjjänale*3*(pjvaihejän*cosfii)^2)/(pjresax25*$X3))/1000&gt;pjaxkuor25,pjaxkuor25,(pjjänale*3*(pjvaihejän*cosfii)^2)/(pjresax25*$X3)/1000)</f>
        <v>69.282032302755098</v>
      </c>
      <c r="AH3" s="28">
        <f t="shared" ref="AH3:AH47" si="18">IF(((pjjänale*3*(pjvaihejän*cosfii)^2)/(pjresax35*$X3))/1000&gt;pjaxkuor35,pjaxkuor35,(pjjänale*3*(pjvaihejän*cosfii)^2)/(pjresax35*$X3)/1000)</f>
        <v>86.602540378443877</v>
      </c>
      <c r="AI3" s="28">
        <f t="shared" ref="AI3:AI47" si="19">IF(((pjjänale*3*(pjvaihejän*cosfii)^2)/(pjresax50*$X3))/1000&gt;pjaxkuor50,pjaxkuor50,(pjjänale*3*(pjvaihejän*cosfii)^2)/(pjresax50*$X3)/1000)</f>
        <v>103.92304845413265</v>
      </c>
      <c r="AJ3" s="28">
        <f t="shared" ref="AJ3:AJ47" si="20">IF(((pjjänale*3*(pjvaihejän*cosfii)^2)/(pjresax70*$X3))/1000&gt;pjaxkuor70,pjaxkuor70,(pjjänale*3*(pjvaihejän*cosfii)^2)/(pjresax70*$X3)/1000)</f>
        <v>128.17175976009693</v>
      </c>
      <c r="AK3" s="28">
        <f t="shared" ref="AK3:AK47" si="21">IF(((pjjänale*3*(pjvaihejän*cosfii)^2)/(pjresax95*$X3))/1000&gt;pjaxkuor95,pjaxkuor95,(pjjänale*3*(pjvaihejän*cosfii)^2)/(pjresax95*$X3)/1000)</f>
        <v>152.42047106606122</v>
      </c>
      <c r="AL3" s="28">
        <f t="shared" ref="AL3:AL47" si="22">IF(((pjjänale*3*(pjvaihejän*cosfii)^2)/(pjresax120*$X3))/1000&gt;pjaxkuor120,pjaxkuor120,(pjjänale*3*(pjvaihejän*cosfii)^2)/(pjresax120*$X3)/1000)</f>
        <v>176.66918237202552</v>
      </c>
      <c r="AM3" s="28">
        <f t="shared" ref="AM3:AM47" si="23">IF(((pjjänale*3*(pjvaihejän*cosfii)^2)/(pjresax150*$X3))/1000&gt;pjaxkuor150,pjaxkuor150,(pjjänale*3*(pjvaihejän*cosfii)^2)/(pjresax150*$X3)/1000)</f>
        <v>200.91789367798981</v>
      </c>
      <c r="AN3" s="28">
        <f t="shared" ref="AN3:AN47" si="24">IF(((pjjänale*3*(pjvaihejän*cosfii)^2)/(pjresax185*$X3))/1000&gt;pjaxkuor185,pjaxkuor185,(pjjänale*3*(pjvaihejän*cosfii)^2)/(pjresax185*$X3)/1000)</f>
        <v>228.63070659909184</v>
      </c>
      <c r="AO3" s="28">
        <f t="shared" ref="AO3:AO47" si="25">IF(((pjjänale*3*(pjvaihejän*cosfii)^2)/(pjresax240*$X3))/1000&gt;pjaxkuor240,pjaxkuor240,(pjjänale*3*(pjvaihejän*cosfii)^2)/(pjresax240*$X3)/1000)</f>
        <v>259.80762113533166</v>
      </c>
      <c r="AP3" s="28">
        <f t="shared" ref="AP3:AP47" si="26">IF(((pjjänale*3*(pjvaihejän*cosfii)^2)/(pjresax300*$X3))/1000&gt;pjaxkuor300,pjaxkuor300,(pjjänale*3*(pjvaihejän*cosfii)^2)/(pjresax300*$X3)/1000)</f>
        <v>297.91273890184692</v>
      </c>
      <c r="AQ3" s="28">
        <f>SLOPE(Taulukkotiedot!$D$53:$D$62*X3,AG3:AP3)</f>
        <v>3.573525202440186</v>
      </c>
      <c r="AR3" s="4">
        <f>AVERAGE($AQ$2:$AQ3)</f>
        <v>1.786762601220093</v>
      </c>
      <c r="AT3" s="4">
        <f>AE3*(1-Taulukkotiedot!R$2)+Laskenta!AR3*Taulukkotiedot!R$2</f>
        <v>1.7058452938793027</v>
      </c>
      <c r="AU3" s="4"/>
      <c r="AW3" s="54">
        <f>AT3+Lähtötiedot!C$22</f>
        <v>72.782255330580753</v>
      </c>
      <c r="AX3" s="3"/>
      <c r="AY3" s="28">
        <v>50</v>
      </c>
      <c r="AZ3">
        <v>2</v>
      </c>
      <c r="BA3" s="4">
        <f t="shared" ref="BA3:BA45" si="27">AQ3</f>
        <v>3.573525202440186</v>
      </c>
      <c r="BB3" s="4">
        <f t="shared" ref="BB3:BB45" si="28">AD3</f>
        <v>3.2498559730770253</v>
      </c>
      <c r="BC3" s="59">
        <f t="shared" ref="BC3:BC45" si="29">BA3*BB$1+(1-BB$1)*BB3</f>
        <v>3.4116905877586055</v>
      </c>
      <c r="BD3">
        <f>SUM(BC$2:BC3)</f>
        <v>3.4116905877586055</v>
      </c>
    </row>
    <row r="4" spans="1:60" s="3" customFormat="1" ht="16.5" customHeight="1" x14ac:dyDescent="0.25">
      <c r="A4" s="9">
        <f>A3+1</f>
        <v>2</v>
      </c>
      <c r="B4" s="28">
        <f t="shared" si="2"/>
        <v>6928.2032302755097</v>
      </c>
      <c r="C4" s="28">
        <f t="shared" si="3"/>
        <v>8140.6387955737237</v>
      </c>
      <c r="D4" s="28">
        <f t="shared" si="4"/>
        <v>9179.8692801150501</v>
      </c>
      <c r="E4" s="28">
        <f t="shared" si="5"/>
        <v>10392.304845413264</v>
      </c>
      <c r="F4" s="28">
        <f t="shared" si="6"/>
        <v>11431.535329954591</v>
      </c>
      <c r="G4" s="28">
        <f t="shared" si="7"/>
        <v>13336.791218280356</v>
      </c>
      <c r="H4" s="28">
        <f t="shared" si="8"/>
        <v>15068.842025849233</v>
      </c>
      <c r="I4" s="2">
        <f>SLOPE(Taulukkotiedot!$D$4:$D$10*A4,Laskenta!B4:H4)</f>
        <v>4.791549493626138</v>
      </c>
      <c r="J4" s="3">
        <f t="shared" si="9"/>
        <v>7274.6133917892857</v>
      </c>
      <c r="K4" s="3">
        <f t="shared" si="10"/>
        <v>9699.4845223857137</v>
      </c>
      <c r="L4" s="3">
        <f t="shared" si="11"/>
        <v>12470.765814495917</v>
      </c>
      <c r="M4" s="3">
        <f t="shared" si="12"/>
        <v>17147.302994931888</v>
      </c>
      <c r="N4" s="2">
        <f>SLOPE((Taulukkotiedot!$D$13:$D$16)*A4,Laskenta!J4:M4)</f>
        <v>1.8226865163551575</v>
      </c>
      <c r="P4" s="3">
        <f t="shared" si="0"/>
        <v>12.313886703589286</v>
      </c>
      <c r="Q4" s="3">
        <f t="shared" si="1"/>
        <v>8.8321495753857739</v>
      </c>
      <c r="R4" s="3">
        <f>AVERAGE($I$2:$I4)</f>
        <v>2.395774746813069</v>
      </c>
      <c r="S4" s="3">
        <f>AVERAGE($N$2:$N4)</f>
        <v>0.91134325817757877</v>
      </c>
      <c r="U4" s="6">
        <f>R4*Taulukkotiedot!$I$2+(1-Taulukkotiedot!$I$2)*Laskenta!S4+Laskenta!Q4</f>
        <v>10.263043854585774</v>
      </c>
      <c r="V4" s="6">
        <f>R4*Taulukkotiedot!$I$2+(1-Taulukkotiedot!$I$2)*Laskenta!S4+Laskenta!Q4+P4</f>
        <v>22.576930558175061</v>
      </c>
      <c r="X4" s="3">
        <v>0.1</v>
      </c>
      <c r="Y4" s="3">
        <v>100</v>
      </c>
      <c r="Z4" s="28">
        <f t="shared" si="13"/>
        <v>65.817930687617348</v>
      </c>
      <c r="AA4" s="28">
        <f t="shared" si="14"/>
        <v>96.994845223857141</v>
      </c>
      <c r="AB4" s="28">
        <f t="shared" si="15"/>
        <v>124.70765814495918</v>
      </c>
      <c r="AC4" s="28">
        <f t="shared" si="16"/>
        <v>173.20508075688775</v>
      </c>
      <c r="AD4" s="28">
        <f>SLOPE(Taulukkotiedot!$D$47:$D$50*X4,Z4:AC4)</f>
        <v>6.4997119461540507</v>
      </c>
      <c r="AE4" s="4">
        <f>AVERAGE($AD$2:$AD4)</f>
        <v>3.2498559730770253</v>
      </c>
      <c r="AG4" s="28">
        <f t="shared" si="17"/>
        <v>69.282032302755098</v>
      </c>
      <c r="AH4" s="28">
        <f t="shared" si="18"/>
        <v>86.602540378443877</v>
      </c>
      <c r="AI4" s="28">
        <f t="shared" si="19"/>
        <v>103.92304845413265</v>
      </c>
      <c r="AJ4" s="28">
        <f t="shared" si="20"/>
        <v>128.17175976009693</v>
      </c>
      <c r="AK4" s="28">
        <f t="shared" si="21"/>
        <v>152.42047106606122</v>
      </c>
      <c r="AL4" s="28">
        <f t="shared" si="22"/>
        <v>176.66918237202552</v>
      </c>
      <c r="AM4" s="28">
        <f t="shared" si="23"/>
        <v>200.91789367798981</v>
      </c>
      <c r="AN4" s="28">
        <f t="shared" si="24"/>
        <v>228.63070659909184</v>
      </c>
      <c r="AO4" s="28">
        <f t="shared" si="25"/>
        <v>259.80762113533166</v>
      </c>
      <c r="AP4" s="28">
        <f t="shared" si="26"/>
        <v>297.91273890184692</v>
      </c>
      <c r="AQ4" s="28">
        <f>SLOPE(Taulukkotiedot!$D$53:$D$62*X4,AG4:AP4)</f>
        <v>7.147050404880372</v>
      </c>
      <c r="AR4" s="4">
        <f>AVERAGE($AQ$2:$AQ4)</f>
        <v>3.573525202440186</v>
      </c>
      <c r="AT4" s="4">
        <f>AE4*(1-Taulukkotiedot!R$2)+Laskenta!AR4*Taulukkotiedot!R$2</f>
        <v>3.4116905877586055</v>
      </c>
      <c r="AU4" s="4"/>
      <c r="AW4" s="54">
        <f>AT4+Lähtötiedot!C$22</f>
        <v>74.488100624460046</v>
      </c>
      <c r="AY4" s="3">
        <v>100</v>
      </c>
      <c r="AZ4" s="3">
        <v>3</v>
      </c>
      <c r="BA4" s="4">
        <f t="shared" si="27"/>
        <v>7.147050404880372</v>
      </c>
      <c r="BB4" s="4">
        <f t="shared" si="28"/>
        <v>6.4997119461540507</v>
      </c>
      <c r="BC4" s="59">
        <f t="shared" si="29"/>
        <v>6.8233811755172109</v>
      </c>
      <c r="BD4" s="28">
        <f>SUM(BC$2:BC4)</f>
        <v>10.235071763275815</v>
      </c>
    </row>
    <row r="5" spans="1:60" ht="16.5" customHeight="1" x14ac:dyDescent="0.25">
      <c r="A5" s="8">
        <f t="shared" ref="A5:A68" si="30">A4+1</f>
        <v>3</v>
      </c>
      <c r="B5" s="28">
        <f t="shared" si="2"/>
        <v>6928.2032302755097</v>
      </c>
      <c r="C5" s="28">
        <f t="shared" si="3"/>
        <v>8140.6387955737237</v>
      </c>
      <c r="D5" s="28">
        <f t="shared" si="4"/>
        <v>9179.8692801150501</v>
      </c>
      <c r="E5" s="28">
        <f t="shared" si="5"/>
        <v>10392.304845413264</v>
      </c>
      <c r="F5" s="28">
        <f t="shared" si="6"/>
        <v>11431.535329954591</v>
      </c>
      <c r="G5" s="28">
        <f t="shared" si="7"/>
        <v>13336.791218280356</v>
      </c>
      <c r="H5" s="28">
        <f t="shared" si="8"/>
        <v>15068.842025849233</v>
      </c>
      <c r="I5" s="2">
        <f>SLOPE(Taulukkotiedot!$D$4:$D$10*A5,Laskenta!B5:H5)</f>
        <v>7.1873242404392084</v>
      </c>
      <c r="J5">
        <f t="shared" si="9"/>
        <v>5519.8776758409804</v>
      </c>
      <c r="K5">
        <f t="shared" si="10"/>
        <v>8474.1784037558718</v>
      </c>
      <c r="L5">
        <f t="shared" si="11"/>
        <v>12470.765814495917</v>
      </c>
      <c r="M5">
        <f t="shared" si="12"/>
        <v>17147.302994931888</v>
      </c>
      <c r="N5" s="2">
        <f>SLOPE((Taulukkotiedot!$D$13:$D$16)*A5,Laskenta!J5:M5)</f>
        <v>2.3436596818201392</v>
      </c>
      <c r="P5">
        <f t="shared" si="0"/>
        <v>12.313886703589286</v>
      </c>
      <c r="Q5">
        <f t="shared" si="1"/>
        <v>8.8321495753857739</v>
      </c>
      <c r="R5">
        <f>AVERAGE($I$2:$I5)</f>
        <v>3.5936621202196037</v>
      </c>
      <c r="S5">
        <f>AVERAGE($N$2:$N5)</f>
        <v>1.2694223640882187</v>
      </c>
      <c r="U5" s="6">
        <f>R5*Taulukkotiedot!$I$2+(1-Taulukkotiedot!$I$2)*Laskenta!S5+Laskenta!Q5</f>
        <v>10.915055854119977</v>
      </c>
      <c r="V5" s="6">
        <f>R5*Taulukkotiedot!$I$2+(1-Taulukkotiedot!$I$2)*Laskenta!S5+Laskenta!Q5+P5</f>
        <v>23.228942557709264</v>
      </c>
      <c r="X5" s="4">
        <v>0.15</v>
      </c>
      <c r="Y5" s="4">
        <v>150</v>
      </c>
      <c r="Z5" s="28">
        <f t="shared" si="13"/>
        <v>65.817930687617348</v>
      </c>
      <c r="AA5" s="28">
        <f t="shared" si="14"/>
        <v>96.994845223857141</v>
      </c>
      <c r="AB5" s="28">
        <f t="shared" si="15"/>
        <v>124.70765814495918</v>
      </c>
      <c r="AC5" s="28">
        <f t="shared" si="16"/>
        <v>173.20508075688775</v>
      </c>
      <c r="AD5" s="28">
        <f>SLOPE(Taulukkotiedot!$D$47:$D$50*X5,Z5:AC5)</f>
        <v>9.749567919231076</v>
      </c>
      <c r="AE5" s="4">
        <f>AVERAGE($AD$2:$AD5)</f>
        <v>4.874783959615538</v>
      </c>
      <c r="AG5" s="28">
        <f t="shared" si="17"/>
        <v>64.177777777777806</v>
      </c>
      <c r="AH5" s="28">
        <f t="shared" si="18"/>
        <v>86.602540378443877</v>
      </c>
      <c r="AI5" s="28">
        <f t="shared" si="19"/>
        <v>103.92304845413265</v>
      </c>
      <c r="AJ5" s="28">
        <f t="shared" si="20"/>
        <v>128.17175976009693</v>
      </c>
      <c r="AK5" s="28">
        <f t="shared" si="21"/>
        <v>152.42047106606122</v>
      </c>
      <c r="AL5" s="28">
        <f t="shared" si="22"/>
        <v>176.66918237202552</v>
      </c>
      <c r="AM5" s="28">
        <f t="shared" si="23"/>
        <v>200.91789367798981</v>
      </c>
      <c r="AN5" s="28">
        <f t="shared" si="24"/>
        <v>228.63070659909184</v>
      </c>
      <c r="AO5" s="28">
        <f t="shared" si="25"/>
        <v>259.80762113533166</v>
      </c>
      <c r="AP5" s="28">
        <f t="shared" si="26"/>
        <v>297.91273890184692</v>
      </c>
      <c r="AQ5" s="28">
        <f>SLOPE(Taulukkotiedot!$D$53:$D$62*X5,AG5:AP5)</f>
        <v>10.595120330287621</v>
      </c>
      <c r="AR5" s="4">
        <f>AVERAGE($AQ$2:$AQ5)</f>
        <v>5.3289239844020448</v>
      </c>
      <c r="AT5" s="4">
        <f>AE5*(1-Taulukkotiedot!R$2)+Laskenta!AR5*Taulukkotiedot!R$2</f>
        <v>5.1018539720087919</v>
      </c>
      <c r="AU5" s="4"/>
      <c r="AW5" s="54">
        <f>AT5+Lähtötiedot!C$22</f>
        <v>76.178264008710244</v>
      </c>
      <c r="AX5" s="3"/>
      <c r="AY5" s="4">
        <v>150</v>
      </c>
      <c r="AZ5">
        <v>4</v>
      </c>
      <c r="BA5" s="4">
        <f t="shared" si="27"/>
        <v>10.595120330287621</v>
      </c>
      <c r="BB5" s="4">
        <f t="shared" si="28"/>
        <v>9.749567919231076</v>
      </c>
      <c r="BC5" s="59">
        <f t="shared" si="29"/>
        <v>10.172344124759348</v>
      </c>
      <c r="BD5" s="28">
        <f>SUM(BC$2:BC5)</f>
        <v>20.407415888035164</v>
      </c>
    </row>
    <row r="6" spans="1:60" s="3" customFormat="1" ht="16.5" customHeight="1" x14ac:dyDescent="0.25">
      <c r="A6" s="9">
        <f t="shared" si="30"/>
        <v>4</v>
      </c>
      <c r="B6" s="28">
        <f t="shared" si="2"/>
        <v>6928.2032302755097</v>
      </c>
      <c r="C6" s="28">
        <f t="shared" si="3"/>
        <v>8140.6387955737237</v>
      </c>
      <c r="D6" s="28">
        <f t="shared" si="4"/>
        <v>9179.8692801150501</v>
      </c>
      <c r="E6" s="28">
        <f t="shared" si="5"/>
        <v>10392.304845413264</v>
      </c>
      <c r="F6" s="28">
        <f t="shared" si="6"/>
        <v>11431.535329954591</v>
      </c>
      <c r="G6" s="28">
        <f t="shared" si="7"/>
        <v>13336.791218280356</v>
      </c>
      <c r="H6" s="28">
        <f t="shared" si="8"/>
        <v>15068.842025849233</v>
      </c>
      <c r="I6" s="2">
        <f>SLOPE(Taulukkotiedot!$D$4:$D$10*A6,Laskenta!B6:H6)</f>
        <v>9.583098987252276</v>
      </c>
      <c r="J6" s="3">
        <f t="shared" si="9"/>
        <v>4139.9082568807353</v>
      </c>
      <c r="K6" s="3">
        <f t="shared" si="10"/>
        <v>6355.6338028169039</v>
      </c>
      <c r="L6" s="3">
        <f t="shared" si="11"/>
        <v>9601.0638297872392</v>
      </c>
      <c r="M6" s="3">
        <f t="shared" si="12"/>
        <v>17147.302994931888</v>
      </c>
      <c r="N6" s="2">
        <f>SLOPE((Taulukkotiedot!$D$13:$D$16)*A6,Laskenta!J6:M6)</f>
        <v>2.5943867588935015</v>
      </c>
      <c r="P6" s="3">
        <f t="shared" si="0"/>
        <v>12.313886703589286</v>
      </c>
      <c r="Q6" s="3">
        <f t="shared" si="1"/>
        <v>8.8321495753857739</v>
      </c>
      <c r="R6" s="3">
        <f>AVERAGE($I$2:$I6)</f>
        <v>4.791549493626138</v>
      </c>
      <c r="S6" s="3">
        <f>AVERAGE($N$2:$N6)</f>
        <v>1.5344152430492752</v>
      </c>
      <c r="U6" s="6">
        <f>R6*Taulukkotiedot!$I$2+(1-Taulukkotiedot!$I$2)*Laskenta!S6+Laskenta!Q6</f>
        <v>11.506561806136951</v>
      </c>
      <c r="V6" s="6">
        <f>R6*Taulukkotiedot!$I$2+(1-Taulukkotiedot!$I$2)*Laskenta!S6+Laskenta!Q6+P6</f>
        <v>23.820448509726237</v>
      </c>
      <c r="X6" s="28">
        <v>0.2</v>
      </c>
      <c r="Y6" s="28">
        <v>200</v>
      </c>
      <c r="Z6" s="28">
        <f t="shared" si="13"/>
        <v>51.571428571428584</v>
      </c>
      <c r="AA6" s="28">
        <f t="shared" si="14"/>
        <v>93.766233766233782</v>
      </c>
      <c r="AB6" s="28">
        <f t="shared" si="15"/>
        <v>124.70765814495918</v>
      </c>
      <c r="AC6" s="28">
        <f t="shared" si="16"/>
        <v>173.20508075688775</v>
      </c>
      <c r="AD6" s="28">
        <f>SLOPE(Taulukkotiedot!$D$47:$D$50*X6,Z6:AC6)</f>
        <v>11.356402334852049</v>
      </c>
      <c r="AE6" s="4">
        <f>AVERAGE($AD$2:$AD6)</f>
        <v>6.1711076346628406</v>
      </c>
      <c r="AG6" s="28">
        <f t="shared" si="17"/>
        <v>48.133333333333333</v>
      </c>
      <c r="AH6" s="28">
        <f t="shared" si="18"/>
        <v>72.200000000000017</v>
      </c>
      <c r="AI6" s="28">
        <f t="shared" si="19"/>
        <v>93.766233766233782</v>
      </c>
      <c r="AJ6" s="28">
        <f t="shared" si="20"/>
        <v>128.17175976009693</v>
      </c>
      <c r="AK6" s="28">
        <f t="shared" si="21"/>
        <v>152.42047106606122</v>
      </c>
      <c r="AL6" s="28">
        <f t="shared" si="22"/>
        <v>176.66918237202552</v>
      </c>
      <c r="AM6" s="28">
        <f t="shared" si="23"/>
        <v>200.91789367798981</v>
      </c>
      <c r="AN6" s="28">
        <f t="shared" si="24"/>
        <v>228.63070659909184</v>
      </c>
      <c r="AO6" s="28">
        <f t="shared" si="25"/>
        <v>259.80762113533166</v>
      </c>
      <c r="AP6" s="28">
        <f t="shared" si="26"/>
        <v>297.91273890184692</v>
      </c>
      <c r="AQ6" s="28">
        <f>SLOPE(Taulukkotiedot!$D$53:$D$62*X6,AG6:AP6)</f>
        <v>13.105456917965867</v>
      </c>
      <c r="AR6" s="4">
        <f>AVERAGE($AQ$2:$AQ6)</f>
        <v>6.8842305711148102</v>
      </c>
      <c r="AT6" s="4">
        <f>AE6*(1-Taulukkotiedot!R$2)+Laskenta!AR6*Taulukkotiedot!R$2</f>
        <v>6.5276691028888258</v>
      </c>
      <c r="AU6" s="4"/>
      <c r="AW6" s="54">
        <f>AT6+Lähtötiedot!C$22</f>
        <v>77.604079139590269</v>
      </c>
      <c r="AY6" s="28">
        <v>200</v>
      </c>
      <c r="AZ6" s="3">
        <v>5</v>
      </c>
      <c r="BA6" s="4">
        <f t="shared" si="27"/>
        <v>13.105456917965867</v>
      </c>
      <c r="BB6" s="4">
        <f t="shared" si="28"/>
        <v>11.356402334852049</v>
      </c>
      <c r="BC6" s="59">
        <f t="shared" si="29"/>
        <v>12.230929626408958</v>
      </c>
      <c r="BD6" s="28">
        <f>SUM(BC$2:BC6)</f>
        <v>32.638345514444126</v>
      </c>
    </row>
    <row r="7" spans="1:60" s="1" customFormat="1" ht="16.5" customHeight="1" x14ac:dyDescent="0.25">
      <c r="A7" s="10">
        <f t="shared" si="30"/>
        <v>5</v>
      </c>
      <c r="B7" s="1">
        <f t="shared" si="2"/>
        <v>6928.2032302755097</v>
      </c>
      <c r="C7" s="1">
        <f t="shared" si="3"/>
        <v>8140.6387955737237</v>
      </c>
      <c r="D7" s="1">
        <f t="shared" si="4"/>
        <v>9179.8692801150501</v>
      </c>
      <c r="E7" s="1">
        <f t="shared" si="5"/>
        <v>10392.304845413264</v>
      </c>
      <c r="F7" s="1">
        <f t="shared" si="6"/>
        <v>11431.535329954591</v>
      </c>
      <c r="G7" s="1">
        <f t="shared" si="7"/>
        <v>13336.791218280356</v>
      </c>
      <c r="H7" s="1">
        <f t="shared" si="8"/>
        <v>15068.842025849233</v>
      </c>
      <c r="I7" s="2">
        <f>SLOPE(Taulukkotiedot!$D$4:$D$10*A7,Laskenta!B7:H7)</f>
        <v>11.978873734065346</v>
      </c>
      <c r="J7" s="1">
        <f t="shared" si="9"/>
        <v>3311.9266055045882</v>
      </c>
      <c r="K7" s="1">
        <f t="shared" si="10"/>
        <v>5084.5070422535227</v>
      </c>
      <c r="L7" s="1">
        <f t="shared" si="11"/>
        <v>7680.8510638297921</v>
      </c>
      <c r="M7" s="1">
        <f t="shared" si="12"/>
        <v>13884.61538461539</v>
      </c>
      <c r="N7" s="2">
        <f>SLOPE((Taulukkotiedot!$D$13:$D$16)*A7,Laskenta!J7:M7)</f>
        <v>3.973596457062428</v>
      </c>
      <c r="P7" s="1">
        <f t="shared" si="0"/>
        <v>12.313886703589286</v>
      </c>
      <c r="Q7" s="1">
        <f t="shared" si="1"/>
        <v>8.8321495753857739</v>
      </c>
      <c r="R7" s="1">
        <f>AVERAGE($I$2:$I7)</f>
        <v>5.9894368670326728</v>
      </c>
      <c r="S7" s="1">
        <f>AVERAGE($N$2:$N7)</f>
        <v>1.9409454453848005</v>
      </c>
      <c r="U7" s="6">
        <f>R7*Taulukkotiedot!$I$2+(1-Taulukkotiedot!$I$2)*Laskenta!S7+Laskenta!Q7</f>
        <v>12.19006701834733</v>
      </c>
      <c r="V7" s="6">
        <f>R7*Taulukkotiedot!$I$2+(1-Taulukkotiedot!$I$2)*Laskenta!S7+Laskenta!Q7+P7</f>
        <v>24.503953721936618</v>
      </c>
      <c r="X7" s="3">
        <v>0.25</v>
      </c>
      <c r="Y7" s="28">
        <v>250</v>
      </c>
      <c r="Z7" s="28">
        <f t="shared" si="13"/>
        <v>41.257142857142867</v>
      </c>
      <c r="AA7" s="28">
        <f t="shared" si="14"/>
        <v>75.012987012987026</v>
      </c>
      <c r="AB7" s="28">
        <f t="shared" si="15"/>
        <v>108.98113207547172</v>
      </c>
      <c r="AC7" s="28">
        <f t="shared" si="16"/>
        <v>173.20508075688775</v>
      </c>
      <c r="AD7" s="28">
        <f>SLOPE(Taulukkotiedot!$D$47:$D$50*X7,Z7:AC7)</f>
        <v>13.241894183235022</v>
      </c>
      <c r="AE7" s="4">
        <f>AVERAGE($AD$2:$AD7)</f>
        <v>7.3495720594248697</v>
      </c>
      <c r="AG7" s="28">
        <f t="shared" si="17"/>
        <v>38.506666666666682</v>
      </c>
      <c r="AH7" s="28">
        <f t="shared" si="18"/>
        <v>57.760000000000012</v>
      </c>
      <c r="AI7" s="28">
        <f t="shared" si="19"/>
        <v>75.012987012987026</v>
      </c>
      <c r="AJ7" s="28">
        <f t="shared" si="20"/>
        <v>108.98113207547172</v>
      </c>
      <c r="AK7" s="28">
        <f t="shared" si="21"/>
        <v>148.10256410256412</v>
      </c>
      <c r="AL7" s="28">
        <f t="shared" si="22"/>
        <v>176.66918237202552</v>
      </c>
      <c r="AM7" s="28">
        <f t="shared" si="23"/>
        <v>200.91789367798981</v>
      </c>
      <c r="AN7" s="28">
        <f t="shared" si="24"/>
        <v>228.63070659909184</v>
      </c>
      <c r="AO7" s="28">
        <f t="shared" si="25"/>
        <v>259.80762113533166</v>
      </c>
      <c r="AP7" s="28">
        <f t="shared" si="26"/>
        <v>297.91273890184692</v>
      </c>
      <c r="AQ7" s="28">
        <f>SLOPE(Taulukkotiedot!$D$53:$D$62*X7,AG7:AP7)</f>
        <v>15.170576988764591</v>
      </c>
      <c r="AR7" s="4">
        <f>AVERAGE($AQ$2:$AQ7)</f>
        <v>8.265288307389774</v>
      </c>
      <c r="AT7" s="4">
        <f>AE7*(1-Taulukkotiedot!R$2)+Laskenta!AR7*Taulukkotiedot!R$2</f>
        <v>7.8074301834073214</v>
      </c>
      <c r="AU7" s="4"/>
      <c r="AW7" s="54">
        <f>AT7+Lähtötiedot!C$22</f>
        <v>78.883840220108766</v>
      </c>
      <c r="AX7" s="3"/>
      <c r="AY7" s="28">
        <v>250</v>
      </c>
      <c r="AZ7" s="1">
        <v>6</v>
      </c>
      <c r="BA7" s="4">
        <f t="shared" si="27"/>
        <v>15.170576988764591</v>
      </c>
      <c r="BB7" s="4">
        <f t="shared" si="28"/>
        <v>13.241894183235022</v>
      </c>
      <c r="BC7" s="59">
        <f t="shared" si="29"/>
        <v>14.206235585999806</v>
      </c>
      <c r="BD7" s="28">
        <f>SUM(BC$2:BC7)</f>
        <v>46.844581100443932</v>
      </c>
    </row>
    <row r="8" spans="1:60" s="3" customFormat="1" ht="16.5" customHeight="1" x14ac:dyDescent="0.25">
      <c r="A8" s="9">
        <f t="shared" si="30"/>
        <v>6</v>
      </c>
      <c r="B8" s="28">
        <f t="shared" si="2"/>
        <v>5785.2564102564129</v>
      </c>
      <c r="C8" s="28">
        <f t="shared" si="3"/>
        <v>7916.6666666666688</v>
      </c>
      <c r="D8" s="28">
        <f t="shared" si="4"/>
        <v>9179.8692801150501</v>
      </c>
      <c r="E8" s="28">
        <f t="shared" si="5"/>
        <v>10392.304845413264</v>
      </c>
      <c r="F8" s="28">
        <f t="shared" si="6"/>
        <v>11431.535329954591</v>
      </c>
      <c r="G8" s="28">
        <f t="shared" si="7"/>
        <v>13336.791218280356</v>
      </c>
      <c r="H8" s="28">
        <f t="shared" si="8"/>
        <v>15068.842025849233</v>
      </c>
      <c r="I8" s="2">
        <f>SLOPE(Taulukkotiedot!$D$4:$D$10*A8,Laskenta!B8:H8)</f>
        <v>12.959545112140786</v>
      </c>
      <c r="J8" s="3">
        <f t="shared" si="9"/>
        <v>2759.9388379204902</v>
      </c>
      <c r="K8" s="3">
        <f t="shared" si="10"/>
        <v>4237.0892018779359</v>
      </c>
      <c r="L8" s="3">
        <f t="shared" si="11"/>
        <v>6400.7092198581595</v>
      </c>
      <c r="M8" s="3">
        <f t="shared" si="12"/>
        <v>11570.512820512826</v>
      </c>
      <c r="N8" s="2">
        <f>SLOPE((Taulukkotiedot!$D$13:$D$16)*A8,Laskenta!J8:M8)</f>
        <v>5.7219788981698958</v>
      </c>
      <c r="P8" s="3">
        <f t="shared" si="0"/>
        <v>12.313886703589286</v>
      </c>
      <c r="Q8" s="3">
        <f t="shared" si="1"/>
        <v>8.8321495753857739</v>
      </c>
      <c r="R8" s="3">
        <f>AVERAGE($I$2:$I8)</f>
        <v>6.9851666163338324</v>
      </c>
      <c r="S8" s="3">
        <f>AVERAGE($N$2:$N8)</f>
        <v>2.4810930814969572</v>
      </c>
      <c r="U8" s="6">
        <f>R8*Taulukkotiedot!$I$2+(1-Taulukkotiedot!$I$2)*Laskenta!S8+Laskenta!Q8</f>
        <v>12.889668394075638</v>
      </c>
      <c r="V8" s="6">
        <f>R8*Taulukkotiedot!$I$2+(1-Taulukkotiedot!$I$2)*Laskenta!S8+Laskenta!Q8+P8</f>
        <v>25.203555097664925</v>
      </c>
      <c r="X8" s="4">
        <v>0.3</v>
      </c>
      <c r="Y8" s="3">
        <v>300</v>
      </c>
      <c r="Z8" s="28">
        <f t="shared" si="13"/>
        <v>34.380952380952387</v>
      </c>
      <c r="AA8" s="28">
        <f t="shared" si="14"/>
        <v>62.510822510822528</v>
      </c>
      <c r="AB8" s="28">
        <f t="shared" si="15"/>
        <v>90.817610062893095</v>
      </c>
      <c r="AC8" s="28">
        <f t="shared" si="16"/>
        <v>160.44444444444449</v>
      </c>
      <c r="AD8" s="28">
        <f>SLOPE(Taulukkotiedot!$D$47:$D$50*X8,Z8:AC8)</f>
        <v>16.610933724215315</v>
      </c>
      <c r="AE8" s="4">
        <f>AVERAGE($AD$2:$AD8)</f>
        <v>8.6726237258235042</v>
      </c>
      <c r="AG8" s="28">
        <f t="shared" si="17"/>
        <v>32.088888888888903</v>
      </c>
      <c r="AH8" s="28">
        <f t="shared" si="18"/>
        <v>48.133333333333347</v>
      </c>
      <c r="AI8" s="28">
        <f t="shared" si="19"/>
        <v>62.510822510822528</v>
      </c>
      <c r="AJ8" s="28">
        <f t="shared" si="20"/>
        <v>90.817610062893095</v>
      </c>
      <c r="AK8" s="28">
        <f t="shared" si="21"/>
        <v>123.41880341880345</v>
      </c>
      <c r="AL8" s="28">
        <f t="shared" si="22"/>
        <v>155.26881720430111</v>
      </c>
      <c r="AM8" s="28">
        <f t="shared" si="23"/>
        <v>192.53333333333339</v>
      </c>
      <c r="AN8" s="28">
        <f t="shared" si="24"/>
        <v>228.63070659909184</v>
      </c>
      <c r="AO8" s="28">
        <f t="shared" si="25"/>
        <v>259.80762113533166</v>
      </c>
      <c r="AP8" s="28">
        <f t="shared" si="26"/>
        <v>297.91273890184692</v>
      </c>
      <c r="AQ8" s="28">
        <f>SLOPE(Taulukkotiedot!$D$53:$D$62*X8,AG8:AP8)</f>
        <v>17.515625354664834</v>
      </c>
      <c r="AR8" s="4">
        <f>AVERAGE($AQ$2:$AQ8)</f>
        <v>9.5867650284290686</v>
      </c>
      <c r="AT8" s="4">
        <f>AE8*(1-Taulukkotiedot!R$2)+Laskenta!AR8*Taulukkotiedot!R$2</f>
        <v>9.1296943771262864</v>
      </c>
      <c r="AU8" s="4"/>
      <c r="AW8" s="54">
        <f>AT8+Lähtötiedot!C$22</f>
        <v>80.206104413827731</v>
      </c>
      <c r="AY8" s="3">
        <v>300</v>
      </c>
      <c r="AZ8" s="3">
        <v>7</v>
      </c>
      <c r="BA8" s="4">
        <f t="shared" si="27"/>
        <v>17.515625354664834</v>
      </c>
      <c r="BB8" s="4">
        <f t="shared" si="28"/>
        <v>16.610933724215315</v>
      </c>
      <c r="BC8" s="59">
        <f t="shared" si="29"/>
        <v>17.063279539440074</v>
      </c>
      <c r="BD8" s="28">
        <f>SUM(BC$2:BC8)</f>
        <v>63.907860639884007</v>
      </c>
    </row>
    <row r="9" spans="1:60" ht="16.5" customHeight="1" x14ac:dyDescent="0.25">
      <c r="A9" s="8">
        <f t="shared" si="30"/>
        <v>7</v>
      </c>
      <c r="B9" s="28">
        <f t="shared" si="2"/>
        <v>4958.79120879121</v>
      </c>
      <c r="C9" s="28">
        <f t="shared" si="3"/>
        <v>6785.7142857142881</v>
      </c>
      <c r="D9" s="28">
        <f t="shared" si="4"/>
        <v>8595.238095238099</v>
      </c>
      <c r="E9" s="28">
        <f t="shared" si="5"/>
        <v>10314.285714285717</v>
      </c>
      <c r="F9" s="28">
        <f t="shared" si="6"/>
        <v>11431.535329954591</v>
      </c>
      <c r="G9" s="28">
        <f t="shared" si="7"/>
        <v>13336.791218280356</v>
      </c>
      <c r="H9" s="28">
        <f t="shared" si="8"/>
        <v>15068.842025849233</v>
      </c>
      <c r="I9" s="2">
        <f>SLOPE(Taulukkotiedot!$D$4:$D$10*A9,Laskenta!B9:H9)</f>
        <v>13.320074742564943</v>
      </c>
      <c r="J9">
        <f t="shared" si="9"/>
        <v>2365.6618610747059</v>
      </c>
      <c r="K9">
        <f t="shared" si="10"/>
        <v>3631.7907444668026</v>
      </c>
      <c r="L9">
        <f t="shared" si="11"/>
        <v>5486.3221884498507</v>
      </c>
      <c r="M9">
        <f t="shared" si="12"/>
        <v>9917.58241758242</v>
      </c>
      <c r="N9" s="2">
        <f>SLOPE((Taulukkotiedot!$D$13:$D$16)*A9,Laskenta!J9:M9)</f>
        <v>7.7882490558423605</v>
      </c>
      <c r="P9">
        <f t="shared" si="0"/>
        <v>12.313886703589286</v>
      </c>
      <c r="Q9">
        <f t="shared" si="1"/>
        <v>8.8321495753857739</v>
      </c>
      <c r="R9">
        <f>AVERAGE($I$2:$I9)</f>
        <v>7.7770301321127207</v>
      </c>
      <c r="S9">
        <f>AVERAGE($N$2:$N9)</f>
        <v>3.1444875782901325</v>
      </c>
      <c r="U9" s="6">
        <f>R9*Taulukkotiedot!$I$2+(1-Taulukkotiedot!$I$2)*Laskenta!S9+Laskenta!Q9</f>
        <v>13.598027047513812</v>
      </c>
      <c r="V9" s="6">
        <f>R9*Taulukkotiedot!$I$2+(1-Taulukkotiedot!$I$2)*Laskenta!S9+Laskenta!Q9+P9</f>
        <v>25.9119137511031</v>
      </c>
      <c r="X9" s="28">
        <v>0.35</v>
      </c>
      <c r="Y9" s="4">
        <v>350</v>
      </c>
      <c r="Z9" s="28">
        <f t="shared" si="13"/>
        <v>29.469387755102051</v>
      </c>
      <c r="AA9" s="28">
        <f t="shared" si="14"/>
        <v>53.580705009276464</v>
      </c>
      <c r="AB9" s="28">
        <f t="shared" si="15"/>
        <v>77.843665768194086</v>
      </c>
      <c r="AC9" s="28">
        <f t="shared" si="16"/>
        <v>137.52380952380955</v>
      </c>
      <c r="AD9" s="28">
        <f>SLOPE(Taulukkotiedot!$D$47:$D$50*X9,Z9:AC9)</f>
        <v>22.609326457959735</v>
      </c>
      <c r="AE9" s="4">
        <f>AVERAGE($AD$2:$AD9)</f>
        <v>10.414711567340534</v>
      </c>
      <c r="AG9" s="28">
        <f t="shared" si="17"/>
        <v>27.504761904761917</v>
      </c>
      <c r="AH9" s="28">
        <f t="shared" si="18"/>
        <v>41.257142857142867</v>
      </c>
      <c r="AI9" s="28">
        <f t="shared" si="19"/>
        <v>53.580705009276464</v>
      </c>
      <c r="AJ9" s="28">
        <f t="shared" si="20"/>
        <v>77.843665768194086</v>
      </c>
      <c r="AK9" s="28">
        <f t="shared" si="21"/>
        <v>105.78754578754582</v>
      </c>
      <c r="AL9" s="28">
        <f t="shared" si="22"/>
        <v>133.08755760368666</v>
      </c>
      <c r="AM9" s="28">
        <f t="shared" si="23"/>
        <v>165.02857142857147</v>
      </c>
      <c r="AN9" s="28">
        <f t="shared" si="24"/>
        <v>206.28571428571433</v>
      </c>
      <c r="AO9" s="28">
        <f t="shared" si="25"/>
        <v>257.85714285714295</v>
      </c>
      <c r="AP9" s="28">
        <f t="shared" si="26"/>
        <v>297.91273890184692</v>
      </c>
      <c r="AQ9" s="28">
        <f>SLOPE(Taulukkotiedot!$D$53:$D$62*X9,AG9:AP9)</f>
        <v>20.525749548799485</v>
      </c>
      <c r="AR9" s="4">
        <f>AVERAGE($AQ$2:$AQ9)</f>
        <v>10.95413809347537</v>
      </c>
      <c r="AT9" s="4">
        <f>AE9*(1-Taulukkotiedot!R$2)+Laskenta!AR9*Taulukkotiedot!R$2</f>
        <v>10.684424830407952</v>
      </c>
      <c r="AU9" s="4"/>
      <c r="AW9" s="54">
        <f>AT9+Lähtötiedot!C$22</f>
        <v>81.760834867109395</v>
      </c>
      <c r="AX9" s="3"/>
      <c r="AY9" s="4">
        <v>350</v>
      </c>
      <c r="AZ9" s="3">
        <v>8</v>
      </c>
      <c r="BA9" s="4">
        <f t="shared" si="27"/>
        <v>20.525749548799485</v>
      </c>
      <c r="BB9" s="4">
        <f t="shared" si="28"/>
        <v>22.609326457959735</v>
      </c>
      <c r="BC9" s="59">
        <f t="shared" si="29"/>
        <v>21.56753800337961</v>
      </c>
      <c r="BD9" s="28">
        <f>SUM(BC$2:BC9)</f>
        <v>85.475398643263617</v>
      </c>
    </row>
    <row r="10" spans="1:60" s="3" customFormat="1" ht="16.5" customHeight="1" x14ac:dyDescent="0.25">
      <c r="A10" s="9">
        <f t="shared" si="30"/>
        <v>8</v>
      </c>
      <c r="B10" s="28">
        <f t="shared" si="2"/>
        <v>4338.9423076923085</v>
      </c>
      <c r="C10" s="28">
        <f t="shared" si="3"/>
        <v>5937.5000000000027</v>
      </c>
      <c r="D10" s="28">
        <f t="shared" si="4"/>
        <v>7520.8333333333367</v>
      </c>
      <c r="E10" s="28">
        <f t="shared" si="5"/>
        <v>9025.0000000000036</v>
      </c>
      <c r="F10" s="28">
        <f t="shared" si="6"/>
        <v>11281.250000000004</v>
      </c>
      <c r="G10" s="28">
        <f t="shared" si="7"/>
        <v>13336.791218280356</v>
      </c>
      <c r="H10" s="28">
        <f t="shared" si="8"/>
        <v>15068.842025849233</v>
      </c>
      <c r="I10" s="2">
        <f>SLOPE(Taulukkotiedot!$D$4:$D$10*A10,Laskenta!B10:H10)</f>
        <v>14.036828824211815</v>
      </c>
      <c r="J10" s="3">
        <f t="shared" si="9"/>
        <v>2069.9541284403676</v>
      </c>
      <c r="K10" s="3">
        <f t="shared" si="10"/>
        <v>3177.8169014084519</v>
      </c>
      <c r="L10" s="3">
        <f t="shared" si="11"/>
        <v>4800.5319148936196</v>
      </c>
      <c r="M10" s="3">
        <f t="shared" si="12"/>
        <v>8677.8846153846171</v>
      </c>
      <c r="N10" s="2">
        <f>SLOPE((Taulukkotiedot!$D$13:$D$16)*A10,Laskenta!J10:M10)</f>
        <v>10.17240693007982</v>
      </c>
      <c r="P10" s="3">
        <f t="shared" si="0"/>
        <v>12.313886703589286</v>
      </c>
      <c r="Q10" s="3">
        <f t="shared" si="1"/>
        <v>8.8321495753857739</v>
      </c>
      <c r="R10" s="3">
        <f>AVERAGE($I$2:$I10)</f>
        <v>8.4725633201237311</v>
      </c>
      <c r="S10" s="3">
        <f>AVERAGE($N$2:$N10)</f>
        <v>3.9253675062667646</v>
      </c>
      <c r="U10" s="6">
        <f>R10*Taulukkotiedot!$I$2+(1-Taulukkotiedot!$I$2)*Laskenta!S10+Laskenta!Q10</f>
        <v>14.349035616502476</v>
      </c>
      <c r="V10" s="6">
        <f>R10*Taulukkotiedot!$I$2+(1-Taulukkotiedot!$I$2)*Laskenta!S10+Laskenta!Q10+P10</f>
        <v>26.662922320091763</v>
      </c>
      <c r="X10" s="3">
        <v>0.4</v>
      </c>
      <c r="Y10" s="28">
        <v>400</v>
      </c>
      <c r="Z10" s="28">
        <f t="shared" si="13"/>
        <v>25.785714285714292</v>
      </c>
      <c r="AA10" s="28">
        <f t="shared" si="14"/>
        <v>46.883116883116891</v>
      </c>
      <c r="AB10" s="28">
        <f t="shared" si="15"/>
        <v>68.113207547169822</v>
      </c>
      <c r="AC10" s="28">
        <f t="shared" si="16"/>
        <v>120.33333333333337</v>
      </c>
      <c r="AD10" s="28">
        <f>SLOPE(Taulukkotiedot!$D$47:$D$50*X10,Z10:AC10)</f>
        <v>29.530548843049448</v>
      </c>
      <c r="AE10" s="4">
        <f>AVERAGE($AD$2:$AD10)</f>
        <v>12.538693486863746</v>
      </c>
      <c r="AG10" s="28">
        <f t="shared" si="17"/>
        <v>24.066666666666666</v>
      </c>
      <c r="AH10" s="28">
        <f t="shared" si="18"/>
        <v>36.100000000000009</v>
      </c>
      <c r="AI10" s="28">
        <f t="shared" si="19"/>
        <v>46.883116883116891</v>
      </c>
      <c r="AJ10" s="28">
        <f t="shared" si="20"/>
        <v>68.113207547169822</v>
      </c>
      <c r="AK10" s="28">
        <f t="shared" si="21"/>
        <v>92.564102564102583</v>
      </c>
      <c r="AL10" s="28">
        <f t="shared" si="22"/>
        <v>116.45161290322584</v>
      </c>
      <c r="AM10" s="28">
        <f t="shared" si="23"/>
        <v>144.40000000000003</v>
      </c>
      <c r="AN10" s="28">
        <f t="shared" si="24"/>
        <v>180.5</v>
      </c>
      <c r="AO10" s="28">
        <f t="shared" si="25"/>
        <v>225.62500000000006</v>
      </c>
      <c r="AP10" s="28">
        <f t="shared" si="26"/>
        <v>277.69230769230774</v>
      </c>
      <c r="AQ10" s="28">
        <f>SLOPE(Taulukkotiedot!$D$53:$D$62*X10,AG10:AP10)</f>
        <v>25.873622329688267</v>
      </c>
      <c r="AR10" s="4">
        <f>AVERAGE($AQ$2:$AQ10)</f>
        <v>12.611858564165694</v>
      </c>
      <c r="AT10" s="4">
        <f>AE10*(1-Taulukkotiedot!R$2)+Laskenta!AR10*Taulukkotiedot!R$2</f>
        <v>12.57527602551472</v>
      </c>
      <c r="AU10" s="4"/>
      <c r="AW10" s="54">
        <f>AT10+Lähtötiedot!C$22</f>
        <v>83.651686062216172</v>
      </c>
      <c r="AY10" s="28">
        <v>400</v>
      </c>
      <c r="AZ10" s="3">
        <v>9</v>
      </c>
      <c r="BA10" s="4">
        <f t="shared" si="27"/>
        <v>25.873622329688267</v>
      </c>
      <c r="BB10" s="4">
        <f t="shared" si="28"/>
        <v>29.530548843049448</v>
      </c>
      <c r="BC10" s="59">
        <f t="shared" si="29"/>
        <v>27.70208558636886</v>
      </c>
      <c r="BD10" s="28">
        <f>SUM(BC$2:BC10)</f>
        <v>113.17748422963248</v>
      </c>
    </row>
    <row r="11" spans="1:60" ht="16.5" customHeight="1" x14ac:dyDescent="0.25">
      <c r="A11" s="8">
        <f t="shared" si="30"/>
        <v>9</v>
      </c>
      <c r="B11" s="28">
        <f t="shared" si="2"/>
        <v>3856.8376068376087</v>
      </c>
      <c r="C11" s="28">
        <f t="shared" si="3"/>
        <v>5277.7777777777801</v>
      </c>
      <c r="D11" s="28">
        <f t="shared" si="4"/>
        <v>6685.1851851851889</v>
      </c>
      <c r="E11" s="28">
        <f t="shared" si="5"/>
        <v>8022.2222222222254</v>
      </c>
      <c r="F11" s="28">
        <f t="shared" si="6"/>
        <v>10027.777777777781</v>
      </c>
      <c r="G11" s="28">
        <f t="shared" si="7"/>
        <v>13336.791218280356</v>
      </c>
      <c r="H11" s="28">
        <f t="shared" si="8"/>
        <v>15068.842025849233</v>
      </c>
      <c r="I11" s="2">
        <f>SLOPE(Taulukkotiedot!$D$4:$D$10*A11,Laskenta!B11:H11)</f>
        <v>14.938530242028909</v>
      </c>
      <c r="J11">
        <f t="shared" si="9"/>
        <v>1839.9592252803268</v>
      </c>
      <c r="K11">
        <f t="shared" si="10"/>
        <v>2824.7261345852908</v>
      </c>
      <c r="L11">
        <f t="shared" si="11"/>
        <v>4267.1394799054397</v>
      </c>
      <c r="M11">
        <f t="shared" si="12"/>
        <v>7713.6752136752175</v>
      </c>
      <c r="N11" s="2">
        <f>SLOPE((Taulukkotiedot!$D$13:$D$16)*A11,Laskenta!J11:M11)</f>
        <v>12.874452520882263</v>
      </c>
      <c r="P11">
        <f t="shared" si="0"/>
        <v>12.313886703589286</v>
      </c>
      <c r="Q11">
        <f t="shared" si="1"/>
        <v>8.8321495753857739</v>
      </c>
      <c r="R11">
        <f>AVERAGE($I$2:$I11)</f>
        <v>9.1191600123142482</v>
      </c>
      <c r="S11">
        <f>AVERAGE($N$2:$N11)</f>
        <v>4.8202760077283147</v>
      </c>
      <c r="U11" s="6">
        <f>R11*Taulukkotiedot!$I$2+(1-Taulukkotiedot!$I$2)*Laskenta!S11+Laskenta!Q11</f>
        <v>15.157034984719164</v>
      </c>
      <c r="V11" s="6">
        <f>R11*Taulukkotiedot!$I$2+(1-Taulukkotiedot!$I$2)*Laskenta!S11+Laskenta!Q11+P11</f>
        <v>27.470921688308451</v>
      </c>
      <c r="X11" s="4">
        <v>0.45</v>
      </c>
      <c r="Y11" s="28">
        <v>450</v>
      </c>
      <c r="Z11" s="28">
        <f t="shared" si="13"/>
        <v>22.920634920634924</v>
      </c>
      <c r="AA11" s="28">
        <f t="shared" si="14"/>
        <v>41.673881673881681</v>
      </c>
      <c r="AB11" s="28">
        <f t="shared" si="15"/>
        <v>60.545073375262064</v>
      </c>
      <c r="AC11" s="28">
        <f t="shared" si="16"/>
        <v>106.96296296296298</v>
      </c>
      <c r="AD11" s="28">
        <f>SLOPE(Taulukkotiedot!$D$47:$D$50*X11,Z11:AC11)</f>
        <v>37.374600879484468</v>
      </c>
      <c r="AE11" s="4">
        <f>AVERAGE($AD$2:$AD11)</f>
        <v>15.022284226125819</v>
      </c>
      <c r="AG11" s="28">
        <f t="shared" si="17"/>
        <v>21.392592592592596</v>
      </c>
      <c r="AH11" s="28">
        <f t="shared" si="18"/>
        <v>32.088888888888896</v>
      </c>
      <c r="AI11" s="28">
        <f t="shared" si="19"/>
        <v>41.673881673881681</v>
      </c>
      <c r="AJ11" s="28">
        <f t="shared" si="20"/>
        <v>60.545073375262064</v>
      </c>
      <c r="AK11" s="28">
        <f t="shared" si="21"/>
        <v>82.279202279202295</v>
      </c>
      <c r="AL11" s="28">
        <f t="shared" si="22"/>
        <v>103.5125448028674</v>
      </c>
      <c r="AM11" s="28">
        <f t="shared" si="23"/>
        <v>128.35555555555558</v>
      </c>
      <c r="AN11" s="28">
        <f t="shared" si="24"/>
        <v>160.44444444444446</v>
      </c>
      <c r="AO11" s="28">
        <f t="shared" si="25"/>
        <v>200.5555555555556</v>
      </c>
      <c r="AP11" s="28">
        <f t="shared" si="26"/>
        <v>246.83760683760687</v>
      </c>
      <c r="AQ11" s="28">
        <f>SLOPE(Taulukkotiedot!$D$53:$D$62*X11,AG11:AP11)</f>
        <v>32.746303261011718</v>
      </c>
      <c r="AR11" s="4">
        <f>AVERAGE($AQ$2:$AQ11)</f>
        <v>14.625303033850296</v>
      </c>
      <c r="AT11" s="4">
        <f>AE11*(1-Taulukkotiedot!R$2)+Laskenta!AR11*Taulukkotiedot!R$2</f>
        <v>14.823793629988057</v>
      </c>
      <c r="AU11" s="4"/>
      <c r="AW11" s="54">
        <f>AT11+Lähtötiedot!C$22</f>
        <v>85.900203666689507</v>
      </c>
      <c r="AX11" s="3"/>
      <c r="AY11" s="28">
        <v>450</v>
      </c>
      <c r="AZ11" s="4">
        <v>10</v>
      </c>
      <c r="BA11" s="4">
        <f t="shared" si="27"/>
        <v>32.746303261011718</v>
      </c>
      <c r="BB11" s="4">
        <f t="shared" si="28"/>
        <v>37.374600879484468</v>
      </c>
      <c r="BC11" s="59">
        <f t="shared" si="29"/>
        <v>35.06045207024809</v>
      </c>
      <c r="BD11" s="28">
        <f>SUM(BC$2:BC11)</f>
        <v>148.23793629988057</v>
      </c>
    </row>
    <row r="12" spans="1:60" s="4" customFormat="1" ht="16.5" customHeight="1" x14ac:dyDescent="0.25">
      <c r="A12" s="11">
        <f t="shared" si="30"/>
        <v>10</v>
      </c>
      <c r="B12" s="28">
        <f t="shared" si="2"/>
        <v>3471.1538461538476</v>
      </c>
      <c r="C12" s="28">
        <f t="shared" si="3"/>
        <v>4750.0000000000018</v>
      </c>
      <c r="D12" s="28">
        <f t="shared" si="4"/>
        <v>6016.6666666666688</v>
      </c>
      <c r="E12" s="28">
        <f t="shared" si="5"/>
        <v>7220.0000000000027</v>
      </c>
      <c r="F12" s="28">
        <f t="shared" si="6"/>
        <v>9025.0000000000036</v>
      </c>
      <c r="G12" s="28">
        <f t="shared" si="7"/>
        <v>12033.333333333338</v>
      </c>
      <c r="H12" s="28">
        <f t="shared" si="8"/>
        <v>15041.666666666673</v>
      </c>
      <c r="I12" s="2">
        <f>SLOPE(Taulukkotiedot!$D$4:$D$10*A12,Laskenta!B12:H12)</f>
        <v>16.738054684634996</v>
      </c>
      <c r="J12" s="4">
        <f t="shared" si="9"/>
        <v>1655.9633027522941</v>
      </c>
      <c r="K12" s="4">
        <f t="shared" si="10"/>
        <v>2542.2535211267614</v>
      </c>
      <c r="L12" s="4">
        <f t="shared" si="11"/>
        <v>3840.4255319148961</v>
      </c>
      <c r="M12" s="4">
        <f t="shared" si="12"/>
        <v>6942.3076923076951</v>
      </c>
      <c r="N12" s="2">
        <f>SLOPE((Taulukkotiedot!$D$13:$D$16)*A12,Laskenta!J12:M12)</f>
        <v>15.894385828249712</v>
      </c>
      <c r="P12" s="4">
        <f t="shared" si="0"/>
        <v>12.313886703589286</v>
      </c>
      <c r="Q12" s="4">
        <f t="shared" si="1"/>
        <v>8.8321495753857739</v>
      </c>
      <c r="R12" s="4">
        <f>AVERAGE($I$2:$I12)</f>
        <v>9.8117868007070417</v>
      </c>
      <c r="S12" s="4">
        <f>AVERAGE($N$2:$N12)</f>
        <v>5.8270132641393504</v>
      </c>
      <c r="U12" s="6">
        <f>R12*Taulukkotiedot!$I$2+(1-Taulukkotiedot!$I$2)*Laskenta!S12+Laskenta!Q12</f>
        <v>16.053833577323815</v>
      </c>
      <c r="V12" s="6">
        <f>R12*Taulukkotiedot!$I$2+(1-Taulukkotiedot!$I$2)*Laskenta!S12+Laskenta!Q12+P12</f>
        <v>28.367720280913101</v>
      </c>
      <c r="X12" s="28">
        <v>0.5</v>
      </c>
      <c r="Y12" s="3">
        <v>500</v>
      </c>
      <c r="Z12" s="28">
        <f t="shared" si="13"/>
        <v>20.628571428571433</v>
      </c>
      <c r="AA12" s="28">
        <f t="shared" si="14"/>
        <v>37.506493506493513</v>
      </c>
      <c r="AB12" s="28">
        <f t="shared" si="15"/>
        <v>54.49056603773586</v>
      </c>
      <c r="AC12" s="28">
        <f t="shared" si="16"/>
        <v>96.266666666666694</v>
      </c>
      <c r="AD12" s="28">
        <f>SLOPE(Taulukkotiedot!$D$47:$D$50*X12,Z12:AC12)</f>
        <v>46.141482567264767</v>
      </c>
      <c r="AE12" s="4">
        <f>AVERAGE($AD$2:$AD12)</f>
        <v>17.851302257138453</v>
      </c>
      <c r="AG12" s="28">
        <f t="shared" si="17"/>
        <v>19.253333333333341</v>
      </c>
      <c r="AH12" s="28">
        <f t="shared" si="18"/>
        <v>28.880000000000006</v>
      </c>
      <c r="AI12" s="28">
        <f t="shared" si="19"/>
        <v>37.506493506493513</v>
      </c>
      <c r="AJ12" s="28">
        <f t="shared" si="20"/>
        <v>54.49056603773586</v>
      </c>
      <c r="AK12" s="28">
        <f t="shared" si="21"/>
        <v>74.051282051282058</v>
      </c>
      <c r="AL12" s="28">
        <f t="shared" si="22"/>
        <v>93.161290322580669</v>
      </c>
      <c r="AM12" s="28">
        <f t="shared" si="23"/>
        <v>115.52000000000002</v>
      </c>
      <c r="AN12" s="28">
        <f t="shared" si="24"/>
        <v>144.40000000000003</v>
      </c>
      <c r="AO12" s="28">
        <f t="shared" si="25"/>
        <v>180.50000000000003</v>
      </c>
      <c r="AP12" s="28">
        <f t="shared" si="26"/>
        <v>222.15384615384622</v>
      </c>
      <c r="AQ12" s="28">
        <f>SLOPE(Taulukkotiedot!$D$53:$D$62*X12,AG12:AP12)</f>
        <v>40.42753489013792</v>
      </c>
      <c r="AR12" s="4">
        <f>AVERAGE($AQ$2:$AQ12)</f>
        <v>16.97096047533099</v>
      </c>
      <c r="AT12" s="4">
        <f>AE12*(1-Taulukkotiedot!R$2)+Laskenta!AR12*Taulukkotiedot!R$2</f>
        <v>17.41113136623472</v>
      </c>
      <c r="AW12" s="54">
        <f>AT12+Lähtötiedot!C$22</f>
        <v>88.487541402936159</v>
      </c>
      <c r="AX12" s="3"/>
      <c r="AY12" s="3">
        <v>500</v>
      </c>
      <c r="AZ12" s="28">
        <v>11</v>
      </c>
      <c r="BA12" s="4">
        <f t="shared" si="27"/>
        <v>40.42753489013792</v>
      </c>
      <c r="BB12" s="4">
        <f t="shared" si="28"/>
        <v>46.141482567264767</v>
      </c>
      <c r="BC12" s="59">
        <f t="shared" si="29"/>
        <v>43.28450872870134</v>
      </c>
      <c r="BD12" s="28">
        <f>SUM(BC$2:BC12)</f>
        <v>191.5224450285819</v>
      </c>
    </row>
    <row r="13" spans="1:60" x14ac:dyDescent="0.25">
      <c r="A13" s="8">
        <f t="shared" si="30"/>
        <v>11</v>
      </c>
      <c r="B13" s="28">
        <f t="shared" si="2"/>
        <v>3155.5944055944065</v>
      </c>
      <c r="C13" s="28">
        <f t="shared" si="3"/>
        <v>4318.1818181818198</v>
      </c>
      <c r="D13" s="28">
        <f t="shared" si="4"/>
        <v>5469.6969696969727</v>
      </c>
      <c r="E13" s="28">
        <f t="shared" si="5"/>
        <v>6563.6363636363658</v>
      </c>
      <c r="F13" s="28">
        <f t="shared" si="6"/>
        <v>8204.5454545454577</v>
      </c>
      <c r="G13" s="28">
        <f t="shared" si="7"/>
        <v>10939.393939393945</v>
      </c>
      <c r="H13" s="28">
        <f t="shared" si="8"/>
        <v>13674.242424242431</v>
      </c>
      <c r="I13" s="2">
        <f>SLOPE(Taulukkotiedot!$D$4:$D$10*A13,Laskenta!B13:H13)</f>
        <v>20.253046168408339</v>
      </c>
      <c r="J13">
        <f t="shared" si="9"/>
        <v>1505.4211843202675</v>
      </c>
      <c r="K13">
        <f t="shared" si="10"/>
        <v>2311.1395646606925</v>
      </c>
      <c r="L13">
        <f t="shared" si="11"/>
        <v>3491.2959381044502</v>
      </c>
      <c r="M13">
        <f t="shared" si="12"/>
        <v>6311.1888111888129</v>
      </c>
      <c r="N13" s="2">
        <f>SLOPE((Taulukkotiedot!$D$13:$D$16)*A13,Laskenta!J13:M13)</f>
        <v>19.232206852182156</v>
      </c>
      <c r="P13">
        <f t="shared" si="0"/>
        <v>12.313886703589286</v>
      </c>
      <c r="Q13">
        <f t="shared" si="1"/>
        <v>8.8321495753857739</v>
      </c>
      <c r="R13">
        <f>AVERAGE($I$2:$I13)</f>
        <v>10.681891748015483</v>
      </c>
      <c r="S13">
        <f>AVERAGE($N$2:$N13)</f>
        <v>6.9441127298095848</v>
      </c>
      <c r="U13" s="6">
        <f>R13*Taulukkotiedot!$I$2+(1-Taulukkotiedot!$I$2)*Laskenta!S13+Laskenta!Q13</f>
        <v>17.084484961567423</v>
      </c>
      <c r="V13" s="6">
        <f>R13*Taulukkotiedot!$I$2+(1-Taulukkotiedot!$I$2)*Laskenta!S13+Laskenta!Q13+P13</f>
        <v>29.398371665156709</v>
      </c>
      <c r="X13" s="3">
        <v>0.55000000000000004</v>
      </c>
      <c r="Y13" s="4">
        <v>550</v>
      </c>
      <c r="Z13" s="28">
        <f t="shared" si="13"/>
        <v>18.753246753246756</v>
      </c>
      <c r="AA13" s="28">
        <f t="shared" si="14"/>
        <v>34.096812278630466</v>
      </c>
      <c r="AB13" s="28">
        <f t="shared" si="15"/>
        <v>49.536878216123505</v>
      </c>
      <c r="AC13" s="28">
        <f t="shared" si="16"/>
        <v>87.51515151515153</v>
      </c>
      <c r="AD13" s="28">
        <f>SLOPE(Taulukkotiedot!$D$47:$D$50*X13,Z13:AC13)</f>
        <v>55.831193906390396</v>
      </c>
      <c r="AE13" s="4">
        <f>AVERAGE($AD$2:$AD13)</f>
        <v>21.016293227909447</v>
      </c>
      <c r="AG13" s="28">
        <f t="shared" si="17"/>
        <v>17.503030303030307</v>
      </c>
      <c r="AH13" s="28">
        <f t="shared" si="18"/>
        <v>26.254545454545461</v>
      </c>
      <c r="AI13" s="28">
        <f t="shared" si="19"/>
        <v>34.096812278630466</v>
      </c>
      <c r="AJ13" s="28">
        <f t="shared" si="20"/>
        <v>49.536878216123505</v>
      </c>
      <c r="AK13" s="28">
        <f t="shared" si="21"/>
        <v>67.31934731934733</v>
      </c>
      <c r="AL13" s="28">
        <f t="shared" si="22"/>
        <v>84.69208211143696</v>
      </c>
      <c r="AM13" s="28">
        <f t="shared" si="23"/>
        <v>105.01818181818184</v>
      </c>
      <c r="AN13" s="28">
        <f t="shared" si="24"/>
        <v>131.27272727272728</v>
      </c>
      <c r="AO13" s="28">
        <f t="shared" si="25"/>
        <v>164.09090909090912</v>
      </c>
      <c r="AP13" s="28">
        <f t="shared" si="26"/>
        <v>201.95804195804197</v>
      </c>
      <c r="AQ13" s="28">
        <f>SLOPE(Taulukkotiedot!$D$53:$D$62*X13,AG13:AP13)</f>
        <v>48.917317217066888</v>
      </c>
      <c r="AR13" s="4">
        <f>AVERAGE($AQ$2:$AQ13)</f>
        <v>19.633156870475649</v>
      </c>
      <c r="AT13" s="4">
        <f>AE13*(1-Taulukkotiedot!R$2)+Laskenta!AR13*Taulukkotiedot!R$2</f>
        <v>20.324725049192548</v>
      </c>
      <c r="AU13" s="4"/>
      <c r="AW13" s="54">
        <f>AT13+Lähtötiedot!C$22</f>
        <v>91.401135085893998</v>
      </c>
      <c r="AX13" s="3"/>
      <c r="AY13" s="4">
        <v>550</v>
      </c>
      <c r="AZ13" s="3">
        <v>12</v>
      </c>
      <c r="BA13" s="4">
        <f t="shared" si="27"/>
        <v>48.917317217066888</v>
      </c>
      <c r="BB13" s="4">
        <f t="shared" si="28"/>
        <v>55.831193906390396</v>
      </c>
      <c r="BC13" s="59">
        <f t="shared" si="29"/>
        <v>52.374255561728646</v>
      </c>
      <c r="BD13" s="28">
        <f>SUM(BC$2:BC13)</f>
        <v>243.89670059031056</v>
      </c>
    </row>
    <row r="14" spans="1:60" s="3" customFormat="1" x14ac:dyDescent="0.25">
      <c r="A14" s="9">
        <f t="shared" si="30"/>
        <v>12</v>
      </c>
      <c r="B14" s="28">
        <f t="shared" si="2"/>
        <v>2892.6282051282064</v>
      </c>
      <c r="C14" s="28">
        <f t="shared" si="3"/>
        <v>3958.3333333333344</v>
      </c>
      <c r="D14" s="28">
        <f t="shared" si="4"/>
        <v>5013.8888888888914</v>
      </c>
      <c r="E14" s="28">
        <f t="shared" si="5"/>
        <v>6016.6666666666688</v>
      </c>
      <c r="F14" s="28">
        <f t="shared" si="6"/>
        <v>7520.8333333333348</v>
      </c>
      <c r="G14" s="28">
        <f t="shared" si="7"/>
        <v>10027.777777777783</v>
      </c>
      <c r="H14" s="28">
        <f t="shared" si="8"/>
        <v>12534.722222222228</v>
      </c>
      <c r="I14" s="2">
        <f>SLOPE(Taulukkotiedot!$D$4:$D$10*A14,Laskenta!B14:H14)</f>
        <v>24.102798745874388</v>
      </c>
      <c r="J14" s="3">
        <f t="shared" si="9"/>
        <v>1379.9694189602451</v>
      </c>
      <c r="K14" s="3">
        <f t="shared" si="10"/>
        <v>2118.544600938968</v>
      </c>
      <c r="L14" s="3">
        <f t="shared" si="11"/>
        <v>3200.3546099290797</v>
      </c>
      <c r="M14" s="3">
        <f t="shared" si="12"/>
        <v>5785.2564102564129</v>
      </c>
      <c r="N14" s="2">
        <f>SLOPE((Taulukkotiedot!$D$13:$D$16)*A14,Laskenta!J14:M14)</f>
        <v>22.887915592679583</v>
      </c>
      <c r="P14" s="3">
        <f t="shared" si="0"/>
        <v>12.313886703589286</v>
      </c>
      <c r="Q14" s="3">
        <f t="shared" si="1"/>
        <v>8.8321495753857739</v>
      </c>
      <c r="R14" s="3">
        <f>AVERAGE($I$2:$I14)</f>
        <v>11.714269209389245</v>
      </c>
      <c r="S14" s="3">
        <f>AVERAGE($N$2:$N14)</f>
        <v>8.1705591038765064</v>
      </c>
      <c r="U14" s="6">
        <f>R14*Taulukkotiedot!$I$2+(1-Taulukkotiedot!$I$2)*Laskenta!S14+Laskenta!Q14</f>
        <v>18.243007216191739</v>
      </c>
      <c r="V14" s="6">
        <f>R14*Taulukkotiedot!$I$2+(1-Taulukkotiedot!$I$2)*Laskenta!S14+Laskenta!Q14+P14</f>
        <v>30.556893919781025</v>
      </c>
      <c r="X14" s="4">
        <v>0.6</v>
      </c>
      <c r="Y14" s="28">
        <v>600</v>
      </c>
      <c r="Z14" s="28">
        <f t="shared" si="13"/>
        <v>17.190476190476193</v>
      </c>
      <c r="AA14" s="28">
        <f t="shared" si="14"/>
        <v>31.255411255411264</v>
      </c>
      <c r="AB14" s="28">
        <f t="shared" si="15"/>
        <v>45.408805031446548</v>
      </c>
      <c r="AC14" s="28">
        <f t="shared" si="16"/>
        <v>80.222222222222243</v>
      </c>
      <c r="AD14" s="28">
        <f>SLOPE(Taulukkotiedot!$D$47:$D$50*X14,Z14:AC14)</f>
        <v>66.443734896861258</v>
      </c>
      <c r="AE14" s="4">
        <f>AVERAGE($AD$2:$AD14)</f>
        <v>24.510711817828817</v>
      </c>
      <c r="AG14" s="28">
        <f t="shared" si="17"/>
        <v>16.044444444444451</v>
      </c>
      <c r="AH14" s="28">
        <f t="shared" si="18"/>
        <v>24.066666666666674</v>
      </c>
      <c r="AI14" s="28">
        <f t="shared" si="19"/>
        <v>31.255411255411264</v>
      </c>
      <c r="AJ14" s="28">
        <f t="shared" si="20"/>
        <v>45.408805031446548</v>
      </c>
      <c r="AK14" s="28">
        <f t="shared" si="21"/>
        <v>61.709401709401725</v>
      </c>
      <c r="AL14" s="28">
        <f t="shared" si="22"/>
        <v>77.634408602150557</v>
      </c>
      <c r="AM14" s="28">
        <f t="shared" si="23"/>
        <v>96.266666666666694</v>
      </c>
      <c r="AN14" s="28">
        <f t="shared" si="24"/>
        <v>120.33333333333337</v>
      </c>
      <c r="AO14" s="28">
        <f t="shared" si="25"/>
        <v>150.41666666666671</v>
      </c>
      <c r="AP14" s="28">
        <f t="shared" si="26"/>
        <v>185.1282051282052</v>
      </c>
      <c r="AQ14" s="28">
        <f>SLOPE(Taulukkotiedot!$D$53:$D$62*X14,AG14:AP14)</f>
        <v>58.215650241798592</v>
      </c>
      <c r="AR14" s="4">
        <f>AVERAGE($AQ$2:$AQ14)</f>
        <v>22.601040975962029</v>
      </c>
      <c r="AT14" s="4">
        <f>AE14*(1-Taulukkotiedot!R$2)+Laskenta!AR14*Taulukkotiedot!R$2</f>
        <v>23.555876396895421</v>
      </c>
      <c r="AU14" s="4"/>
      <c r="AW14" s="54">
        <f>AT14+Lähtötiedot!C$22</f>
        <v>94.632286433596875</v>
      </c>
      <c r="AY14" s="28">
        <v>600</v>
      </c>
      <c r="AZ14" s="28">
        <v>13</v>
      </c>
      <c r="BA14" s="4">
        <f t="shared" si="27"/>
        <v>58.215650241798592</v>
      </c>
      <c r="BB14" s="4">
        <f t="shared" si="28"/>
        <v>66.443734896861258</v>
      </c>
      <c r="BC14" s="59">
        <f t="shared" si="29"/>
        <v>62.329692569329922</v>
      </c>
      <c r="BD14" s="28">
        <f>SUM(BC$2:BC14)</f>
        <v>306.22639315964045</v>
      </c>
    </row>
    <row r="15" spans="1:60" x14ac:dyDescent="0.25">
      <c r="A15" s="8">
        <f t="shared" si="30"/>
        <v>13</v>
      </c>
      <c r="B15" s="28">
        <f t="shared" si="2"/>
        <v>2670.1183431952677</v>
      </c>
      <c r="C15" s="28">
        <f t="shared" si="3"/>
        <v>3653.8461538461547</v>
      </c>
      <c r="D15" s="28">
        <f t="shared" si="4"/>
        <v>4628.2051282051298</v>
      </c>
      <c r="E15" s="28">
        <f t="shared" si="5"/>
        <v>5553.8461538461561</v>
      </c>
      <c r="F15" s="28">
        <f t="shared" si="6"/>
        <v>6942.3076923076951</v>
      </c>
      <c r="G15" s="28">
        <f t="shared" si="7"/>
        <v>9256.4102564102595</v>
      </c>
      <c r="H15" s="28">
        <f t="shared" si="8"/>
        <v>11570.512820512826</v>
      </c>
      <c r="I15" s="2">
        <f>SLOPE(Taulukkotiedot!$D$4:$D$10*A15,Laskenta!B15:H15)</f>
        <v>28.287312417033142</v>
      </c>
      <c r="J15">
        <f t="shared" si="9"/>
        <v>1273.8179251940724</v>
      </c>
      <c r="K15">
        <f t="shared" si="10"/>
        <v>1955.5796316359704</v>
      </c>
      <c r="L15">
        <f t="shared" si="11"/>
        <v>2954.1734860883812</v>
      </c>
      <c r="M15">
        <f t="shared" si="12"/>
        <v>5340.2366863905354</v>
      </c>
      <c r="N15" s="2">
        <f>SLOPE((Taulukkotiedot!$D$13:$D$16)*A15,Laskenta!J15:M15)</f>
        <v>26.861512049742007</v>
      </c>
      <c r="P15">
        <f t="shared" si="0"/>
        <v>12.313886703589286</v>
      </c>
      <c r="Q15">
        <f t="shared" si="1"/>
        <v>8.8321495753857739</v>
      </c>
      <c r="R15">
        <f>AVERAGE($I$2:$I15)</f>
        <v>12.898058009935239</v>
      </c>
      <c r="S15">
        <f>AVERAGE($N$2:$N15)</f>
        <v>9.5056271714383289</v>
      </c>
      <c r="U15" s="6">
        <f>R15*Taulukkotiedot!$I$2+(1-Taulukkotiedot!$I$2)*Laskenta!S15+Laskenta!Q15</f>
        <v>19.525127540298023</v>
      </c>
      <c r="V15" s="6">
        <f>R15*Taulukkotiedot!$I$2+(1-Taulukkotiedot!$I$2)*Laskenta!S15+Laskenta!Q15+P15</f>
        <v>31.839014243887309</v>
      </c>
      <c r="X15" s="28">
        <v>0.65</v>
      </c>
      <c r="Y15" s="28">
        <v>650</v>
      </c>
      <c r="Z15" s="28">
        <f t="shared" si="13"/>
        <v>15.868131868131874</v>
      </c>
      <c r="AA15" s="28">
        <f t="shared" si="14"/>
        <v>28.851148851148857</v>
      </c>
      <c r="AB15" s="28">
        <f t="shared" si="15"/>
        <v>41.915820029027586</v>
      </c>
      <c r="AC15" s="28">
        <f t="shared" si="16"/>
        <v>74.051282051282058</v>
      </c>
      <c r="AD15" s="28">
        <f>SLOPE(Taulukkotiedot!$D$47:$D$50*X15,Z15:AC15)</f>
        <v>77.979105538677487</v>
      </c>
      <c r="AE15" s="4">
        <f>AVERAGE($AD$2:$AD15)</f>
        <v>28.329882797889436</v>
      </c>
      <c r="AG15" s="28">
        <f t="shared" si="17"/>
        <v>14.810256410256413</v>
      </c>
      <c r="AH15" s="28">
        <f t="shared" si="18"/>
        <v>22.215384615384622</v>
      </c>
      <c r="AI15" s="28">
        <f t="shared" si="19"/>
        <v>28.851148851148857</v>
      </c>
      <c r="AJ15" s="28">
        <f t="shared" si="20"/>
        <v>41.915820029027586</v>
      </c>
      <c r="AK15" s="28">
        <f t="shared" si="21"/>
        <v>56.962524654832364</v>
      </c>
      <c r="AL15" s="28">
        <f t="shared" si="22"/>
        <v>71.66253101736973</v>
      </c>
      <c r="AM15" s="28">
        <f t="shared" si="23"/>
        <v>88.861538461538487</v>
      </c>
      <c r="AN15" s="28">
        <f t="shared" si="24"/>
        <v>111.07692307692311</v>
      </c>
      <c r="AO15" s="28">
        <f t="shared" si="25"/>
        <v>138.84615384615387</v>
      </c>
      <c r="AP15" s="28">
        <f t="shared" si="26"/>
        <v>170.88757396449708</v>
      </c>
      <c r="AQ15" s="28">
        <f>SLOPE(Taulukkotiedot!$D$53:$D$62*X15,AG15:AP15)</f>
        <v>68.322533964333076</v>
      </c>
      <c r="AR15" s="4">
        <f>AVERAGE($AQ$2:$AQ15)</f>
        <v>25.866861903702816</v>
      </c>
      <c r="AT15" s="4">
        <f>AE15*(1-Taulukkotiedot!R$2)+Laskenta!AR15*Taulukkotiedot!R$2</f>
        <v>27.098372350796126</v>
      </c>
      <c r="AU15" s="4"/>
      <c r="AW15" s="54">
        <f>AT15+Lähtötiedot!C$22</f>
        <v>98.174782387497572</v>
      </c>
      <c r="AX15" s="3"/>
      <c r="AY15" s="28">
        <v>650</v>
      </c>
      <c r="AZ15" s="3">
        <v>14</v>
      </c>
      <c r="BA15" s="4">
        <f t="shared" si="27"/>
        <v>68.322533964333076</v>
      </c>
      <c r="BB15" s="4">
        <f t="shared" si="28"/>
        <v>77.979105538677487</v>
      </c>
      <c r="BC15" s="59">
        <f t="shared" si="29"/>
        <v>73.150819751505281</v>
      </c>
      <c r="BD15" s="28">
        <f>SUM(BC$2:BC15)</f>
        <v>379.37721291114576</v>
      </c>
    </row>
    <row r="16" spans="1:60" s="3" customFormat="1" x14ac:dyDescent="0.25">
      <c r="A16" s="9">
        <f t="shared" si="30"/>
        <v>14</v>
      </c>
      <c r="B16" s="28">
        <f t="shared" si="2"/>
        <v>2479.395604395605</v>
      </c>
      <c r="C16" s="28">
        <f t="shared" si="3"/>
        <v>3392.857142857144</v>
      </c>
      <c r="D16" s="28">
        <f t="shared" si="4"/>
        <v>4297.6190476190495</v>
      </c>
      <c r="E16" s="28">
        <f t="shared" si="5"/>
        <v>5157.1428571428587</v>
      </c>
      <c r="F16" s="28">
        <f t="shared" si="6"/>
        <v>6446.4285714285734</v>
      </c>
      <c r="G16" s="28">
        <f t="shared" si="7"/>
        <v>8595.238095238099</v>
      </c>
      <c r="H16" s="28">
        <f t="shared" si="8"/>
        <v>10744.047619047624</v>
      </c>
      <c r="I16" s="2">
        <f>SLOPE(Taulukkotiedot!$D$4:$D$10*A16,Laskenta!B16:H16)</f>
        <v>32.806587181884595</v>
      </c>
      <c r="J16" s="3">
        <f t="shared" si="9"/>
        <v>1182.830930537353</v>
      </c>
      <c r="K16" s="3">
        <f t="shared" si="10"/>
        <v>1815.8953722334013</v>
      </c>
      <c r="L16" s="3">
        <f t="shared" si="11"/>
        <v>2743.1610942249254</v>
      </c>
      <c r="M16" s="3">
        <f t="shared" si="12"/>
        <v>4958.79120879121</v>
      </c>
      <c r="N16" s="2">
        <f>SLOPE((Taulukkotiedot!$D$13:$D$16)*A16,Laskenta!J16:M16)</f>
        <v>31.152996223369442</v>
      </c>
      <c r="P16" s="3">
        <f t="shared" si="0"/>
        <v>12.313886703589286</v>
      </c>
      <c r="Q16" s="3">
        <f t="shared" si="1"/>
        <v>8.8321495753857739</v>
      </c>
      <c r="R16" s="3">
        <f>AVERAGE($I$2:$I16)</f>
        <v>14.225293288065195</v>
      </c>
      <c r="S16" s="3">
        <f>AVERAGE($N$2:$N16)</f>
        <v>10.948785108233738</v>
      </c>
      <c r="U16" s="6">
        <f>R16*Taulukkotiedot!$I$2+(1-Taulukkotiedot!$I$2)*Laskenta!S16+Laskenta!Q16</f>
        <v>20.927712546560521</v>
      </c>
      <c r="V16" s="6">
        <f>R16*Taulukkotiedot!$I$2+(1-Taulukkotiedot!$I$2)*Laskenta!S16+Laskenta!Q16+P16</f>
        <v>33.241599250149804</v>
      </c>
      <c r="X16" s="3">
        <v>0.7</v>
      </c>
      <c r="Y16" s="3">
        <v>700</v>
      </c>
      <c r="Z16" s="28">
        <f t="shared" si="13"/>
        <v>14.734693877551026</v>
      </c>
      <c r="AA16" s="28">
        <f t="shared" si="14"/>
        <v>26.790352504638232</v>
      </c>
      <c r="AB16" s="28">
        <f t="shared" si="15"/>
        <v>38.921832884097043</v>
      </c>
      <c r="AC16" s="28">
        <f t="shared" si="16"/>
        <v>68.761904761904773</v>
      </c>
      <c r="AD16" s="28">
        <f>SLOPE(Taulukkotiedot!$D$47:$D$50*X16,Z16:AC16)</f>
        <v>90.437305831838941</v>
      </c>
      <c r="AE16" s="4">
        <f>AVERAGE($AD$2:$AD16)</f>
        <v>32.470377666819402</v>
      </c>
      <c r="AG16" s="28">
        <f t="shared" si="17"/>
        <v>13.752380952380959</v>
      </c>
      <c r="AH16" s="28">
        <f t="shared" si="18"/>
        <v>20.628571428571433</v>
      </c>
      <c r="AI16" s="28">
        <f t="shared" si="19"/>
        <v>26.790352504638232</v>
      </c>
      <c r="AJ16" s="28">
        <f t="shared" si="20"/>
        <v>38.921832884097043</v>
      </c>
      <c r="AK16" s="28">
        <f t="shared" si="21"/>
        <v>52.893772893772912</v>
      </c>
      <c r="AL16" s="28">
        <f t="shared" si="22"/>
        <v>66.543778801843331</v>
      </c>
      <c r="AM16" s="28">
        <f t="shared" si="23"/>
        <v>82.514285714285734</v>
      </c>
      <c r="AN16" s="28">
        <f t="shared" si="24"/>
        <v>103.14285714285717</v>
      </c>
      <c r="AO16" s="28">
        <f t="shared" si="25"/>
        <v>128.92857142857147</v>
      </c>
      <c r="AP16" s="28">
        <f t="shared" si="26"/>
        <v>158.68131868131871</v>
      </c>
      <c r="AQ16" s="28">
        <f>SLOPE(Taulukkotiedot!$D$53:$D$62*X16,AG16:AP16)</f>
        <v>79.237968384670324</v>
      </c>
      <c r="AR16" s="4">
        <f>AVERAGE($AQ$2:$AQ16)</f>
        <v>29.424935669100652</v>
      </c>
      <c r="AT16" s="4">
        <f>AE16*(1-Taulukkotiedot!R$2)+Laskenta!AR16*Taulukkotiedot!R$2</f>
        <v>30.947656667960025</v>
      </c>
      <c r="AU16" s="4"/>
      <c r="AW16" s="54">
        <f>AT16+Lähtötiedot!C$22</f>
        <v>102.02406670466146</v>
      </c>
      <c r="AY16" s="3">
        <v>700</v>
      </c>
      <c r="AZ16" s="1">
        <v>15</v>
      </c>
      <c r="BA16" s="4">
        <f t="shared" si="27"/>
        <v>79.237968384670324</v>
      </c>
      <c r="BB16" s="4">
        <f t="shared" si="28"/>
        <v>90.437305831838941</v>
      </c>
      <c r="BC16" s="59">
        <f t="shared" si="29"/>
        <v>84.837637108254626</v>
      </c>
      <c r="BD16" s="28">
        <f>SUM(BC$2:BC16)</f>
        <v>464.21485001940039</v>
      </c>
    </row>
    <row r="17" spans="1:56" s="1" customFormat="1" x14ac:dyDescent="0.25">
      <c r="A17" s="10">
        <f t="shared" si="30"/>
        <v>15</v>
      </c>
      <c r="B17" s="1">
        <f t="shared" si="2"/>
        <v>2314.1025641025649</v>
      </c>
      <c r="C17" s="1">
        <f t="shared" si="3"/>
        <v>3166.6666666666679</v>
      </c>
      <c r="D17" s="1">
        <f t="shared" si="4"/>
        <v>4011.1111111111127</v>
      </c>
      <c r="E17" s="1">
        <f t="shared" si="5"/>
        <v>4813.3333333333348</v>
      </c>
      <c r="F17" s="1">
        <f t="shared" si="6"/>
        <v>6016.6666666666688</v>
      </c>
      <c r="G17" s="1">
        <f t="shared" si="7"/>
        <v>8022.2222222222254</v>
      </c>
      <c r="H17" s="1">
        <f t="shared" si="8"/>
        <v>10027.777777777783</v>
      </c>
      <c r="I17" s="2">
        <f>SLOPE(Taulukkotiedot!$D$4:$D$10*A17,Laskenta!B17:H17)</f>
        <v>37.660623040428739</v>
      </c>
      <c r="J17" s="1">
        <f t="shared" si="9"/>
        <v>1103.9755351681961</v>
      </c>
      <c r="K17" s="1">
        <f t="shared" si="10"/>
        <v>1694.8356807511748</v>
      </c>
      <c r="L17" s="1">
        <f t="shared" si="11"/>
        <v>2560.2836879432634</v>
      </c>
      <c r="M17" s="1">
        <f t="shared" si="12"/>
        <v>4628.2051282051298</v>
      </c>
      <c r="N17" s="2">
        <f>SLOPE((Taulukkotiedot!$D$13:$D$16)*A17,Laskenta!J17:M17)</f>
        <v>35.762368113561855</v>
      </c>
      <c r="P17" s="1">
        <f t="shared" si="0"/>
        <v>12.313886703589286</v>
      </c>
      <c r="Q17" s="1">
        <f t="shared" si="1"/>
        <v>8.8321495753857739</v>
      </c>
      <c r="R17" s="1">
        <f>AVERAGE($I$2:$I17)</f>
        <v>15.690001397587917</v>
      </c>
      <c r="S17" s="1">
        <f>AVERAGE($N$2:$N17)</f>
        <v>12.499634046066744</v>
      </c>
      <c r="U17" s="6">
        <f>R17*Taulukkotiedot!$I$2+(1-Taulukkotiedot!$I$2)*Laskenta!S17+Laskenta!Q17</f>
        <v>22.448412194484931</v>
      </c>
      <c r="V17" s="6">
        <f>R17*Taulukkotiedot!$I$2+(1-Taulukkotiedot!$I$2)*Laskenta!S17+Laskenta!Q17+P17</f>
        <v>34.762298898074221</v>
      </c>
      <c r="X17" s="4">
        <v>0.75</v>
      </c>
      <c r="Y17" s="4">
        <v>750</v>
      </c>
      <c r="Z17" s="28">
        <f t="shared" si="13"/>
        <v>13.752380952380959</v>
      </c>
      <c r="AA17" s="28">
        <f t="shared" si="14"/>
        <v>25.004329004329012</v>
      </c>
      <c r="AB17" s="28">
        <f t="shared" si="15"/>
        <v>36.327044025157242</v>
      </c>
      <c r="AC17" s="28">
        <f t="shared" si="16"/>
        <v>64.177777777777806</v>
      </c>
      <c r="AD17" s="28">
        <f>SLOPE(Taulukkotiedot!$D$47:$D$50*X17,Z17:AC17)</f>
        <v>103.81833577634572</v>
      </c>
      <c r="AE17" s="4">
        <f>AVERAGE($AD$2:$AD17)</f>
        <v>36.929625048664796</v>
      </c>
      <c r="AG17" s="28">
        <f t="shared" si="17"/>
        <v>12.835555555555558</v>
      </c>
      <c r="AH17" s="28">
        <f t="shared" si="18"/>
        <v>19.253333333333341</v>
      </c>
      <c r="AI17" s="28">
        <f t="shared" si="19"/>
        <v>25.004329004329012</v>
      </c>
      <c r="AJ17" s="28">
        <f t="shared" si="20"/>
        <v>36.327044025157242</v>
      </c>
      <c r="AK17" s="28">
        <f t="shared" si="21"/>
        <v>49.367521367521384</v>
      </c>
      <c r="AL17" s="28">
        <f t="shared" si="22"/>
        <v>62.107526881720446</v>
      </c>
      <c r="AM17" s="28">
        <f t="shared" si="23"/>
        <v>77.013333333333364</v>
      </c>
      <c r="AN17" s="28">
        <f t="shared" si="24"/>
        <v>96.266666666666666</v>
      </c>
      <c r="AO17" s="28">
        <f t="shared" si="25"/>
        <v>120.33333333333337</v>
      </c>
      <c r="AP17" s="28">
        <f t="shared" si="26"/>
        <v>148.10256410256412</v>
      </c>
      <c r="AQ17" s="28">
        <f>SLOPE(Taulukkotiedot!$D$53:$D$62*X17,AG17:AP17)</f>
        <v>90.961953502810331</v>
      </c>
      <c r="AR17" s="4">
        <f>AVERAGE($AQ$2:$AQ17)</f>
        <v>33.270999283707511</v>
      </c>
      <c r="AT17" s="4">
        <f>AE17*(1-Taulukkotiedot!R$2)+Laskenta!AR17*Taulukkotiedot!R$2</f>
        <v>35.100312166186157</v>
      </c>
      <c r="AU17" s="4"/>
      <c r="AW17" s="54">
        <f>AT17+Lähtötiedot!C$22</f>
        <v>106.1767222028876</v>
      </c>
      <c r="AX17" s="3"/>
      <c r="AY17" s="4">
        <v>750</v>
      </c>
      <c r="AZ17" s="3">
        <v>16</v>
      </c>
      <c r="BA17" s="4">
        <f t="shared" si="27"/>
        <v>90.961953502810331</v>
      </c>
      <c r="BB17" s="4">
        <f t="shared" si="28"/>
        <v>103.81833577634572</v>
      </c>
      <c r="BC17" s="59">
        <f t="shared" si="29"/>
        <v>97.390144639578025</v>
      </c>
      <c r="BD17" s="28">
        <f>SUM(BC$2:BC17)</f>
        <v>561.6049946589784</v>
      </c>
    </row>
    <row r="18" spans="1:56" s="3" customFormat="1" x14ac:dyDescent="0.25">
      <c r="A18" s="9">
        <f t="shared" si="30"/>
        <v>16</v>
      </c>
      <c r="B18" s="28">
        <f t="shared" si="2"/>
        <v>2169.4711538461543</v>
      </c>
      <c r="C18" s="28">
        <f t="shared" si="3"/>
        <v>2968.7500000000014</v>
      </c>
      <c r="D18" s="28">
        <f t="shared" si="4"/>
        <v>3760.4166666666683</v>
      </c>
      <c r="E18" s="28">
        <f t="shared" si="5"/>
        <v>4512.5000000000018</v>
      </c>
      <c r="F18" s="28">
        <f t="shared" si="6"/>
        <v>5640.6250000000018</v>
      </c>
      <c r="G18" s="28">
        <f t="shared" si="7"/>
        <v>7520.8333333333367</v>
      </c>
      <c r="H18" s="28">
        <f t="shared" si="8"/>
        <v>9401.0416666666715</v>
      </c>
      <c r="I18" s="2">
        <f>SLOPE(Taulukkotiedot!$D$4:$D$10*A18,Laskenta!B18:H18)</f>
        <v>42.849419992665588</v>
      </c>
      <c r="J18" s="3">
        <f t="shared" si="9"/>
        <v>1034.9770642201838</v>
      </c>
      <c r="K18" s="3">
        <f t="shared" si="10"/>
        <v>1588.908450704226</v>
      </c>
      <c r="L18" s="3">
        <f t="shared" si="11"/>
        <v>2400.2659574468098</v>
      </c>
      <c r="M18" s="3">
        <f t="shared" si="12"/>
        <v>4338.9423076923085</v>
      </c>
      <c r="N18" s="2">
        <f>SLOPE((Taulukkotiedot!$D$13:$D$16)*A18,Laskenta!J18:M18)</f>
        <v>40.68962772031928</v>
      </c>
      <c r="P18" s="3">
        <f t="shared" si="0"/>
        <v>12.313886703589286</v>
      </c>
      <c r="Q18" s="3">
        <f t="shared" si="1"/>
        <v>8.8321495753857739</v>
      </c>
      <c r="R18" s="3">
        <f>AVERAGE($I$2:$I18)</f>
        <v>17.287614256121895</v>
      </c>
      <c r="S18" s="3">
        <f>AVERAGE($N$2:$N18)</f>
        <v>14.157868968081599</v>
      </c>
      <c r="U18" s="6">
        <f>R18*Taulukkotiedot!$I$2+(1-Taulukkotiedot!$I$2)*Laskenta!S18+Laskenta!Q18</f>
        <v>24.085429394281476</v>
      </c>
      <c r="V18" s="6">
        <f>R18*Taulukkotiedot!$I$2+(1-Taulukkotiedot!$I$2)*Laskenta!S18+Laskenta!Q18+P18</f>
        <v>36.399316097870766</v>
      </c>
      <c r="X18" s="28">
        <v>0.8</v>
      </c>
      <c r="Y18" s="28">
        <v>800</v>
      </c>
      <c r="Z18" s="28">
        <f t="shared" si="13"/>
        <v>12.892857142857146</v>
      </c>
      <c r="AA18" s="28">
        <f t="shared" si="14"/>
        <v>23.441558441558445</v>
      </c>
      <c r="AB18" s="28">
        <f t="shared" si="15"/>
        <v>34.056603773584911</v>
      </c>
      <c r="AC18" s="28">
        <f t="shared" si="16"/>
        <v>60.166666666666686</v>
      </c>
      <c r="AD18" s="28">
        <f>SLOPE(Taulukkotiedot!$D$47:$D$50*X18,Z18:AC18)</f>
        <v>118.12219537219779</v>
      </c>
      <c r="AE18" s="4">
        <f>AVERAGE($AD$2:$AD18)</f>
        <v>41.705658597107913</v>
      </c>
      <c r="AG18" s="28">
        <f t="shared" si="17"/>
        <v>12.033333333333333</v>
      </c>
      <c r="AH18" s="28">
        <f t="shared" si="18"/>
        <v>18.050000000000004</v>
      </c>
      <c r="AI18" s="28">
        <f t="shared" si="19"/>
        <v>23.441558441558445</v>
      </c>
      <c r="AJ18" s="28">
        <f t="shared" si="20"/>
        <v>34.056603773584911</v>
      </c>
      <c r="AK18" s="28">
        <f t="shared" si="21"/>
        <v>46.282051282051292</v>
      </c>
      <c r="AL18" s="28">
        <f t="shared" si="22"/>
        <v>58.225806451612918</v>
      </c>
      <c r="AM18" s="28">
        <f t="shared" si="23"/>
        <v>72.200000000000017</v>
      </c>
      <c r="AN18" s="28">
        <f t="shared" si="24"/>
        <v>90.25</v>
      </c>
      <c r="AO18" s="28">
        <f t="shared" si="25"/>
        <v>112.81250000000003</v>
      </c>
      <c r="AP18" s="28">
        <f t="shared" si="26"/>
        <v>138.84615384615387</v>
      </c>
      <c r="AQ18" s="28">
        <f>SLOPE(Taulukkotiedot!$D$53:$D$62*X18,AG18:AP18)</f>
        <v>103.49448931875307</v>
      </c>
      <c r="AR18" s="4">
        <f>AVERAGE($AQ$2:$AQ18)</f>
        <v>37.401792815180777</v>
      </c>
      <c r="AT18" s="4">
        <f>AE18*(1-Taulukkotiedot!R$2)+Laskenta!AR18*Taulukkotiedot!R$2</f>
        <v>39.553725706144348</v>
      </c>
      <c r="AU18" s="4"/>
      <c r="AW18" s="54">
        <f>AT18+Lähtötiedot!C$22</f>
        <v>110.63013574284579</v>
      </c>
      <c r="AY18" s="28">
        <v>800</v>
      </c>
      <c r="AZ18" s="3">
        <v>17</v>
      </c>
      <c r="BA18" s="4">
        <f t="shared" si="27"/>
        <v>103.49448931875307</v>
      </c>
      <c r="BB18" s="4">
        <f t="shared" si="28"/>
        <v>118.12219537219779</v>
      </c>
      <c r="BC18" s="59">
        <f t="shared" si="29"/>
        <v>110.80834234547544</v>
      </c>
      <c r="BD18" s="28">
        <f>SUM(BC$2:BC18)</f>
        <v>672.41333700445387</v>
      </c>
    </row>
    <row r="19" spans="1:56" x14ac:dyDescent="0.25">
      <c r="A19" s="8">
        <f t="shared" si="30"/>
        <v>17</v>
      </c>
      <c r="B19" s="28">
        <f t="shared" si="2"/>
        <v>2041.8552036199103</v>
      </c>
      <c r="C19" s="28">
        <f t="shared" si="3"/>
        <v>2794.1176470588243</v>
      </c>
      <c r="D19" s="28">
        <f t="shared" si="4"/>
        <v>3539.2156862745119</v>
      </c>
      <c r="E19" s="28">
        <f t="shared" si="5"/>
        <v>4247.0588235294135</v>
      </c>
      <c r="F19" s="28">
        <f t="shared" si="6"/>
        <v>5308.8235294117667</v>
      </c>
      <c r="G19" s="28">
        <f t="shared" si="7"/>
        <v>7078.4313725490238</v>
      </c>
      <c r="H19" s="28">
        <f t="shared" si="8"/>
        <v>8848.0392156862781</v>
      </c>
      <c r="I19" s="2">
        <f>SLOPE(Taulukkotiedot!$D$4:$D$10*A19,Laskenta!B19:H19)</f>
        <v>48.372978038595136</v>
      </c>
      <c r="J19">
        <f t="shared" si="9"/>
        <v>974.09606044252598</v>
      </c>
      <c r="K19">
        <f t="shared" si="10"/>
        <v>1495.4432477216244</v>
      </c>
      <c r="L19">
        <f t="shared" si="11"/>
        <v>2259.0738423028797</v>
      </c>
      <c r="M19">
        <f t="shared" si="12"/>
        <v>4083.7104072398206</v>
      </c>
      <c r="N19" s="2">
        <f>SLOPE((Taulukkotiedot!$D$13:$D$16)*A19,Laskenta!J19:M19)</f>
        <v>45.934775043641665</v>
      </c>
      <c r="P19">
        <f t="shared" si="0"/>
        <v>12.313886703589286</v>
      </c>
      <c r="Q19">
        <f t="shared" si="1"/>
        <v>8.8321495753857739</v>
      </c>
      <c r="R19">
        <f>AVERAGE($I$2:$I19)</f>
        <v>19.014578910703744</v>
      </c>
      <c r="S19">
        <f>AVERAGE($N$2:$N19)</f>
        <v>15.923252638946046</v>
      </c>
      <c r="U19" s="6">
        <f>R19*Taulukkotiedot!$I$2+(1-Taulukkotiedot!$I$2)*Laskenta!S19+Laskenta!Q19</f>
        <v>25.837366409447014</v>
      </c>
      <c r="V19" s="6">
        <f>R19*Taulukkotiedot!$I$2+(1-Taulukkotiedot!$I$2)*Laskenta!S19+Laskenta!Q19+P19</f>
        <v>38.151253113036304</v>
      </c>
      <c r="X19" s="3">
        <v>0.85</v>
      </c>
      <c r="Y19" s="28">
        <v>850</v>
      </c>
      <c r="Z19" s="28">
        <f t="shared" si="13"/>
        <v>12.134453781512608</v>
      </c>
      <c r="AA19" s="28">
        <f t="shared" si="14"/>
        <v>22.062643239113832</v>
      </c>
      <c r="AB19" s="28">
        <f t="shared" si="15"/>
        <v>32.053274139844625</v>
      </c>
      <c r="AC19" s="28">
        <f t="shared" si="16"/>
        <v>56.627450980392169</v>
      </c>
      <c r="AD19" s="28">
        <f>SLOPE(Taulukkotiedot!$D$47:$D$50*X19,Z19:AC19)</f>
        <v>133.34888461939519</v>
      </c>
      <c r="AE19" s="4">
        <f>AVERAGE($AD$2:$AD19)</f>
        <v>46.796948931679431</v>
      </c>
      <c r="AG19" s="28">
        <f t="shared" si="17"/>
        <v>11.325490196078436</v>
      </c>
      <c r="AH19" s="28">
        <f t="shared" si="18"/>
        <v>16.988235294117651</v>
      </c>
      <c r="AI19" s="28">
        <f t="shared" si="19"/>
        <v>22.062643239113832</v>
      </c>
      <c r="AJ19" s="28">
        <f t="shared" si="20"/>
        <v>32.053274139844625</v>
      </c>
      <c r="AK19" s="28">
        <f t="shared" si="21"/>
        <v>43.559577677224745</v>
      </c>
      <c r="AL19" s="28">
        <f t="shared" si="22"/>
        <v>54.800759013282743</v>
      </c>
      <c r="AM19" s="28">
        <f t="shared" si="23"/>
        <v>67.952941176470603</v>
      </c>
      <c r="AN19" s="28">
        <f t="shared" si="24"/>
        <v>84.941176470588246</v>
      </c>
      <c r="AO19" s="28">
        <f t="shared" si="25"/>
        <v>106.17647058823532</v>
      </c>
      <c r="AP19" s="28">
        <f t="shared" si="26"/>
        <v>130.67873303167426</v>
      </c>
      <c r="AQ19" s="28">
        <f>SLOPE(Taulukkotiedot!$D$53:$D$62*X19,AG19:AP19)</f>
        <v>116.83557583249859</v>
      </c>
      <c r="AR19" s="4">
        <f>AVERAGE($AQ$2:$AQ19)</f>
        <v>41.814780760587318</v>
      </c>
      <c r="AT19" s="4">
        <f>AE19*(1-Taulukkotiedot!R$2)+Laskenta!AR19*Taulukkotiedot!R$2</f>
        <v>44.305864846133375</v>
      </c>
      <c r="AU19" s="4"/>
      <c r="AW19" s="54">
        <f>AT19+Lähtötiedot!C$22</f>
        <v>115.38227488283482</v>
      </c>
      <c r="AX19" s="3"/>
      <c r="AY19" s="28">
        <v>850</v>
      </c>
      <c r="AZ19" s="3">
        <v>18</v>
      </c>
      <c r="BA19" s="4">
        <f t="shared" si="27"/>
        <v>116.83557583249859</v>
      </c>
      <c r="BB19" s="4">
        <f t="shared" si="28"/>
        <v>133.34888461939519</v>
      </c>
      <c r="BC19" s="59">
        <f t="shared" si="29"/>
        <v>125.09223022594689</v>
      </c>
      <c r="BD19" s="28">
        <f>SUM(BC$2:BC19)</f>
        <v>797.50556723040074</v>
      </c>
    </row>
    <row r="20" spans="1:56" s="3" customFormat="1" x14ac:dyDescent="0.25">
      <c r="A20" s="9">
        <f t="shared" si="30"/>
        <v>18</v>
      </c>
      <c r="B20" s="28">
        <f t="shared" si="2"/>
        <v>1928.4188034188044</v>
      </c>
      <c r="C20" s="28">
        <f t="shared" si="3"/>
        <v>2638.8888888888901</v>
      </c>
      <c r="D20" s="28">
        <f t="shared" si="4"/>
        <v>3342.5925925925944</v>
      </c>
      <c r="E20" s="28">
        <f t="shared" si="5"/>
        <v>4011.1111111111127</v>
      </c>
      <c r="F20" s="28">
        <f t="shared" si="6"/>
        <v>5013.8888888888905</v>
      </c>
      <c r="G20" s="28">
        <f t="shared" si="7"/>
        <v>6685.1851851851889</v>
      </c>
      <c r="H20" s="28">
        <f t="shared" si="8"/>
        <v>8356.4814814814836</v>
      </c>
      <c r="I20" s="2">
        <f>SLOPE(Taulukkotiedot!$D$4:$D$10*A20,Laskenta!B20:H20)</f>
        <v>54.231297178217396</v>
      </c>
      <c r="J20" s="3">
        <f t="shared" si="9"/>
        <v>919.9796126401634</v>
      </c>
      <c r="K20" s="3">
        <f t="shared" si="10"/>
        <v>1412.3630672926454</v>
      </c>
      <c r="L20" s="3">
        <f t="shared" si="11"/>
        <v>2133.5697399527198</v>
      </c>
      <c r="M20" s="3">
        <f t="shared" si="12"/>
        <v>3856.8376068376087</v>
      </c>
      <c r="N20" s="2">
        <f>SLOPE((Taulukkotiedot!$D$13:$D$16)*A20,Laskenta!J20:M20)</f>
        <v>51.497810083529053</v>
      </c>
      <c r="P20" s="3">
        <f t="shared" si="0"/>
        <v>12.313886703589286</v>
      </c>
      <c r="Q20" s="3">
        <f t="shared" si="1"/>
        <v>8.8321495753857739</v>
      </c>
      <c r="R20" s="3">
        <f>AVERAGE($I$2:$I20)</f>
        <v>20.868090398467618</v>
      </c>
      <c r="S20" s="3">
        <f>AVERAGE($N$2:$N20)</f>
        <v>17.79559776760831</v>
      </c>
      <c r="U20" s="6">
        <f>R20*Taulukkotiedot!$I$2+(1-Taulukkotiedot!$I$2)*Laskenta!S20+Laskenta!Q20</f>
        <v>27.703119763794842</v>
      </c>
      <c r="V20" s="6">
        <f>R20*Taulukkotiedot!$I$2+(1-Taulukkotiedot!$I$2)*Laskenta!S20+Laskenta!Q20+P20</f>
        <v>40.017006467384128</v>
      </c>
      <c r="X20" s="4">
        <v>0.9</v>
      </c>
      <c r="Y20" s="3">
        <v>900</v>
      </c>
      <c r="Z20" s="28">
        <f t="shared" si="13"/>
        <v>11.460317460317462</v>
      </c>
      <c r="AA20" s="28">
        <f t="shared" si="14"/>
        <v>20.83694083694084</v>
      </c>
      <c r="AB20" s="28">
        <f t="shared" si="15"/>
        <v>30.272536687631032</v>
      </c>
      <c r="AC20" s="28">
        <f t="shared" si="16"/>
        <v>53.481481481481488</v>
      </c>
      <c r="AD20" s="28">
        <f>SLOPE(Taulukkotiedot!$D$47:$D$50*X20,Z20:AC20)</f>
        <v>149.49840351793787</v>
      </c>
      <c r="AE20" s="4">
        <f>AVERAGE($AD$2:$AD20)</f>
        <v>52.202288646745664</v>
      </c>
      <c r="AG20" s="28">
        <f t="shared" si="17"/>
        <v>10.696296296296298</v>
      </c>
      <c r="AH20" s="28">
        <f t="shared" si="18"/>
        <v>16.044444444444448</v>
      </c>
      <c r="AI20" s="28">
        <f t="shared" si="19"/>
        <v>20.83694083694084</v>
      </c>
      <c r="AJ20" s="28">
        <f t="shared" si="20"/>
        <v>30.272536687631032</v>
      </c>
      <c r="AK20" s="28">
        <f t="shared" si="21"/>
        <v>41.139601139601147</v>
      </c>
      <c r="AL20" s="28">
        <f t="shared" si="22"/>
        <v>51.756272401433698</v>
      </c>
      <c r="AM20" s="28">
        <f t="shared" si="23"/>
        <v>64.177777777777791</v>
      </c>
      <c r="AN20" s="28">
        <f t="shared" si="24"/>
        <v>80.222222222222229</v>
      </c>
      <c r="AO20" s="28">
        <f t="shared" si="25"/>
        <v>100.2777777777778</v>
      </c>
      <c r="AP20" s="28">
        <f t="shared" si="26"/>
        <v>123.41880341880344</v>
      </c>
      <c r="AQ20" s="28">
        <f>SLOPE(Taulukkotiedot!$D$53:$D$62*X20,AG20:AP20)</f>
        <v>130.98521304404687</v>
      </c>
      <c r="AR20" s="4">
        <f>AVERAGE($AQ$2:$AQ20)</f>
        <v>46.50796140708519</v>
      </c>
      <c r="AT20" s="4">
        <f>AE20*(1-Taulukkotiedot!R$2)+Laskenta!AR20*Taulukkotiedot!R$2</f>
        <v>49.355125026915431</v>
      </c>
      <c r="AU20" s="4"/>
      <c r="AW20" s="54">
        <f>AT20+Lähtötiedot!C$22</f>
        <v>120.43153506361688</v>
      </c>
      <c r="AY20" s="3">
        <v>900</v>
      </c>
      <c r="AZ20" s="4">
        <v>19</v>
      </c>
      <c r="BA20" s="4">
        <f t="shared" si="27"/>
        <v>130.98521304404687</v>
      </c>
      <c r="BB20" s="4">
        <f t="shared" si="28"/>
        <v>149.49840351793787</v>
      </c>
      <c r="BC20" s="59">
        <f t="shared" si="29"/>
        <v>140.24180828099236</v>
      </c>
      <c r="BD20" s="28">
        <f>SUM(BC$2:BC20)</f>
        <v>937.7473755113931</v>
      </c>
    </row>
    <row r="21" spans="1:56" x14ac:dyDescent="0.25">
      <c r="A21" s="8">
        <f t="shared" si="30"/>
        <v>19</v>
      </c>
      <c r="B21" s="28">
        <f t="shared" si="2"/>
        <v>1826.9230769230774</v>
      </c>
      <c r="C21" s="28">
        <f t="shared" si="3"/>
        <v>2500.0000000000009</v>
      </c>
      <c r="D21" s="28">
        <f t="shared" si="4"/>
        <v>3166.6666666666679</v>
      </c>
      <c r="E21" s="28">
        <f t="shared" si="5"/>
        <v>3800.0000000000014</v>
      </c>
      <c r="F21" s="28">
        <f t="shared" si="6"/>
        <v>4750.0000000000018</v>
      </c>
      <c r="G21" s="28">
        <f t="shared" si="7"/>
        <v>6333.3333333333358</v>
      </c>
      <c r="H21" s="28">
        <f t="shared" si="8"/>
        <v>7916.6666666666706</v>
      </c>
      <c r="I21" s="2">
        <f>SLOPE(Taulukkotiedot!$D$4:$D$10*A21,Laskenta!B21:H21)</f>
        <v>60.424377411532319</v>
      </c>
      <c r="J21">
        <f t="shared" si="9"/>
        <v>871.55963302752332</v>
      </c>
      <c r="K21">
        <f t="shared" si="10"/>
        <v>1338.0281690140853</v>
      </c>
      <c r="L21">
        <f t="shared" si="11"/>
        <v>2021.2765957446818</v>
      </c>
      <c r="M21">
        <f t="shared" si="12"/>
        <v>3653.8461538461547</v>
      </c>
      <c r="N21" s="2">
        <f>SLOPE((Taulukkotiedot!$D$13:$D$16)*A21,Laskenta!J21:M21)</f>
        <v>57.378732839981474</v>
      </c>
      <c r="P21">
        <f t="shared" si="0"/>
        <v>12.313886703589286</v>
      </c>
      <c r="Q21">
        <f t="shared" si="1"/>
        <v>8.8321495753857739</v>
      </c>
      <c r="R21">
        <f>AVERAGE($I$2:$I21)</f>
        <v>22.845904749120855</v>
      </c>
      <c r="S21">
        <f>AVERAGE($N$2:$N21)</f>
        <v>19.774754521226967</v>
      </c>
      <c r="U21" s="6">
        <f>R21*Taulukkotiedot!$I$2+(1-Taulukkotiedot!$I$2)*Laskenta!S21+Laskenta!Q21</f>
        <v>29.681806676375601</v>
      </c>
      <c r="V21" s="6">
        <f>R21*Taulukkotiedot!$I$2+(1-Taulukkotiedot!$I$2)*Laskenta!S21+Laskenta!Q21+P21</f>
        <v>41.995693379964891</v>
      </c>
      <c r="X21" s="28">
        <v>0.95</v>
      </c>
      <c r="Y21" s="4">
        <v>950</v>
      </c>
      <c r="Z21" s="28">
        <f t="shared" si="13"/>
        <v>10.857142857142861</v>
      </c>
      <c r="AA21" s="28">
        <f t="shared" si="14"/>
        <v>19.740259740259745</v>
      </c>
      <c r="AB21" s="28">
        <f t="shared" si="15"/>
        <v>28.679245283018879</v>
      </c>
      <c r="AC21" s="28">
        <f t="shared" si="16"/>
        <v>50.666666666666686</v>
      </c>
      <c r="AD21" s="28">
        <f>SLOPE(Taulukkotiedot!$D$47:$D$50*X21,Z21:AC21)</f>
        <v>166.57075206782577</v>
      </c>
      <c r="AE21" s="4">
        <f>AVERAGE($AD$2:$AD21)</f>
        <v>57.92071181779967</v>
      </c>
      <c r="AG21" s="28">
        <f t="shared" si="17"/>
        <v>10.133333333333338</v>
      </c>
      <c r="AH21" s="28">
        <f t="shared" si="18"/>
        <v>15.200000000000003</v>
      </c>
      <c r="AI21" s="28">
        <f t="shared" si="19"/>
        <v>19.740259740259745</v>
      </c>
      <c r="AJ21" s="28">
        <f t="shared" si="20"/>
        <v>28.679245283018879</v>
      </c>
      <c r="AK21" s="28">
        <f t="shared" si="21"/>
        <v>38.974358974358985</v>
      </c>
      <c r="AL21" s="28">
        <f t="shared" si="22"/>
        <v>49.032258064516142</v>
      </c>
      <c r="AM21" s="28">
        <f t="shared" si="23"/>
        <v>60.800000000000011</v>
      </c>
      <c r="AN21" s="28">
        <f t="shared" si="24"/>
        <v>76.000000000000014</v>
      </c>
      <c r="AO21" s="28">
        <f t="shared" si="25"/>
        <v>95.000000000000028</v>
      </c>
      <c r="AP21" s="28">
        <f t="shared" si="26"/>
        <v>116.92307692307695</v>
      </c>
      <c r="AQ21" s="28">
        <f>SLOPE(Taulukkotiedot!$D$53:$D$62*X21,AG21:AP21)</f>
        <v>145.94340095339788</v>
      </c>
      <c r="AR21" s="4">
        <f>AVERAGE($AQ$2:$AQ21)</f>
        <v>51.479733384400824</v>
      </c>
      <c r="AT21" s="4">
        <f>AE21*(1-Taulukkotiedot!R$2)+Laskenta!AR21*Taulukkotiedot!R$2</f>
        <v>54.700222601100251</v>
      </c>
      <c r="AU21" s="4"/>
      <c r="AW21" s="54">
        <f>AT21+Lähtötiedot!C$22</f>
        <v>125.7766326378017</v>
      </c>
      <c r="AX21" s="3"/>
      <c r="AY21" s="4">
        <v>950</v>
      </c>
      <c r="AZ21" s="28">
        <v>20</v>
      </c>
      <c r="BA21" s="4">
        <f t="shared" si="27"/>
        <v>145.94340095339788</v>
      </c>
      <c r="BB21" s="4">
        <f t="shared" si="28"/>
        <v>166.57075206782577</v>
      </c>
      <c r="BC21" s="59">
        <f t="shared" si="29"/>
        <v>156.25707651061182</v>
      </c>
      <c r="BD21" s="28">
        <f>SUM(BC$2:BC21)</f>
        <v>1094.0044520220049</v>
      </c>
    </row>
    <row r="22" spans="1:56" s="4" customFormat="1" x14ac:dyDescent="0.25">
      <c r="A22" s="11">
        <f t="shared" si="30"/>
        <v>20</v>
      </c>
      <c r="B22" s="28">
        <f t="shared" si="2"/>
        <v>1735.5769230769238</v>
      </c>
      <c r="C22" s="28">
        <f t="shared" si="3"/>
        <v>2375.0000000000009</v>
      </c>
      <c r="D22" s="28">
        <f t="shared" si="4"/>
        <v>3008.3333333333344</v>
      </c>
      <c r="E22" s="28">
        <f t="shared" si="5"/>
        <v>3610.0000000000014</v>
      </c>
      <c r="F22" s="28">
        <f t="shared" si="6"/>
        <v>4512.5000000000018</v>
      </c>
      <c r="G22" s="28">
        <f t="shared" si="7"/>
        <v>6016.6666666666688</v>
      </c>
      <c r="H22" s="28">
        <f t="shared" si="8"/>
        <v>7520.8333333333367</v>
      </c>
      <c r="I22" s="2">
        <f>SLOPE(Taulukkotiedot!$D$4:$D$10*A22,Laskenta!B22:H22)</f>
        <v>66.952218738539983</v>
      </c>
      <c r="J22" s="4">
        <f t="shared" si="9"/>
        <v>827.98165137614706</v>
      </c>
      <c r="K22" s="4">
        <f t="shared" si="10"/>
        <v>1271.1267605633807</v>
      </c>
      <c r="L22" s="4">
        <f t="shared" si="11"/>
        <v>1920.212765957448</v>
      </c>
      <c r="M22" s="4">
        <f t="shared" si="12"/>
        <v>3471.1538461538476</v>
      </c>
      <c r="N22" s="2">
        <f>SLOPE((Taulukkotiedot!$D$13:$D$16)*A22,Laskenta!J22:M22)</f>
        <v>63.577543312998849</v>
      </c>
      <c r="P22" s="4">
        <f t="shared" si="0"/>
        <v>12.313886703589286</v>
      </c>
      <c r="Q22" s="4">
        <f t="shared" si="1"/>
        <v>8.8321495753857739</v>
      </c>
      <c r="R22" s="4">
        <f>AVERAGE($I$2:$I22)</f>
        <v>24.946205415283668</v>
      </c>
      <c r="S22" s="4">
        <f>AVERAGE($N$2:$N22)</f>
        <v>21.860601606549437</v>
      </c>
      <c r="U22" s="6">
        <f>R22*Taulukkotiedot!$I$2+(1-Taulukkotiedot!$I$2)*Laskenta!S22+Laskenta!Q22</f>
        <v>31.77271251499219</v>
      </c>
      <c r="V22" s="6">
        <f>R22*Taulukkotiedot!$I$2+(1-Taulukkotiedot!$I$2)*Laskenta!S22+Laskenta!Q22+P22</f>
        <v>44.086599218581476</v>
      </c>
      <c r="X22" s="3">
        <v>1</v>
      </c>
      <c r="Y22" s="28">
        <v>1000</v>
      </c>
      <c r="Z22" s="28">
        <f t="shared" si="13"/>
        <v>10.314285714285717</v>
      </c>
      <c r="AA22" s="28">
        <f t="shared" si="14"/>
        <v>18.753246753246756</v>
      </c>
      <c r="AB22" s="28">
        <f t="shared" si="15"/>
        <v>27.24528301886793</v>
      </c>
      <c r="AC22" s="28">
        <f t="shared" si="16"/>
        <v>48.133333333333347</v>
      </c>
      <c r="AD22" s="28">
        <f>SLOPE(Taulukkotiedot!$D$47:$D$50*X22,Z22:AC22)</f>
        <v>184.56593026905907</v>
      </c>
      <c r="AE22" s="4">
        <f>AVERAGE($AD$2:$AD22)</f>
        <v>63.951436505954874</v>
      </c>
      <c r="AG22" s="28">
        <f t="shared" si="17"/>
        <v>9.6266666666666705</v>
      </c>
      <c r="AH22" s="28">
        <f t="shared" si="18"/>
        <v>14.440000000000003</v>
      </c>
      <c r="AI22" s="28">
        <f t="shared" si="19"/>
        <v>18.753246753246756</v>
      </c>
      <c r="AJ22" s="28">
        <f t="shared" si="20"/>
        <v>27.24528301886793</v>
      </c>
      <c r="AK22" s="28">
        <f t="shared" si="21"/>
        <v>37.025641025641029</v>
      </c>
      <c r="AL22" s="28">
        <f t="shared" si="22"/>
        <v>46.580645161290334</v>
      </c>
      <c r="AM22" s="28">
        <f t="shared" si="23"/>
        <v>57.760000000000012</v>
      </c>
      <c r="AN22" s="28">
        <f t="shared" si="24"/>
        <v>72.200000000000017</v>
      </c>
      <c r="AO22" s="28">
        <f t="shared" si="25"/>
        <v>90.250000000000014</v>
      </c>
      <c r="AP22" s="28">
        <f t="shared" si="26"/>
        <v>111.07692307692311</v>
      </c>
      <c r="AQ22" s="28">
        <f>SLOPE(Taulukkotiedot!$D$53:$D$62*X22,AG22:AP22)</f>
        <v>161.71013956055168</v>
      </c>
      <c r="AR22" s="4">
        <f>AVERAGE($AQ$2:$AQ22)</f>
        <v>56.728800345169908</v>
      </c>
      <c r="AT22" s="4">
        <f>AE22*(1-Taulukkotiedot!R$2)+Laskenta!AR22*Taulukkotiedot!R$2</f>
        <v>60.340118425562395</v>
      </c>
      <c r="AW22" s="54">
        <f>AT22+Lähtötiedot!C$22</f>
        <v>131.41652846226384</v>
      </c>
      <c r="AX22" s="3"/>
      <c r="AY22" s="28">
        <v>1000</v>
      </c>
      <c r="AZ22" s="3">
        <v>21</v>
      </c>
      <c r="BA22" s="4">
        <f t="shared" si="27"/>
        <v>161.71013956055168</v>
      </c>
      <c r="BB22" s="4">
        <f t="shared" si="28"/>
        <v>184.56593026905907</v>
      </c>
      <c r="BC22" s="59">
        <f t="shared" si="29"/>
        <v>173.13803491480536</v>
      </c>
      <c r="BD22" s="28">
        <f>SUM(BC$2:BC22)</f>
        <v>1267.1424869368102</v>
      </c>
    </row>
    <row r="23" spans="1:56" x14ac:dyDescent="0.25">
      <c r="A23" s="8">
        <f t="shared" si="30"/>
        <v>21</v>
      </c>
      <c r="B23" s="28">
        <f t="shared" si="2"/>
        <v>1652.9304029304035</v>
      </c>
      <c r="C23" s="28">
        <f t="shared" si="3"/>
        <v>2261.9047619047624</v>
      </c>
      <c r="D23" s="28">
        <f t="shared" si="4"/>
        <v>2865.0793650793662</v>
      </c>
      <c r="E23" s="28">
        <f t="shared" si="5"/>
        <v>3438.0952380952399</v>
      </c>
      <c r="F23" s="28">
        <f t="shared" si="6"/>
        <v>4297.6190476190495</v>
      </c>
      <c r="G23" s="28">
        <f t="shared" si="7"/>
        <v>5730.1587301587324</v>
      </c>
      <c r="H23" s="28">
        <f t="shared" si="8"/>
        <v>7162.6984126984162</v>
      </c>
      <c r="I23" s="2">
        <f>SLOPE(Taulukkotiedot!$D$4:$D$10*A23,Laskenta!B23:H23)</f>
        <v>73.814821159240324</v>
      </c>
      <c r="J23">
        <f t="shared" si="9"/>
        <v>788.55395369156872</v>
      </c>
      <c r="K23">
        <f t="shared" si="10"/>
        <v>1210.5969148222673</v>
      </c>
      <c r="L23">
        <f t="shared" si="11"/>
        <v>1828.7740628166168</v>
      </c>
      <c r="M23">
        <f t="shared" si="12"/>
        <v>3305.860805860807</v>
      </c>
      <c r="N23" s="2">
        <f>SLOPE((Taulukkotiedot!$D$13:$D$16)*A23,Laskenta!J23:M23)</f>
        <v>70.094241502581241</v>
      </c>
      <c r="P23">
        <f t="shared" si="0"/>
        <v>12.313886703589286</v>
      </c>
      <c r="Q23">
        <f t="shared" si="1"/>
        <v>8.8321495753857739</v>
      </c>
      <c r="R23">
        <f>AVERAGE($I$2:$I23)</f>
        <v>27.16750613091806</v>
      </c>
      <c r="S23">
        <f>AVERAGE($N$2:$N23)</f>
        <v>24.053039783641793</v>
      </c>
      <c r="U23" s="6">
        <f>R23*Taulukkotiedot!$I$2+(1-Taulukkotiedot!$I$2)*Laskenta!S23+Laskenta!Q23</f>
        <v>33.975252580574264</v>
      </c>
      <c r="V23" s="6">
        <f>R23*Taulukkotiedot!$I$2+(1-Taulukkotiedot!$I$2)*Laskenta!S23+Laskenta!Q23+P23</f>
        <v>46.289139284163554</v>
      </c>
      <c r="X23" s="3">
        <v>1.05</v>
      </c>
      <c r="Y23" s="28">
        <v>1050</v>
      </c>
      <c r="Z23" s="28">
        <f t="shared" si="13"/>
        <v>9.8231292517006814</v>
      </c>
      <c r="AA23" s="28">
        <f t="shared" si="14"/>
        <v>17.860235003092146</v>
      </c>
      <c r="AB23" s="28">
        <f t="shared" si="15"/>
        <v>25.947888589398026</v>
      </c>
      <c r="AC23" s="28">
        <f t="shared" si="16"/>
        <v>45.841269841269849</v>
      </c>
      <c r="AD23" s="28">
        <f>SLOPE(Taulukkotiedot!$D$47:$D$50*X23,Z23:AC23)</f>
        <v>203.48393812163764</v>
      </c>
      <c r="AE23" s="4">
        <f>AVERAGE($AD$2:$AD23)</f>
        <v>70.293822943031373</v>
      </c>
      <c r="AG23" s="28">
        <f t="shared" si="17"/>
        <v>9.1682539682539694</v>
      </c>
      <c r="AH23" s="28">
        <f t="shared" si="18"/>
        <v>13.752380952380957</v>
      </c>
      <c r="AI23" s="28">
        <f t="shared" si="19"/>
        <v>17.860235003092146</v>
      </c>
      <c r="AJ23" s="28">
        <f t="shared" si="20"/>
        <v>25.947888589398026</v>
      </c>
      <c r="AK23" s="28">
        <f t="shared" si="21"/>
        <v>35.262515262515272</v>
      </c>
      <c r="AL23" s="28">
        <f t="shared" si="22"/>
        <v>44.362519201228892</v>
      </c>
      <c r="AM23" s="28">
        <f t="shared" si="23"/>
        <v>55.009523809523827</v>
      </c>
      <c r="AN23" s="28">
        <f t="shared" si="24"/>
        <v>68.761904761904773</v>
      </c>
      <c r="AO23" s="28">
        <f t="shared" si="25"/>
        <v>85.952380952380977</v>
      </c>
      <c r="AP23" s="28">
        <f t="shared" si="26"/>
        <v>105.78754578754581</v>
      </c>
      <c r="AQ23" s="28">
        <f>SLOPE(Taulukkotiedot!$D$53:$D$62*X23,AG23:AP23)</f>
        <v>178.28542886550824</v>
      </c>
      <c r="AR23" s="4">
        <f>AVERAGE($AQ$2:$AQ23)</f>
        <v>62.254101641548921</v>
      </c>
      <c r="AT23" s="4">
        <f>AE23*(1-Taulukkotiedot!R$2)+Laskenta!AR23*Taulukkotiedot!R$2</f>
        <v>66.27396229229015</v>
      </c>
      <c r="AU23" s="4"/>
      <c r="AW23" s="54">
        <f>AT23+Lähtötiedot!C$22</f>
        <v>137.3503723289916</v>
      </c>
      <c r="AX23" s="3"/>
      <c r="AY23" s="28">
        <v>1050</v>
      </c>
      <c r="AZ23" s="28">
        <v>22</v>
      </c>
      <c r="BA23" s="4">
        <f t="shared" si="27"/>
        <v>178.28542886550824</v>
      </c>
      <c r="BB23" s="4">
        <f t="shared" si="28"/>
        <v>203.48393812163764</v>
      </c>
      <c r="BC23" s="59">
        <f t="shared" si="29"/>
        <v>190.88468349357294</v>
      </c>
      <c r="BD23" s="28">
        <f>SUM(BC$2:BC23)</f>
        <v>1458.0271704303832</v>
      </c>
    </row>
    <row r="24" spans="1:56" s="3" customFormat="1" x14ac:dyDescent="0.25">
      <c r="A24" s="9">
        <f t="shared" si="30"/>
        <v>22</v>
      </c>
      <c r="B24" s="28">
        <f t="shared" si="2"/>
        <v>1577.7972027972032</v>
      </c>
      <c r="C24" s="28">
        <f t="shared" si="3"/>
        <v>2159.0909090909099</v>
      </c>
      <c r="D24" s="28">
        <f t="shared" si="4"/>
        <v>2734.8484848484864</v>
      </c>
      <c r="E24" s="28">
        <f t="shared" si="5"/>
        <v>3281.8181818181829</v>
      </c>
      <c r="F24" s="28">
        <f t="shared" si="6"/>
        <v>4102.2727272727288</v>
      </c>
      <c r="G24" s="28">
        <f t="shared" si="7"/>
        <v>5469.6969696969727</v>
      </c>
      <c r="H24" s="28">
        <f t="shared" si="8"/>
        <v>6837.1212121212156</v>
      </c>
      <c r="I24" s="2">
        <f>SLOPE(Taulukkotiedot!$D$4:$D$10*A24,Laskenta!B24:H24)</f>
        <v>81.012184673633357</v>
      </c>
      <c r="J24" s="3">
        <f t="shared" si="9"/>
        <v>752.71059216013373</v>
      </c>
      <c r="K24" s="3">
        <f t="shared" si="10"/>
        <v>1155.5697823303462</v>
      </c>
      <c r="L24" s="3">
        <f t="shared" si="11"/>
        <v>1745.6479690522251</v>
      </c>
      <c r="M24" s="3">
        <f t="shared" si="12"/>
        <v>3155.5944055944065</v>
      </c>
      <c r="N24" s="2">
        <f>SLOPE((Taulukkotiedot!$D$13:$D$16)*A24,Laskenta!J24:M24)</f>
        <v>76.928827408728623</v>
      </c>
      <c r="P24" s="3">
        <f t="shared" si="0"/>
        <v>12.313886703589286</v>
      </c>
      <c r="Q24" s="3">
        <f t="shared" si="1"/>
        <v>8.8321495753857739</v>
      </c>
      <c r="R24" s="3">
        <f>AVERAGE($I$2:$I24)</f>
        <v>29.508579111036116</v>
      </c>
      <c r="S24" s="3">
        <f>AVERAGE($N$2:$N24)</f>
        <v>26.351987071689045</v>
      </c>
      <c r="U24" s="6">
        <f>R24*Taulukkotiedot!$I$2+(1-Taulukkotiedot!$I$2)*Laskenta!S24+Laskenta!Q24</f>
        <v>36.288943860846288</v>
      </c>
      <c r="V24" s="6">
        <f>R24*Taulukkotiedot!$I$2+(1-Taulukkotiedot!$I$2)*Laskenta!S24+Laskenta!Q24+P24</f>
        <v>48.602830564435578</v>
      </c>
      <c r="X24" s="4">
        <v>1.1000000000000001</v>
      </c>
      <c r="Y24" s="3">
        <v>1100</v>
      </c>
      <c r="Z24" s="28">
        <f t="shared" si="13"/>
        <v>9.3766233766233782</v>
      </c>
      <c r="AA24" s="28">
        <f t="shared" si="14"/>
        <v>17.048406139315233</v>
      </c>
      <c r="AB24" s="28">
        <f t="shared" si="15"/>
        <v>24.768439108061752</v>
      </c>
      <c r="AC24" s="28">
        <f t="shared" si="16"/>
        <v>43.757575757575765</v>
      </c>
      <c r="AD24" s="28">
        <f>SLOPE(Taulukkotiedot!$D$47:$D$50*X24,Z24:AC24)</f>
        <v>223.32477562556159</v>
      </c>
      <c r="AE24" s="4">
        <f>AVERAGE($AD$2:$AD24)</f>
        <v>76.947342624880505</v>
      </c>
      <c r="AG24" s="28">
        <f t="shared" si="17"/>
        <v>8.7515151515151537</v>
      </c>
      <c r="AH24" s="28">
        <f t="shared" si="18"/>
        <v>13.127272727272731</v>
      </c>
      <c r="AI24" s="28">
        <f t="shared" si="19"/>
        <v>17.048406139315233</v>
      </c>
      <c r="AJ24" s="28">
        <f t="shared" si="20"/>
        <v>24.768439108061752</v>
      </c>
      <c r="AK24" s="28">
        <f t="shared" si="21"/>
        <v>33.659673659673665</v>
      </c>
      <c r="AL24" s="28">
        <f t="shared" si="22"/>
        <v>42.34604105571848</v>
      </c>
      <c r="AM24" s="28">
        <f t="shared" si="23"/>
        <v>52.509090909090922</v>
      </c>
      <c r="AN24" s="28">
        <f t="shared" si="24"/>
        <v>65.63636363636364</v>
      </c>
      <c r="AO24" s="28">
        <f t="shared" si="25"/>
        <v>82.045454545454561</v>
      </c>
      <c r="AP24" s="28">
        <f t="shared" si="26"/>
        <v>100.97902097902099</v>
      </c>
      <c r="AQ24" s="28">
        <f>SLOPE(Taulukkotiedot!$D$53:$D$62*X24,AG24:AP24)</f>
        <v>195.66926886826755</v>
      </c>
      <c r="AR24" s="4">
        <f>AVERAGE($AQ$2:$AQ24)</f>
        <v>68.054761086188861</v>
      </c>
      <c r="AT24" s="4">
        <f>AE24*(1-Taulukkotiedot!R$2)+Laskenta!AR24*Taulukkotiedot!R$2</f>
        <v>72.501051855534683</v>
      </c>
      <c r="AU24" s="4"/>
      <c r="AW24" s="54">
        <f>AT24+Lähtötiedot!C$22</f>
        <v>143.57746189223613</v>
      </c>
      <c r="AY24" s="3">
        <v>1100</v>
      </c>
      <c r="AZ24" s="3">
        <v>23</v>
      </c>
      <c r="BA24" s="4">
        <f t="shared" si="27"/>
        <v>195.66926886826755</v>
      </c>
      <c r="BB24" s="4">
        <f t="shared" si="28"/>
        <v>223.32477562556159</v>
      </c>
      <c r="BC24" s="59">
        <f t="shared" si="29"/>
        <v>209.49702224691458</v>
      </c>
      <c r="BD24" s="28">
        <f>SUM(BC$2:BC24)</f>
        <v>1667.5241926772978</v>
      </c>
    </row>
    <row r="25" spans="1:56" x14ac:dyDescent="0.25">
      <c r="A25" s="8">
        <f t="shared" si="30"/>
        <v>23</v>
      </c>
      <c r="B25" s="28">
        <f t="shared" si="2"/>
        <v>1509.1973244147164</v>
      </c>
      <c r="C25" s="28">
        <f t="shared" si="3"/>
        <v>2065.2173913043484</v>
      </c>
      <c r="D25" s="28">
        <f t="shared" si="4"/>
        <v>2615.9420289855088</v>
      </c>
      <c r="E25" s="28">
        <f t="shared" si="5"/>
        <v>3139.1304347826099</v>
      </c>
      <c r="F25" s="28">
        <f t="shared" si="6"/>
        <v>3923.9130434782624</v>
      </c>
      <c r="G25" s="28">
        <f t="shared" si="7"/>
        <v>5231.8840579710177</v>
      </c>
      <c r="H25" s="28">
        <f t="shared" si="8"/>
        <v>6539.8550724637716</v>
      </c>
      <c r="I25" s="2">
        <f>SLOPE(Taulukkotiedot!$D$4:$D$10*A25,Laskenta!B25:H25)</f>
        <v>88.544309281719109</v>
      </c>
      <c r="J25">
        <f t="shared" si="9"/>
        <v>719.98404467491048</v>
      </c>
      <c r="K25">
        <f t="shared" si="10"/>
        <v>1105.3276178812007</v>
      </c>
      <c r="L25">
        <f t="shared" si="11"/>
        <v>1669.7502312673457</v>
      </c>
      <c r="M25">
        <f t="shared" si="12"/>
        <v>3018.3946488294328</v>
      </c>
      <c r="N25" s="2">
        <f>SLOPE((Taulukkotiedot!$D$13:$D$16)*A25,Laskenta!J25:M25)</f>
        <v>84.081301031440958</v>
      </c>
      <c r="P25">
        <f t="shared" si="0"/>
        <v>12.313886703589286</v>
      </c>
      <c r="Q25">
        <f t="shared" si="1"/>
        <v>8.8321495753857739</v>
      </c>
      <c r="R25">
        <f>AVERAGE($I$2:$I25)</f>
        <v>31.968401201481242</v>
      </c>
      <c r="S25">
        <f>AVERAGE($N$2:$N25)</f>
        <v>28.757375153345375</v>
      </c>
      <c r="U25" s="6">
        <f>R25*Taulukkotiedot!$I$2+(1-Taulukkotiedot!$I$2)*Laskenta!S25+Laskenta!Q25</f>
        <v>38.713383845578704</v>
      </c>
      <c r="V25" s="6">
        <f>R25*Taulukkotiedot!$I$2+(1-Taulukkotiedot!$I$2)*Laskenta!S25+Laskenta!Q25+P25</f>
        <v>51.027270549167994</v>
      </c>
      <c r="X25" s="28">
        <v>1.1499999999999999</v>
      </c>
      <c r="Y25" s="4">
        <v>1150</v>
      </c>
      <c r="Z25" s="28">
        <f t="shared" si="13"/>
        <v>8.9689440993788843</v>
      </c>
      <c r="AA25" s="28">
        <f t="shared" si="14"/>
        <v>16.307171089779793</v>
      </c>
      <c r="AB25" s="28">
        <f t="shared" si="15"/>
        <v>23.69155045118951</v>
      </c>
      <c r="AC25" s="28">
        <f t="shared" si="16"/>
        <v>41.855072463768124</v>
      </c>
      <c r="AD25" s="28">
        <f>SLOPE(Taulukkotiedot!$D$47:$D$50*X25,Z25:AC25)</f>
        <v>244.08844278083052</v>
      </c>
      <c r="AE25" s="4">
        <f>AVERAGE($AD$2:$AD25)</f>
        <v>83.911555131378421</v>
      </c>
      <c r="AG25" s="28">
        <f t="shared" si="17"/>
        <v>8.3710144927536252</v>
      </c>
      <c r="AH25" s="28">
        <f t="shared" si="18"/>
        <v>12.556521739130439</v>
      </c>
      <c r="AI25" s="28">
        <f t="shared" si="19"/>
        <v>16.307171089779793</v>
      </c>
      <c r="AJ25" s="28">
        <f t="shared" si="20"/>
        <v>23.69155045118951</v>
      </c>
      <c r="AK25" s="28">
        <f t="shared" si="21"/>
        <v>32.196209587513948</v>
      </c>
      <c r="AL25" s="28">
        <f t="shared" si="22"/>
        <v>40.504908835904644</v>
      </c>
      <c r="AM25" s="28">
        <f t="shared" si="23"/>
        <v>50.226086956521755</v>
      </c>
      <c r="AN25" s="28">
        <f t="shared" si="24"/>
        <v>62.7826086956522</v>
      </c>
      <c r="AO25" s="28">
        <f t="shared" si="25"/>
        <v>78.478260869565247</v>
      </c>
      <c r="AP25" s="28">
        <f t="shared" si="26"/>
        <v>96.58862876254183</v>
      </c>
      <c r="AQ25" s="28">
        <f>SLOPE(Taulukkotiedot!$D$53:$D$62*X25,AG25:AP25)</f>
        <v>213.86165956882954</v>
      </c>
      <c r="AR25" s="4">
        <f>AVERAGE($AQ$2:$AQ25)</f>
        <v>74.130048522965566</v>
      </c>
      <c r="AT25" s="4">
        <f>AE25*(1-Taulukkotiedot!R$2)+Laskenta!AR25*Taulukkotiedot!R$2</f>
        <v>79.020801827171994</v>
      </c>
      <c r="AU25" s="4"/>
      <c r="AW25" s="54">
        <f>AT25+Lähtötiedot!C$22</f>
        <v>150.09721186387344</v>
      </c>
      <c r="AX25" s="3"/>
      <c r="AY25" s="4">
        <v>1150</v>
      </c>
      <c r="AZ25" s="1">
        <v>24</v>
      </c>
      <c r="BA25" s="4">
        <f t="shared" si="27"/>
        <v>213.86165956882954</v>
      </c>
      <c r="BB25" s="4">
        <f t="shared" si="28"/>
        <v>244.08844278083052</v>
      </c>
      <c r="BC25" s="59">
        <f t="shared" si="29"/>
        <v>228.97505117483001</v>
      </c>
      <c r="BD25" s="28">
        <f>SUM(BC$2:BC25)</f>
        <v>1896.4992438521278</v>
      </c>
    </row>
    <row r="26" spans="1:56" s="3" customFormat="1" x14ac:dyDescent="0.25">
      <c r="A26" s="9">
        <f t="shared" si="30"/>
        <v>24</v>
      </c>
      <c r="B26" s="28">
        <f t="shared" si="2"/>
        <v>1446.3141025641032</v>
      </c>
      <c r="C26" s="28">
        <f t="shared" si="3"/>
        <v>1979.1666666666672</v>
      </c>
      <c r="D26" s="28">
        <f t="shared" si="4"/>
        <v>2506.9444444444457</v>
      </c>
      <c r="E26" s="28">
        <f t="shared" si="5"/>
        <v>3008.3333333333344</v>
      </c>
      <c r="F26" s="28">
        <f t="shared" si="6"/>
        <v>3760.4166666666674</v>
      </c>
      <c r="G26" s="28">
        <f t="shared" si="7"/>
        <v>5013.8888888888914</v>
      </c>
      <c r="H26" s="28">
        <f t="shared" si="8"/>
        <v>6267.361111111114</v>
      </c>
      <c r="I26" s="2">
        <f>SLOPE(Taulukkotiedot!$D$4:$D$10*A26,Laskenta!B26:H26)</f>
        <v>96.411194983497552</v>
      </c>
      <c r="J26" s="3">
        <f t="shared" si="9"/>
        <v>689.98470948012255</v>
      </c>
      <c r="K26" s="3">
        <f t="shared" si="10"/>
        <v>1059.272300469484</v>
      </c>
      <c r="L26" s="3">
        <f t="shared" si="11"/>
        <v>1600.1773049645399</v>
      </c>
      <c r="M26" s="3">
        <f t="shared" si="12"/>
        <v>2892.6282051282064</v>
      </c>
      <c r="N26" s="2">
        <f>SLOPE((Taulukkotiedot!$D$13:$D$16)*A26,Laskenta!J26:M26)</f>
        <v>91.551662370718333</v>
      </c>
      <c r="P26" s="3">
        <f t="shared" si="0"/>
        <v>12.313886703589286</v>
      </c>
      <c r="Q26" s="3">
        <f t="shared" si="1"/>
        <v>8.8321495753857739</v>
      </c>
      <c r="R26" s="3">
        <f>AVERAGE($I$2:$I26)</f>
        <v>34.546112952761895</v>
      </c>
      <c r="S26" s="3">
        <f>AVERAGE($N$2:$N26)</f>
        <v>31.26914664204029</v>
      </c>
      <c r="U26" s="6">
        <f>R26*Taulukkotiedot!$I$2+(1-Taulukkotiedot!$I$2)*Laskenta!S26+Laskenta!Q26</f>
        <v>41.248234426178627</v>
      </c>
      <c r="V26" s="6">
        <f>R26*Taulukkotiedot!$I$2+(1-Taulukkotiedot!$I$2)*Laskenta!S26+Laskenta!Q26+P26</f>
        <v>53.562121129767917</v>
      </c>
      <c r="X26" s="3">
        <v>1.2</v>
      </c>
      <c r="Y26" s="28">
        <v>1200</v>
      </c>
      <c r="Z26" s="28">
        <f t="shared" si="13"/>
        <v>8.5952380952380967</v>
      </c>
      <c r="AA26" s="28">
        <f t="shared" si="14"/>
        <v>15.627705627705632</v>
      </c>
      <c r="AB26" s="28">
        <f t="shared" si="15"/>
        <v>22.704402515723274</v>
      </c>
      <c r="AC26" s="28">
        <f t="shared" si="16"/>
        <v>40.111111111111121</v>
      </c>
      <c r="AD26" s="28">
        <f>SLOPE(Taulukkotiedot!$D$47:$D$50*X26,Z26:AC26)</f>
        <v>265.77493958744503</v>
      </c>
      <c r="AE26" s="4">
        <f>AVERAGE($AD$2:$AD26)</f>
        <v>91.186090509621096</v>
      </c>
      <c r="AG26" s="28">
        <f t="shared" si="17"/>
        <v>8.0222222222222257</v>
      </c>
      <c r="AH26" s="28">
        <f t="shared" si="18"/>
        <v>12.033333333333337</v>
      </c>
      <c r="AI26" s="28">
        <f t="shared" si="19"/>
        <v>15.627705627705632</v>
      </c>
      <c r="AJ26" s="28">
        <f t="shared" si="20"/>
        <v>22.704402515723274</v>
      </c>
      <c r="AK26" s="28">
        <f t="shared" si="21"/>
        <v>30.854700854700862</v>
      </c>
      <c r="AL26" s="28">
        <f t="shared" si="22"/>
        <v>38.817204301075279</v>
      </c>
      <c r="AM26" s="28">
        <f t="shared" si="23"/>
        <v>48.133333333333347</v>
      </c>
      <c r="AN26" s="28">
        <f t="shared" si="24"/>
        <v>60.166666666666686</v>
      </c>
      <c r="AO26" s="28">
        <f t="shared" si="25"/>
        <v>75.208333333333357</v>
      </c>
      <c r="AP26" s="28">
        <f t="shared" si="26"/>
        <v>92.564102564102598</v>
      </c>
      <c r="AQ26" s="28">
        <f>SLOPE(Taulukkotiedot!$D$53:$D$62*X26,AG26:AP26)</f>
        <v>232.86260096719437</v>
      </c>
      <c r="AR26" s="4">
        <f>AVERAGE($AQ$2:$AQ26)</f>
        <v>80.479350620734706</v>
      </c>
      <c r="AT26" s="4">
        <f>AE26*(1-Taulukkotiedot!R$2)+Laskenta!AR26*Taulukkotiedot!R$2</f>
        <v>85.832720565177908</v>
      </c>
      <c r="AU26" s="4"/>
      <c r="AW26" s="54">
        <f>AT26+Lähtötiedot!C$22</f>
        <v>156.90913060187935</v>
      </c>
      <c r="AY26" s="28">
        <v>1200</v>
      </c>
      <c r="AZ26" s="3">
        <v>25</v>
      </c>
      <c r="BA26" s="4">
        <f t="shared" si="27"/>
        <v>232.86260096719437</v>
      </c>
      <c r="BB26" s="4">
        <f t="shared" si="28"/>
        <v>265.77493958744503</v>
      </c>
      <c r="BC26" s="59">
        <f t="shared" si="29"/>
        <v>249.31877027731969</v>
      </c>
      <c r="BD26" s="28">
        <f>SUM(BC$2:BC26)</f>
        <v>2145.8180141294474</v>
      </c>
    </row>
    <row r="27" spans="1:56" s="1" customFormat="1" x14ac:dyDescent="0.25">
      <c r="A27" s="10">
        <f t="shared" si="30"/>
        <v>25</v>
      </c>
      <c r="B27" s="1">
        <f t="shared" si="2"/>
        <v>1388.461538461539</v>
      </c>
      <c r="C27" s="1">
        <f t="shared" si="3"/>
        <v>1900.0000000000007</v>
      </c>
      <c r="D27" s="1">
        <f t="shared" si="4"/>
        <v>2406.6666666666674</v>
      </c>
      <c r="E27" s="1">
        <f t="shared" si="5"/>
        <v>2888.0000000000014</v>
      </c>
      <c r="F27" s="1">
        <f t="shared" si="6"/>
        <v>3610.0000000000014</v>
      </c>
      <c r="G27" s="1">
        <f t="shared" si="7"/>
        <v>4813.3333333333348</v>
      </c>
      <c r="H27" s="1">
        <f t="shared" si="8"/>
        <v>6016.6666666666688</v>
      </c>
      <c r="I27" s="2">
        <f>SLOPE(Taulukkotiedot!$D$4:$D$10*A27,Laskenta!B27:H27)</f>
        <v>104.61284177896873</v>
      </c>
      <c r="J27" s="1">
        <f t="shared" si="9"/>
        <v>662.38532110091762</v>
      </c>
      <c r="K27" s="1">
        <f t="shared" si="10"/>
        <v>1016.9014084507046</v>
      </c>
      <c r="L27" s="1">
        <f t="shared" si="11"/>
        <v>1536.1702127659582</v>
      </c>
      <c r="M27" s="1">
        <f t="shared" si="12"/>
        <v>2776.923076923078</v>
      </c>
      <c r="N27" s="2">
        <f>SLOPE((Taulukkotiedot!$D$13:$D$16)*A27,Laskenta!J27:M27)</f>
        <v>99.339911426560704</v>
      </c>
      <c r="P27" s="1">
        <f t="shared" si="0"/>
        <v>12.313886703589286</v>
      </c>
      <c r="Q27" s="1">
        <f t="shared" si="1"/>
        <v>8.8321495753857739</v>
      </c>
      <c r="R27" s="1">
        <f>AVERAGE($I$2:$I27)</f>
        <v>37.240987138385236</v>
      </c>
      <c r="S27" s="1">
        <f>AVERAGE($N$2:$N27)</f>
        <v>33.887252979906457</v>
      </c>
      <c r="U27" s="6">
        <f>R27*Taulukkotiedot!$I$2+(1-Taulukkotiedot!$I$2)*Laskenta!S27+Laskenta!Q27</f>
        <v>43.893209510759803</v>
      </c>
      <c r="V27" s="6">
        <f>R27*Taulukkotiedot!$I$2+(1-Taulukkotiedot!$I$2)*Laskenta!S27+Laskenta!Q27+P27</f>
        <v>56.207096214349093</v>
      </c>
      <c r="X27" s="3">
        <v>1.25</v>
      </c>
      <c r="Y27" s="28">
        <v>1250</v>
      </c>
      <c r="Z27" s="28">
        <f t="shared" si="13"/>
        <v>8.2514285714285744</v>
      </c>
      <c r="AA27" s="28">
        <f t="shared" si="14"/>
        <v>15.002597402597406</v>
      </c>
      <c r="AB27" s="28">
        <f t="shared" si="15"/>
        <v>21.796226415094342</v>
      </c>
      <c r="AC27" s="28">
        <f t="shared" si="16"/>
        <v>38.506666666666682</v>
      </c>
      <c r="AD27" s="28">
        <f>SLOPE(Taulukkotiedot!$D$47:$D$50*X27,Z27:AC27)</f>
        <v>288.38426604540479</v>
      </c>
      <c r="AE27" s="4">
        <f>AVERAGE($AD$2:$AD27)</f>
        <v>98.770635722535857</v>
      </c>
      <c r="AG27" s="28">
        <f t="shared" si="17"/>
        <v>7.7013333333333351</v>
      </c>
      <c r="AH27" s="28">
        <f t="shared" si="18"/>
        <v>11.552000000000003</v>
      </c>
      <c r="AI27" s="28">
        <f t="shared" si="19"/>
        <v>15.002597402597406</v>
      </c>
      <c r="AJ27" s="28">
        <f t="shared" si="20"/>
        <v>21.796226415094342</v>
      </c>
      <c r="AK27" s="28">
        <f t="shared" si="21"/>
        <v>29.620512820512825</v>
      </c>
      <c r="AL27" s="28">
        <f t="shared" si="22"/>
        <v>37.264516129032266</v>
      </c>
      <c r="AM27" s="28">
        <f t="shared" si="23"/>
        <v>46.208000000000013</v>
      </c>
      <c r="AN27" s="28">
        <f t="shared" si="24"/>
        <v>57.760000000000012</v>
      </c>
      <c r="AO27" s="28">
        <f t="shared" si="25"/>
        <v>72.200000000000017</v>
      </c>
      <c r="AP27" s="28">
        <f t="shared" si="26"/>
        <v>88.861538461538487</v>
      </c>
      <c r="AQ27" s="28">
        <f>SLOPE(Taulukkotiedot!$D$53:$D$62*X27,AG27:AP27)</f>
        <v>252.67209306336196</v>
      </c>
      <c r="AR27" s="4">
        <f>AVERAGE($AQ$2:$AQ27)</f>
        <v>87.102148406989599</v>
      </c>
      <c r="AT27" s="4">
        <f>AE27*(1-Taulukkotiedot!R$2)+Laskenta!AR27*Taulukkotiedot!R$2</f>
        <v>92.936392064762728</v>
      </c>
      <c r="AU27" s="4"/>
      <c r="AW27" s="54">
        <f>AT27+Lähtötiedot!C$22</f>
        <v>164.01280210146416</v>
      </c>
      <c r="AX27" s="3"/>
      <c r="AY27" s="28">
        <v>1250</v>
      </c>
      <c r="AZ27" s="3">
        <v>26</v>
      </c>
      <c r="BA27" s="4">
        <f t="shared" si="27"/>
        <v>252.67209306336196</v>
      </c>
      <c r="BB27" s="4">
        <f t="shared" si="28"/>
        <v>288.38426604540479</v>
      </c>
      <c r="BC27" s="59">
        <f t="shared" si="29"/>
        <v>270.52817955438337</v>
      </c>
      <c r="BD27" s="28">
        <f>SUM(BC$2:BC27)</f>
        <v>2416.3461936838307</v>
      </c>
    </row>
    <row r="28" spans="1:56" s="3" customFormat="1" x14ac:dyDescent="0.25">
      <c r="A28" s="9">
        <f t="shared" si="30"/>
        <v>26</v>
      </c>
      <c r="B28" s="28">
        <f t="shared" si="2"/>
        <v>1335.0591715976338</v>
      </c>
      <c r="C28" s="28">
        <f t="shared" si="3"/>
        <v>1826.9230769230774</v>
      </c>
      <c r="D28" s="28">
        <f t="shared" si="4"/>
        <v>2314.1025641025649</v>
      </c>
      <c r="E28" s="28">
        <f t="shared" si="5"/>
        <v>2776.923076923078</v>
      </c>
      <c r="F28" s="28">
        <f t="shared" si="6"/>
        <v>3471.1538461538476</v>
      </c>
      <c r="G28" s="28">
        <f t="shared" si="7"/>
        <v>4628.2051282051298</v>
      </c>
      <c r="H28" s="28">
        <f t="shared" si="8"/>
        <v>5785.2564102564129</v>
      </c>
      <c r="I28" s="2">
        <f>SLOPE(Taulukkotiedot!$D$4:$D$10*A28,Laskenta!B28:H28)</f>
        <v>113.14924966813257</v>
      </c>
      <c r="J28" s="3">
        <f t="shared" si="9"/>
        <v>636.90896259703618</v>
      </c>
      <c r="K28" s="3">
        <f t="shared" si="10"/>
        <v>977.78981581798519</v>
      </c>
      <c r="L28" s="3">
        <f t="shared" si="11"/>
        <v>1477.0867430441906</v>
      </c>
      <c r="M28" s="3">
        <f t="shared" si="12"/>
        <v>2670.1183431952677</v>
      </c>
      <c r="N28" s="2">
        <f>SLOPE((Taulukkotiedot!$D$13:$D$16)*A28,Laskenta!J28:M28)</f>
        <v>107.44604819896803</v>
      </c>
      <c r="P28" s="3">
        <f t="shared" si="0"/>
        <v>12.313886703589286</v>
      </c>
      <c r="Q28" s="3">
        <f t="shared" si="1"/>
        <v>8.8321495753857739</v>
      </c>
      <c r="R28" s="3">
        <f>AVERAGE($I$2:$I28)</f>
        <v>40.052404269116614</v>
      </c>
      <c r="S28" s="3">
        <f>AVERAGE($N$2:$N28)</f>
        <v>36.611652802834662</v>
      </c>
      <c r="U28" s="6">
        <f>R28*Taulukkotiedot!$I$2+(1-Taulukkotiedot!$I$2)*Laskenta!S28+Laskenta!Q28</f>
        <v>46.648065391419124</v>
      </c>
      <c r="V28" s="6">
        <f>R28*Taulukkotiedot!$I$2+(1-Taulukkotiedot!$I$2)*Laskenta!S28+Laskenta!Q28+P28</f>
        <v>58.961952095008414</v>
      </c>
      <c r="X28" s="4">
        <v>1.3</v>
      </c>
      <c r="Y28" s="3">
        <v>1300</v>
      </c>
      <c r="Z28" s="28">
        <f t="shared" si="13"/>
        <v>7.934065934065937</v>
      </c>
      <c r="AA28" s="28">
        <f t="shared" si="14"/>
        <v>14.425574425574428</v>
      </c>
      <c r="AB28" s="28">
        <f t="shared" si="15"/>
        <v>20.957910014513793</v>
      </c>
      <c r="AC28" s="28">
        <f t="shared" si="16"/>
        <v>37.025641025641029</v>
      </c>
      <c r="AD28" s="28">
        <f>SLOPE(Taulukkotiedot!$D$47:$D$50*X28,Z28:AC28)</f>
        <v>311.91642215470995</v>
      </c>
      <c r="AE28" s="4">
        <f>AVERAGE($AD$2:$AD28)</f>
        <v>106.66492410891267</v>
      </c>
      <c r="AG28" s="28">
        <f t="shared" si="17"/>
        <v>7.4051282051282064</v>
      </c>
      <c r="AH28" s="28">
        <f t="shared" si="18"/>
        <v>11.107692307692311</v>
      </c>
      <c r="AI28" s="28">
        <f t="shared" si="19"/>
        <v>14.425574425574428</v>
      </c>
      <c r="AJ28" s="28">
        <f t="shared" si="20"/>
        <v>20.957910014513793</v>
      </c>
      <c r="AK28" s="28">
        <f t="shared" si="21"/>
        <v>28.481262327416182</v>
      </c>
      <c r="AL28" s="28">
        <f t="shared" si="22"/>
        <v>35.831265508684865</v>
      </c>
      <c r="AM28" s="28">
        <f t="shared" si="23"/>
        <v>44.430769230769243</v>
      </c>
      <c r="AN28" s="28">
        <f t="shared" si="24"/>
        <v>55.538461538461554</v>
      </c>
      <c r="AO28" s="28">
        <f t="shared" si="25"/>
        <v>69.423076923076934</v>
      </c>
      <c r="AP28" s="28">
        <f t="shared" si="26"/>
        <v>85.44378698224854</v>
      </c>
      <c r="AQ28" s="28">
        <f>SLOPE(Taulukkotiedot!$D$53:$D$62*X28,AG28:AP28)</f>
        <v>273.2901358573323</v>
      </c>
      <c r="AR28" s="4">
        <f>AVERAGE($AQ$2:$AQ28)</f>
        <v>93.99799979403933</v>
      </c>
      <c r="AT28" s="4">
        <f>AE28*(1-Taulukkotiedot!R$2)+Laskenta!AR28*Taulukkotiedot!R$2</f>
        <v>100.331461951476</v>
      </c>
      <c r="AU28" s="4"/>
      <c r="AW28" s="54">
        <f>AT28+Lähtötiedot!C$22</f>
        <v>171.40787198817745</v>
      </c>
      <c r="AY28" s="3">
        <v>1300</v>
      </c>
      <c r="AZ28" s="3">
        <v>27</v>
      </c>
      <c r="BA28" s="4">
        <f t="shared" si="27"/>
        <v>273.2901358573323</v>
      </c>
      <c r="BB28" s="4">
        <f t="shared" si="28"/>
        <v>311.91642215470995</v>
      </c>
      <c r="BC28" s="59">
        <f t="shared" si="29"/>
        <v>292.60327900602113</v>
      </c>
      <c r="BD28" s="28">
        <f>SUM(BC$2:BC28)</f>
        <v>2708.949472689852</v>
      </c>
    </row>
    <row r="29" spans="1:56" x14ac:dyDescent="0.25">
      <c r="A29" s="8">
        <f t="shared" si="30"/>
        <v>27</v>
      </c>
      <c r="B29" s="28">
        <f t="shared" si="2"/>
        <v>1285.612535612536</v>
      </c>
      <c r="C29" s="28">
        <f t="shared" si="3"/>
        <v>1759.25925925926</v>
      </c>
      <c r="D29" s="28">
        <f t="shared" si="4"/>
        <v>2228.3950617283958</v>
      </c>
      <c r="E29" s="28">
        <f t="shared" si="5"/>
        <v>2674.0740740740753</v>
      </c>
      <c r="F29" s="28">
        <f t="shared" si="6"/>
        <v>3342.592592592594</v>
      </c>
      <c r="G29" s="28">
        <f t="shared" si="7"/>
        <v>4456.7901234567917</v>
      </c>
      <c r="H29" s="28">
        <f t="shared" si="8"/>
        <v>5570.9876543209903</v>
      </c>
      <c r="I29" s="2">
        <f>SLOPE(Taulukkotiedot!$D$4:$D$10*A29,Laskenta!B29:H29)</f>
        <v>122.0204186509891</v>
      </c>
      <c r="J29">
        <f t="shared" si="9"/>
        <v>613.31974176010897</v>
      </c>
      <c r="K29">
        <f t="shared" si="10"/>
        <v>941.57537819509696</v>
      </c>
      <c r="L29">
        <f t="shared" si="11"/>
        <v>1422.3798266351464</v>
      </c>
      <c r="M29">
        <f t="shared" si="12"/>
        <v>2571.225071225072</v>
      </c>
      <c r="N29" s="2">
        <f>SLOPE((Taulukkotiedot!$D$13:$D$16)*A29,Laskenta!J29:M29)</f>
        <v>115.87007268794042</v>
      </c>
      <c r="P29">
        <f t="shared" si="0"/>
        <v>12.313886703589286</v>
      </c>
      <c r="Q29">
        <f t="shared" si="1"/>
        <v>8.8321495753857739</v>
      </c>
      <c r="R29">
        <f>AVERAGE($I$2:$I29)</f>
        <v>42.979833354183491</v>
      </c>
      <c r="S29">
        <f>AVERAGE($N$2:$N29)</f>
        <v>39.442310655874159</v>
      </c>
      <c r="U29" s="6">
        <f>R29*Taulukkotiedot!$I$2+(1-Taulukkotiedot!$I$2)*Laskenta!S29+Laskenta!Q29</f>
        <v>49.512593175668201</v>
      </c>
      <c r="V29" s="6">
        <f>R29*Taulukkotiedot!$I$2+(1-Taulukkotiedot!$I$2)*Laskenta!S29+Laskenta!Q29+P29</f>
        <v>61.826479879257491</v>
      </c>
      <c r="X29" s="28">
        <v>1.35</v>
      </c>
      <c r="Y29" s="4">
        <v>1350</v>
      </c>
      <c r="Z29" s="28">
        <f t="shared" si="13"/>
        <v>7.6402116402116427</v>
      </c>
      <c r="AA29" s="28">
        <f t="shared" si="14"/>
        <v>13.891293891293893</v>
      </c>
      <c r="AB29" s="28">
        <f t="shared" si="15"/>
        <v>20.181691125087351</v>
      </c>
      <c r="AC29" s="28">
        <f t="shared" si="16"/>
        <v>35.654320987654323</v>
      </c>
      <c r="AD29" s="28">
        <f>SLOPE(Taulukkotiedot!$D$47:$D$50*X29,Z29:AC29)</f>
        <v>336.37140791536046</v>
      </c>
      <c r="AE29" s="4">
        <f>AVERAGE($AD$2:$AD29)</f>
        <v>114.86872710200009</v>
      </c>
      <c r="AG29" s="28">
        <f t="shared" si="17"/>
        <v>7.1308641975308644</v>
      </c>
      <c r="AH29" s="28">
        <f t="shared" si="18"/>
        <v>10.696296296296298</v>
      </c>
      <c r="AI29" s="28">
        <f t="shared" si="19"/>
        <v>13.891293891293893</v>
      </c>
      <c r="AJ29" s="28">
        <f t="shared" si="20"/>
        <v>20.181691125087351</v>
      </c>
      <c r="AK29" s="28">
        <f t="shared" si="21"/>
        <v>27.426400759734097</v>
      </c>
      <c r="AL29" s="28">
        <f t="shared" si="22"/>
        <v>34.504181600955803</v>
      </c>
      <c r="AM29" s="28">
        <f t="shared" si="23"/>
        <v>42.785185185185192</v>
      </c>
      <c r="AN29" s="28">
        <f t="shared" si="24"/>
        <v>53.481481481481488</v>
      </c>
      <c r="AO29" s="28">
        <f t="shared" si="25"/>
        <v>66.851851851851848</v>
      </c>
      <c r="AP29" s="28">
        <f t="shared" si="26"/>
        <v>82.279202279202295</v>
      </c>
      <c r="AQ29" s="28">
        <f>SLOPE(Taulukkotiedot!$D$53:$D$62*X29,AG29:AP29)</f>
        <v>294.71672934910538</v>
      </c>
      <c r="AR29" s="4">
        <f>AVERAGE($AQ$2:$AQ29)</f>
        <v>101.1665258495774</v>
      </c>
      <c r="AT29" s="4">
        <f>AE29*(1-Taulukkotiedot!R$2)+Laskenta!AR29*Taulukkotiedot!R$2</f>
        <v>108.01762647578875</v>
      </c>
      <c r="AU29" s="4"/>
      <c r="AW29" s="54">
        <f>AT29+Lähtötiedot!C$22</f>
        <v>179.09403651249019</v>
      </c>
      <c r="AX29" s="3"/>
      <c r="AY29" s="4">
        <v>1350</v>
      </c>
      <c r="AZ29" s="4">
        <v>28</v>
      </c>
      <c r="BA29" s="4">
        <f t="shared" si="27"/>
        <v>294.71672934910538</v>
      </c>
      <c r="BB29" s="4">
        <f t="shared" si="28"/>
        <v>336.37140791536046</v>
      </c>
      <c r="BC29" s="59">
        <f t="shared" si="29"/>
        <v>315.54406863223289</v>
      </c>
      <c r="BD29" s="28">
        <f>SUM(BC$2:BC29)</f>
        <v>3024.4935413220846</v>
      </c>
    </row>
    <row r="30" spans="1:56" s="3" customFormat="1" x14ac:dyDescent="0.25">
      <c r="A30" s="9">
        <f t="shared" si="30"/>
        <v>28</v>
      </c>
      <c r="B30" s="28">
        <f t="shared" si="2"/>
        <v>1239.6978021978025</v>
      </c>
      <c r="C30" s="28">
        <f t="shared" si="3"/>
        <v>1696.428571428572</v>
      </c>
      <c r="D30" s="28">
        <f t="shared" si="4"/>
        <v>2148.8095238095248</v>
      </c>
      <c r="E30" s="28">
        <f t="shared" si="5"/>
        <v>2578.5714285714294</v>
      </c>
      <c r="F30" s="28">
        <f t="shared" si="6"/>
        <v>3223.2142857142867</v>
      </c>
      <c r="G30" s="28">
        <f t="shared" si="7"/>
        <v>4297.6190476190495</v>
      </c>
      <c r="H30" s="28">
        <f t="shared" si="8"/>
        <v>5372.0238095238119</v>
      </c>
      <c r="I30" s="2">
        <f>SLOPE(Taulukkotiedot!$D$4:$D$10*A30,Laskenta!B30:H30)</f>
        <v>131.22634872753838</v>
      </c>
      <c r="J30" s="3">
        <f t="shared" si="9"/>
        <v>591.41546526867648</v>
      </c>
      <c r="K30" s="3">
        <f t="shared" si="10"/>
        <v>907.94768611670065</v>
      </c>
      <c r="L30" s="3">
        <f t="shared" si="11"/>
        <v>1371.5805471124627</v>
      </c>
      <c r="M30" s="3">
        <f t="shared" si="12"/>
        <v>2479.395604395605</v>
      </c>
      <c r="N30" s="2">
        <f>SLOPE((Taulukkotiedot!$D$13:$D$16)*A30,Laskenta!J30:M30)</f>
        <v>124.61198489347777</v>
      </c>
      <c r="P30" s="3">
        <f t="shared" si="0"/>
        <v>12.313886703589286</v>
      </c>
      <c r="Q30" s="3">
        <f t="shared" si="1"/>
        <v>8.8321495753857739</v>
      </c>
      <c r="R30" s="3">
        <f>AVERAGE($I$2:$I30)</f>
        <v>46.022816642919864</v>
      </c>
      <c r="S30" s="3">
        <f>AVERAGE($N$2:$N30)</f>
        <v>42.379195974412212</v>
      </c>
      <c r="U30" s="6">
        <f>R30*Taulukkotiedot!$I$2+(1-Taulukkotiedot!$I$2)*Laskenta!S30+Laskenta!Q30</f>
        <v>52.486612783775669</v>
      </c>
      <c r="V30" s="6">
        <f>R30*Taulukkotiedot!$I$2+(1-Taulukkotiedot!$I$2)*Laskenta!S30+Laskenta!Q30+P30</f>
        <v>64.800499487364959</v>
      </c>
      <c r="X30" s="3">
        <v>1.4</v>
      </c>
      <c r="Y30" s="28">
        <v>1400</v>
      </c>
      <c r="Z30" s="28">
        <f t="shared" si="13"/>
        <v>7.3673469387755128</v>
      </c>
      <c r="AA30" s="28">
        <f t="shared" si="14"/>
        <v>13.395176252319116</v>
      </c>
      <c r="AB30" s="28">
        <f t="shared" si="15"/>
        <v>19.460916442048521</v>
      </c>
      <c r="AC30" s="28">
        <f t="shared" si="16"/>
        <v>34.380952380952387</v>
      </c>
      <c r="AD30" s="28">
        <f>SLOPE(Taulukkotiedot!$D$47:$D$50*X30,Z30:AC30)</f>
        <v>361.74922332735576</v>
      </c>
      <c r="AE30" s="4">
        <f>AVERAGE($AD$2:$AD30)</f>
        <v>123.38184766149512</v>
      </c>
      <c r="AG30" s="28">
        <f t="shared" si="17"/>
        <v>6.8761904761904793</v>
      </c>
      <c r="AH30" s="28">
        <f t="shared" si="18"/>
        <v>10.314285714285717</v>
      </c>
      <c r="AI30" s="28">
        <f t="shared" si="19"/>
        <v>13.395176252319116</v>
      </c>
      <c r="AJ30" s="28">
        <f t="shared" si="20"/>
        <v>19.460916442048521</v>
      </c>
      <c r="AK30" s="28">
        <f t="shared" si="21"/>
        <v>26.446886446886456</v>
      </c>
      <c r="AL30" s="28">
        <f t="shared" si="22"/>
        <v>33.271889400921665</v>
      </c>
      <c r="AM30" s="28">
        <f t="shared" si="23"/>
        <v>41.257142857142867</v>
      </c>
      <c r="AN30" s="28">
        <f t="shared" si="24"/>
        <v>51.571428571428584</v>
      </c>
      <c r="AO30" s="28">
        <f t="shared" si="25"/>
        <v>64.464285714285737</v>
      </c>
      <c r="AP30" s="28">
        <f t="shared" si="26"/>
        <v>79.340659340659357</v>
      </c>
      <c r="AQ30" s="28">
        <f>SLOPE(Taulukkotiedot!$D$53:$D$62*X30,AG30:AP30)</f>
        <v>316.9518735386813</v>
      </c>
      <c r="AR30" s="4">
        <f>AVERAGE($AQ$2:$AQ30)</f>
        <v>108.60739990782237</v>
      </c>
      <c r="AT30" s="4">
        <f>AE30*(1-Taulukkotiedot!R$2)+Laskenta!AR30*Taulukkotiedot!R$2</f>
        <v>115.99462378465874</v>
      </c>
      <c r="AU30" s="4"/>
      <c r="AW30" s="54">
        <f>AT30+Lähtötiedot!C$22</f>
        <v>187.07103382136017</v>
      </c>
      <c r="AY30" s="28">
        <v>1400</v>
      </c>
      <c r="AZ30" s="28">
        <v>29</v>
      </c>
      <c r="BA30" s="4">
        <f t="shared" si="27"/>
        <v>316.9518735386813</v>
      </c>
      <c r="BB30" s="4">
        <f t="shared" si="28"/>
        <v>361.74922332735576</v>
      </c>
      <c r="BC30" s="59">
        <f t="shared" si="29"/>
        <v>339.3505484330185</v>
      </c>
      <c r="BD30" s="28">
        <f>SUM(BC$2:BC30)</f>
        <v>3363.8440897551031</v>
      </c>
    </row>
    <row r="31" spans="1:56" x14ac:dyDescent="0.25">
      <c r="A31" s="8">
        <f t="shared" si="30"/>
        <v>29</v>
      </c>
      <c r="B31" s="28">
        <f t="shared" si="2"/>
        <v>1196.9496021220166</v>
      </c>
      <c r="C31" s="28">
        <f t="shared" si="3"/>
        <v>1637.9310344827595</v>
      </c>
      <c r="D31" s="28">
        <f t="shared" si="4"/>
        <v>2074.7126436781618</v>
      </c>
      <c r="E31" s="28">
        <f t="shared" si="5"/>
        <v>2489.6551724137944</v>
      </c>
      <c r="F31" s="28">
        <f t="shared" si="6"/>
        <v>3112.0689655172423</v>
      </c>
      <c r="G31" s="28">
        <f t="shared" si="7"/>
        <v>4149.4252873563237</v>
      </c>
      <c r="H31" s="28">
        <f t="shared" si="8"/>
        <v>5186.7816091954046</v>
      </c>
      <c r="I31" s="2">
        <f>SLOPE(Taulukkotiedot!$D$4:$D$10*A31,Laskenta!B31:H31)</f>
        <v>140.76703989778031</v>
      </c>
      <c r="J31">
        <f t="shared" si="9"/>
        <v>571.02182853527381</v>
      </c>
      <c r="K31">
        <f t="shared" si="10"/>
        <v>876.63914521612469</v>
      </c>
      <c r="L31">
        <f t="shared" si="11"/>
        <v>1324.2846661775502</v>
      </c>
      <c r="M31">
        <f t="shared" si="12"/>
        <v>2393.8992042440332</v>
      </c>
      <c r="N31" s="2">
        <f>SLOPE((Taulukkotiedot!$D$13:$D$16)*A31,Laskenta!J31:M31)</f>
        <v>133.67178481558003</v>
      </c>
      <c r="P31">
        <f t="shared" si="0"/>
        <v>12.313886703589286</v>
      </c>
      <c r="Q31">
        <f t="shared" si="1"/>
        <v>8.8321495753857739</v>
      </c>
      <c r="R31">
        <f>AVERAGE($I$2:$I31)</f>
        <v>49.180957418081881</v>
      </c>
      <c r="S31">
        <f>AVERAGE($N$2:$N31)</f>
        <v>45.422282269117801</v>
      </c>
      <c r="U31" s="6">
        <f>R31*Taulukkotiedot!$I$2+(1-Taulukkotiedot!$I$2)*Laskenta!S31+Laskenta!Q31</f>
        <v>55.569968146641003</v>
      </c>
      <c r="V31" s="6">
        <f>R31*Taulukkotiedot!$I$2+(1-Taulukkotiedot!$I$2)*Laskenta!S31+Laskenta!Q31+P31</f>
        <v>67.883854850230293</v>
      </c>
      <c r="X31" s="3">
        <v>1.45</v>
      </c>
      <c r="Y31" s="28">
        <v>1450</v>
      </c>
      <c r="Z31" s="28">
        <f t="shared" si="13"/>
        <v>7.1133004926108399</v>
      </c>
      <c r="AA31" s="28">
        <f t="shared" si="14"/>
        <v>12.933273622928798</v>
      </c>
      <c r="AB31" s="28">
        <f t="shared" si="15"/>
        <v>18.789850357839953</v>
      </c>
      <c r="AC31" s="28">
        <f t="shared" si="16"/>
        <v>33.195402298850581</v>
      </c>
      <c r="AD31" s="28">
        <f>SLOPE(Taulukkotiedot!$D$47:$D$50*X31,Z31:AC31)</f>
        <v>388.0498683906967</v>
      </c>
      <c r="AE31" s="4">
        <f>AVERAGE($AD$2:$AD31)</f>
        <v>132.20411501913517</v>
      </c>
      <c r="AG31" s="28">
        <f t="shared" si="17"/>
        <v>6.639080459770117</v>
      </c>
      <c r="AH31" s="28">
        <f t="shared" si="18"/>
        <v>9.9586206896551754</v>
      </c>
      <c r="AI31" s="28">
        <f t="shared" si="19"/>
        <v>12.933273622928798</v>
      </c>
      <c r="AJ31" s="28">
        <f t="shared" si="20"/>
        <v>18.789850357839953</v>
      </c>
      <c r="AK31" s="28">
        <f t="shared" si="21"/>
        <v>25.534924845269678</v>
      </c>
      <c r="AL31" s="28">
        <f t="shared" si="22"/>
        <v>32.124582869855402</v>
      </c>
      <c r="AM31" s="28">
        <f t="shared" si="23"/>
        <v>39.834482758620702</v>
      </c>
      <c r="AN31" s="28">
        <f t="shared" si="24"/>
        <v>49.793103448275879</v>
      </c>
      <c r="AO31" s="28">
        <f t="shared" si="25"/>
        <v>62.241379310344847</v>
      </c>
      <c r="AP31" s="28">
        <f t="shared" si="26"/>
        <v>76.604774535809028</v>
      </c>
      <c r="AQ31" s="28">
        <f>SLOPE(Taulukkotiedot!$D$53:$D$62*X31,AG31:AP31)</f>
        <v>339.99556842605989</v>
      </c>
      <c r="AR31" s="4">
        <f>AVERAGE($AQ$2:$AQ31)</f>
        <v>116.32033885843028</v>
      </c>
      <c r="AT31" s="4">
        <f>AE31*(1-Taulukkotiedot!R$2)+Laskenta!AR31*Taulukkotiedot!R$2</f>
        <v>124.26222693878273</v>
      </c>
      <c r="AU31" s="4"/>
      <c r="AW31" s="54">
        <f>AT31+Lähtötiedot!C$22</f>
        <v>195.33863697548418</v>
      </c>
      <c r="AX31" s="3"/>
      <c r="AY31" s="28">
        <v>1450</v>
      </c>
      <c r="AZ31" s="3">
        <v>30</v>
      </c>
      <c r="BA31" s="4">
        <f t="shared" si="27"/>
        <v>339.99556842605989</v>
      </c>
      <c r="BB31" s="4">
        <f t="shared" si="28"/>
        <v>388.0498683906967</v>
      </c>
      <c r="BC31" s="59">
        <f t="shared" si="29"/>
        <v>364.0227184083783</v>
      </c>
      <c r="BD31" s="28">
        <f>SUM(BC$2:BC31)</f>
        <v>3727.8668081634814</v>
      </c>
    </row>
    <row r="32" spans="1:56" s="4" customFormat="1" x14ac:dyDescent="0.25">
      <c r="A32" s="11">
        <f t="shared" si="30"/>
        <v>30</v>
      </c>
      <c r="B32" s="28">
        <f t="shared" si="2"/>
        <v>1157.0512820512824</v>
      </c>
      <c r="C32" s="28">
        <f t="shared" si="3"/>
        <v>1583.3333333333339</v>
      </c>
      <c r="D32" s="28">
        <f t="shared" si="4"/>
        <v>2005.5555555555563</v>
      </c>
      <c r="E32" s="28">
        <f t="shared" si="5"/>
        <v>2406.6666666666674</v>
      </c>
      <c r="F32" s="28">
        <f t="shared" si="6"/>
        <v>3008.3333333333344</v>
      </c>
      <c r="G32" s="28">
        <f t="shared" si="7"/>
        <v>4011.1111111111127</v>
      </c>
      <c r="H32" s="28">
        <f t="shared" si="8"/>
        <v>5013.8888888888914</v>
      </c>
      <c r="I32" s="2">
        <f>SLOPE(Taulukkotiedot!$D$4:$D$10*A32,Laskenta!B32:H32)</f>
        <v>150.64249216171496</v>
      </c>
      <c r="J32" s="4">
        <f t="shared" si="9"/>
        <v>551.98776758409804</v>
      </c>
      <c r="K32" s="4">
        <f t="shared" si="10"/>
        <v>847.41784037558739</v>
      </c>
      <c r="L32" s="4">
        <f t="shared" si="11"/>
        <v>1280.1418439716317</v>
      </c>
      <c r="M32" s="4">
        <f t="shared" si="12"/>
        <v>2314.1025641025649</v>
      </c>
      <c r="N32" s="2">
        <f>SLOPE((Taulukkotiedot!$D$13:$D$16)*A32,Laskenta!J32:M32)</f>
        <v>143.04947245424742</v>
      </c>
      <c r="P32" s="4">
        <f t="shared" si="0"/>
        <v>12.313886703589286</v>
      </c>
      <c r="Q32" s="4">
        <f t="shared" si="1"/>
        <v>8.8321495753857739</v>
      </c>
      <c r="R32" s="4">
        <f>AVERAGE($I$2:$I32)</f>
        <v>52.453910151747465</v>
      </c>
      <c r="S32" s="4">
        <f>AVERAGE($N$2:$N32)</f>
        <v>48.571546468638118</v>
      </c>
      <c r="U32" s="6">
        <f>R32*Taulukkotiedot!$I$2+(1-Taulukkotiedot!$I$2)*Laskenta!S32+Laskenta!Q32</f>
        <v>58.762523333112156</v>
      </c>
      <c r="V32" s="6">
        <f>R32*Taulukkotiedot!$I$2+(1-Taulukkotiedot!$I$2)*Laskenta!S32+Laskenta!Q32+P32</f>
        <v>71.076410036701446</v>
      </c>
      <c r="X32" s="3">
        <v>1.5</v>
      </c>
      <c r="Y32" s="3">
        <v>1500</v>
      </c>
      <c r="Z32" s="28">
        <f t="shared" si="13"/>
        <v>6.8761904761904793</v>
      </c>
      <c r="AA32" s="28">
        <f t="shared" si="14"/>
        <v>12.502164502164506</v>
      </c>
      <c r="AB32" s="28">
        <f t="shared" si="15"/>
        <v>18.163522012578621</v>
      </c>
      <c r="AC32" s="28">
        <f t="shared" si="16"/>
        <v>32.088888888888903</v>
      </c>
      <c r="AD32" s="28">
        <f>SLOPE(Taulukkotiedot!$D$47:$D$50*X32,Z32:AC32)</f>
        <v>415.27334310538288</v>
      </c>
      <c r="AE32" s="4">
        <f>AVERAGE($AD$2:$AD32)</f>
        <v>141.33538044127218</v>
      </c>
      <c r="AG32" s="28">
        <f t="shared" si="17"/>
        <v>6.4177777777777791</v>
      </c>
      <c r="AH32" s="28">
        <f t="shared" si="18"/>
        <v>9.6266666666666705</v>
      </c>
      <c r="AI32" s="28">
        <f t="shared" si="19"/>
        <v>12.502164502164506</v>
      </c>
      <c r="AJ32" s="28">
        <f t="shared" si="20"/>
        <v>18.163522012578621</v>
      </c>
      <c r="AK32" s="28">
        <f t="shared" si="21"/>
        <v>24.683760683760692</v>
      </c>
      <c r="AL32" s="28">
        <f t="shared" si="22"/>
        <v>31.053763440860223</v>
      </c>
      <c r="AM32" s="28">
        <f t="shared" si="23"/>
        <v>38.506666666666682</v>
      </c>
      <c r="AN32" s="28">
        <f t="shared" si="24"/>
        <v>48.133333333333333</v>
      </c>
      <c r="AO32" s="28">
        <f t="shared" si="25"/>
        <v>60.166666666666686</v>
      </c>
      <c r="AP32" s="28">
        <f t="shared" si="26"/>
        <v>74.051282051282058</v>
      </c>
      <c r="AQ32" s="28">
        <f>SLOPE(Taulukkotiedot!$D$53:$D$62*X32,AG32:AP32)</f>
        <v>363.84781401124133</v>
      </c>
      <c r="AR32" s="4">
        <f>AVERAGE($AQ$2:$AQ32)</f>
        <v>124.3050961214242</v>
      </c>
      <c r="AT32" s="4">
        <f>AE32*(1-Taulukkotiedot!R$2)+Laskenta!AR32*Taulukkotiedot!R$2</f>
        <v>132.8202382813482</v>
      </c>
      <c r="AW32" s="54">
        <f>AT32+Lähtötiedot!C$22</f>
        <v>203.89664831804964</v>
      </c>
      <c r="AX32" s="3"/>
      <c r="AY32" s="3">
        <v>1500</v>
      </c>
      <c r="AZ32" s="28">
        <v>31</v>
      </c>
      <c r="BA32" s="4">
        <f t="shared" si="27"/>
        <v>363.84781401124133</v>
      </c>
      <c r="BB32" s="4">
        <f t="shared" si="28"/>
        <v>415.27334310538288</v>
      </c>
      <c r="BC32" s="59">
        <f t="shared" si="29"/>
        <v>389.5605785583121</v>
      </c>
      <c r="BD32" s="28">
        <f>SUM(BC$2:BC32)</f>
        <v>4117.4273867217935</v>
      </c>
    </row>
    <row r="33" spans="1:56" x14ac:dyDescent="0.25">
      <c r="A33" s="8">
        <f t="shared" si="30"/>
        <v>31</v>
      </c>
      <c r="B33" s="28">
        <f t="shared" si="2"/>
        <v>1119.7270471464024</v>
      </c>
      <c r="C33" s="28">
        <f t="shared" si="3"/>
        <v>1532.2580645161297</v>
      </c>
      <c r="D33" s="28">
        <f t="shared" si="4"/>
        <v>1940.8602150537645</v>
      </c>
      <c r="E33" s="28">
        <f t="shared" si="5"/>
        <v>2329.0322580645175</v>
      </c>
      <c r="F33" s="28">
        <f t="shared" si="6"/>
        <v>2911.2903225806463</v>
      </c>
      <c r="G33" s="28">
        <f t="shared" si="7"/>
        <v>3881.720430107529</v>
      </c>
      <c r="H33" s="28">
        <f t="shared" si="8"/>
        <v>4852.1505376344112</v>
      </c>
      <c r="I33" s="2">
        <f>SLOPE(Taulukkotiedot!$D$4:$D$10*A33,Laskenta!B33:H33)</f>
        <v>160.85270551934229</v>
      </c>
      <c r="J33">
        <f t="shared" si="9"/>
        <v>534.18171056525614</v>
      </c>
      <c r="K33">
        <f t="shared" si="10"/>
        <v>820.0817810086329</v>
      </c>
      <c r="L33">
        <f t="shared" si="11"/>
        <v>1238.8469457789986</v>
      </c>
      <c r="M33">
        <f t="shared" si="12"/>
        <v>2239.4540942928047</v>
      </c>
      <c r="N33" s="2">
        <f>SLOPE((Taulukkotiedot!$D$13:$D$16)*A33,Laskenta!J33:M33)</f>
        <v>152.74504780947976</v>
      </c>
      <c r="P33">
        <f t="shared" si="0"/>
        <v>12.313886703589286</v>
      </c>
      <c r="Q33">
        <f t="shared" si="1"/>
        <v>8.8321495753857739</v>
      </c>
      <c r="R33">
        <f>AVERAGE($I$2:$I33)</f>
        <v>55.841372506984797</v>
      </c>
      <c r="S33">
        <f>AVERAGE($N$2:$N33)</f>
        <v>51.826968385539416</v>
      </c>
      <c r="U33" s="6">
        <f>R33*Taulukkotiedot!$I$2+(1-Taulukkotiedot!$I$2)*Laskenta!S33+Laskenta!Q33</f>
        <v>62.064159403431077</v>
      </c>
      <c r="V33" s="6">
        <f>R33*Taulukkotiedot!$I$2+(1-Taulukkotiedot!$I$2)*Laskenta!S33+Laskenta!Q33+P33</f>
        <v>74.378046107020367</v>
      </c>
      <c r="X33" s="3">
        <v>1.55</v>
      </c>
      <c r="Y33" s="4">
        <v>1550</v>
      </c>
      <c r="Z33" s="28">
        <f t="shared" si="13"/>
        <v>6.6543778801843336</v>
      </c>
      <c r="AA33" s="28">
        <f t="shared" si="14"/>
        <v>12.098868873062425</v>
      </c>
      <c r="AB33" s="28">
        <f t="shared" si="15"/>
        <v>17.577601947656728</v>
      </c>
      <c r="AC33" s="28">
        <f t="shared" si="16"/>
        <v>31.053763440860223</v>
      </c>
      <c r="AD33" s="28">
        <f>SLOPE(Taulukkotiedot!$D$47:$D$50*X33,Z33:AC33)</f>
        <v>443.41964747141458</v>
      </c>
      <c r="AE33" s="4">
        <f>AVERAGE($AD$2:$AD33)</f>
        <v>150.77551378596414</v>
      </c>
      <c r="AG33" s="28">
        <f t="shared" si="17"/>
        <v>6.2107526881720441</v>
      </c>
      <c r="AH33" s="28">
        <f t="shared" si="18"/>
        <v>9.3161290322580665</v>
      </c>
      <c r="AI33" s="28">
        <f t="shared" si="19"/>
        <v>12.098868873062425</v>
      </c>
      <c r="AJ33" s="28">
        <f t="shared" si="20"/>
        <v>17.577601947656728</v>
      </c>
      <c r="AK33" s="28">
        <f t="shared" si="21"/>
        <v>23.887510339123249</v>
      </c>
      <c r="AL33" s="28">
        <f t="shared" si="22"/>
        <v>30.052029136316346</v>
      </c>
      <c r="AM33" s="28">
        <f t="shared" si="23"/>
        <v>37.264516129032266</v>
      </c>
      <c r="AN33" s="28">
        <f t="shared" si="24"/>
        <v>46.580645161290327</v>
      </c>
      <c r="AO33" s="28">
        <f t="shared" si="25"/>
        <v>58.225806451612911</v>
      </c>
      <c r="AP33" s="28">
        <f t="shared" si="26"/>
        <v>71.66253101736973</v>
      </c>
      <c r="AQ33" s="28">
        <f>SLOPE(Taulukkotiedot!$D$53:$D$62*X33,AG33:AP33)</f>
        <v>388.50861029422543</v>
      </c>
      <c r="AR33" s="4">
        <f>AVERAGE($AQ$2:$AQ33)</f>
        <v>132.56145593932422</v>
      </c>
      <c r="AT33" s="4">
        <f>AE33*(1-Taulukkotiedot!R$2)+Laskenta!AR33*Taulukkotiedot!R$2</f>
        <v>141.66848486264416</v>
      </c>
      <c r="AU33" s="4"/>
      <c r="AW33" s="54">
        <f>AT33+Lähtötiedot!C$22</f>
        <v>212.74489489934561</v>
      </c>
      <c r="AX33" s="3"/>
      <c r="AY33" s="4">
        <v>1550</v>
      </c>
      <c r="AZ33" s="3">
        <v>32</v>
      </c>
      <c r="BA33" s="4">
        <f t="shared" si="27"/>
        <v>388.50861029422543</v>
      </c>
      <c r="BB33" s="4">
        <f t="shared" si="28"/>
        <v>443.41964747141458</v>
      </c>
      <c r="BC33" s="59">
        <f t="shared" si="29"/>
        <v>415.96412888281998</v>
      </c>
      <c r="BD33" s="28">
        <f>SUM(BC$2:BC33)</f>
        <v>4533.3915156046132</v>
      </c>
    </row>
    <row r="34" spans="1:56" s="3" customFormat="1" x14ac:dyDescent="0.25">
      <c r="A34" s="9">
        <f t="shared" si="30"/>
        <v>32</v>
      </c>
      <c r="B34" s="28">
        <f t="shared" si="2"/>
        <v>1084.7355769230771</v>
      </c>
      <c r="C34" s="28">
        <f t="shared" si="3"/>
        <v>1484.3750000000007</v>
      </c>
      <c r="D34" s="28">
        <f t="shared" si="4"/>
        <v>1880.2083333333342</v>
      </c>
      <c r="E34" s="28">
        <f t="shared" si="5"/>
        <v>2256.2500000000009</v>
      </c>
      <c r="F34" s="28">
        <f t="shared" si="6"/>
        <v>2820.3125000000009</v>
      </c>
      <c r="G34" s="28">
        <f t="shared" si="7"/>
        <v>3760.4166666666683</v>
      </c>
      <c r="H34" s="28">
        <f t="shared" si="8"/>
        <v>4700.5208333333358</v>
      </c>
      <c r="I34" s="2">
        <f>SLOPE(Taulukkotiedot!$D$4:$D$10*A34,Laskenta!B34:H34)</f>
        <v>171.39767997066235</v>
      </c>
      <c r="J34" s="3">
        <f t="shared" si="9"/>
        <v>517.48853211009191</v>
      </c>
      <c r="K34" s="3">
        <f t="shared" si="10"/>
        <v>794.45422535211299</v>
      </c>
      <c r="L34" s="3">
        <f t="shared" si="11"/>
        <v>1200.1329787234049</v>
      </c>
      <c r="M34" s="3">
        <f t="shared" si="12"/>
        <v>2169.4711538461543</v>
      </c>
      <c r="N34" s="2">
        <f>SLOPE((Taulukkotiedot!$D$13:$D$16)*A34,Laskenta!J34:M34)</f>
        <v>162.75851088127712</v>
      </c>
      <c r="P34" s="3">
        <f t="shared" ref="P34:P65" si="31">jmrajakustannus</f>
        <v>12.313886703589286</v>
      </c>
      <c r="Q34" s="3">
        <f t="shared" ref="Q34:Q65" si="32">pmrajakust</f>
        <v>8.8321495753857739</v>
      </c>
      <c r="R34" s="3">
        <f>AVERAGE($I$2:$I34)</f>
        <v>59.343078793762906</v>
      </c>
      <c r="S34" s="3">
        <f>AVERAGE($N$2:$N34)</f>
        <v>55.188530279349649</v>
      </c>
      <c r="U34" s="6">
        <f>R34*Taulukkotiedot!$I$2+(1-Taulukkotiedot!$I$2)*Laskenta!S34+Laskenta!Q34</f>
        <v>65.474771834780057</v>
      </c>
      <c r="V34" s="6">
        <f>R34*Taulukkotiedot!$I$2+(1-Taulukkotiedot!$I$2)*Laskenta!S34+Laskenta!Q34+P34</f>
        <v>77.788658538369347</v>
      </c>
      <c r="X34" s="4">
        <v>1.6</v>
      </c>
      <c r="Y34" s="28">
        <v>1600</v>
      </c>
      <c r="Z34" s="28">
        <f t="shared" si="13"/>
        <v>6.446428571428573</v>
      </c>
      <c r="AA34" s="28">
        <f t="shared" si="14"/>
        <v>11.720779220779223</v>
      </c>
      <c r="AB34" s="28">
        <f t="shared" si="15"/>
        <v>17.028301886792455</v>
      </c>
      <c r="AC34" s="28">
        <f t="shared" si="16"/>
        <v>30.083333333333343</v>
      </c>
      <c r="AD34" s="28">
        <f>SLOPE(Taulukkotiedot!$D$47:$D$50*X34,Z34:AC34)</f>
        <v>472.48878148879118</v>
      </c>
      <c r="AE34" s="4">
        <f>AVERAGE($AD$2:$AD34)</f>
        <v>160.52440068604983</v>
      </c>
      <c r="AG34" s="28">
        <f t="shared" si="17"/>
        <v>6.0166666666666666</v>
      </c>
      <c r="AH34" s="28">
        <f t="shared" si="18"/>
        <v>9.0250000000000021</v>
      </c>
      <c r="AI34" s="28">
        <f t="shared" si="19"/>
        <v>11.720779220779223</v>
      </c>
      <c r="AJ34" s="28">
        <f t="shared" si="20"/>
        <v>17.028301886792455</v>
      </c>
      <c r="AK34" s="28">
        <f t="shared" si="21"/>
        <v>23.141025641025646</v>
      </c>
      <c r="AL34" s="28">
        <f t="shared" si="22"/>
        <v>29.112903225806459</v>
      </c>
      <c r="AM34" s="28">
        <f t="shared" si="23"/>
        <v>36.100000000000009</v>
      </c>
      <c r="AN34" s="28">
        <f t="shared" si="24"/>
        <v>45.125</v>
      </c>
      <c r="AO34" s="28">
        <f t="shared" si="25"/>
        <v>56.406250000000014</v>
      </c>
      <c r="AP34" s="28">
        <f t="shared" si="26"/>
        <v>69.423076923076934</v>
      </c>
      <c r="AQ34" s="28">
        <f>SLOPE(Taulukkotiedot!$D$53:$D$62*X34,AG34:AP34)</f>
        <v>413.97795727501227</v>
      </c>
      <c r="AR34" s="4">
        <f>AVERAGE($AQ$2:$AQ34)</f>
        <v>141.08922870707235</v>
      </c>
      <c r="AT34" s="4">
        <f>AE34*(1-Taulukkotiedot!R$2)+Laskenta!AR34*Taulukkotiedot!R$2</f>
        <v>150.8068146965611</v>
      </c>
      <c r="AU34" s="4"/>
      <c r="AW34" s="54">
        <f>AT34+Lähtötiedot!C$22</f>
        <v>221.88322473326255</v>
      </c>
      <c r="AY34" s="28">
        <v>1600</v>
      </c>
      <c r="AZ34" s="1">
        <v>33</v>
      </c>
      <c r="BA34" s="4">
        <f t="shared" si="27"/>
        <v>413.97795727501227</v>
      </c>
      <c r="BB34" s="4">
        <f t="shared" si="28"/>
        <v>472.48878148879118</v>
      </c>
      <c r="BC34" s="59">
        <f t="shared" si="29"/>
        <v>443.23336938190175</v>
      </c>
      <c r="BD34" s="28">
        <f>SUM(BC$2:BC34)</f>
        <v>4976.6248849865151</v>
      </c>
    </row>
    <row r="35" spans="1:56" x14ac:dyDescent="0.25">
      <c r="A35" s="8">
        <f t="shared" si="30"/>
        <v>33</v>
      </c>
      <c r="B35" s="28">
        <f t="shared" ref="B35:B66" si="33">IF(((jän.ale*3*(vaihejännite*cosfii)^2)/(res.70*$A35))/1000&gt;kuorma70,kuorma70,(jän.ale*3*(vaihejännite*cosfii)^2)/(res.70*$A35)/1000)</f>
        <v>1051.8648018648023</v>
      </c>
      <c r="C35" s="28">
        <f t="shared" ref="C35:C66" si="34">IF(((jän.ale*3*(vaihejännite*cosfii)^2)/(res.95*$A35))/1000&gt;kuorma95,kuorma95,(jän.ale*3*(vaihejännite*cosfii)^2)/(res.95*$A35)/1000)</f>
        <v>1439.3939393939399</v>
      </c>
      <c r="D35" s="28">
        <f t="shared" ref="D35:D66" si="35">IF(((jän.ale*3*(vaihejännite*cosfii)^2)/(res.120*$A35))/1000&gt;kuorma120,kuorma120,(jän.ale*3*(vaihejännite*cosfii)^2)/(res.120*$A35)/1000)</f>
        <v>1823.2323232323238</v>
      </c>
      <c r="E35" s="28">
        <f t="shared" ref="E35:E66" si="36">IF(((jän.ale*3*(vaihejännite*cosfii)^2)/(res.150*$A35))/1000&gt;kuorma150,kuorma150,(jän.ale*3*(vaihejännite*cosfii)^2)/(res.150*$A35)/1000)</f>
        <v>2187.8787878787889</v>
      </c>
      <c r="F35" s="28">
        <f t="shared" ref="F35:F66" si="37">IF(((jän.ale*3*(vaihejännite*cosfii)^2)/(res.185*$A35))/1000&gt;kuorma185,kuorma185,(jän.ale*3*(vaihejännite*cosfii)^2)/(res.185*$A35)/1000)</f>
        <v>2734.8484848484859</v>
      </c>
      <c r="G35" s="28">
        <f t="shared" ref="G35:G66" si="38">IF(((jän.ale*3*(vaihejännite*cosfii)^2)/(res.240*$A35))/1000&gt;kuorma240,kuorma240,(jän.ale*3*(vaihejännite*cosfii)^2)/(res.240*$A35)/1000)</f>
        <v>3646.4646464646476</v>
      </c>
      <c r="H35" s="28">
        <f t="shared" ref="H35:H66" si="39">IF(((jän.ale*3*(vaihejännite*cosfii)^2)/(res.300*$A35))/1000&gt;kuorma300,kuorma300,(jän.ale*3*(vaihejännite*cosfii)^2)/(res.300*$A35)/1000)</f>
        <v>4558.0808080808101</v>
      </c>
      <c r="I35" s="2">
        <f>SLOPE(Taulukkotiedot!$D$4:$D$10*A35,Laskenta!B35:H35)</f>
        <v>182.2774155156751</v>
      </c>
      <c r="J35">
        <f t="shared" ref="J35:J66" si="40">IF(((jän.ale*3*(vaihejännite*cosfii)^2)/(res.spar*$A35))/1000&gt;maxkuorm.i1,maxkuorm.i1,(jän.ale*3*(vaihejännite*cosfii)^2)/(res.spar*$A35)/1000)</f>
        <v>501.80706144008906</v>
      </c>
      <c r="K35">
        <f t="shared" ref="K35:K66" si="41">IF(((jän.ale*3*(vaihejännite*cosfii)^2)/(res.rav*$A35))/1000&gt;maxkuorm.i2,maxkuorm.i2,(jän.ale*3*(vaihejännite*cosfii)^2)/(res.rav*$A35)/1000)</f>
        <v>770.37985488689753</v>
      </c>
      <c r="L35">
        <f t="shared" ref="L35:L66" si="42">IF(((jän.ale*3*(vaihejännite*cosfii)^2)/(res.pig*$A35))/1000&gt;maxkuorm.i3,maxkuorm.i3,(jän.ale*3*(vaihejännite*cosfii)^2)/(res.pig*$A35)/1000)</f>
        <v>1163.7653127014835</v>
      </c>
      <c r="M35">
        <f t="shared" ref="M35:M66" si="43">IF(((jän.ale*3*(vaihejännite*cosfii)^2)/(res.Al*$A35))/1000&gt;maxkuorm.i4,maxkuorm.i4,(jän.ale*3*(vaihejännite*cosfii)^2)/(res.Al*$A35)/1000)</f>
        <v>2103.7296037296046</v>
      </c>
      <c r="N35" s="2">
        <f>SLOPE((Taulukkotiedot!$D$13:$D$16)*A35,Laskenta!J35:M35)</f>
        <v>173.08986166963939</v>
      </c>
      <c r="P35">
        <f t="shared" si="31"/>
        <v>12.313886703589286</v>
      </c>
      <c r="Q35">
        <f t="shared" si="32"/>
        <v>8.8321495753857739</v>
      </c>
      <c r="R35">
        <f>AVERAGE($I$2:$I35)</f>
        <v>62.958794579701511</v>
      </c>
      <c r="S35">
        <f>AVERAGE($N$2:$N35)</f>
        <v>58.65621649671111</v>
      </c>
      <c r="U35" s="6">
        <f>R35*Taulukkotiedot!$I$2+(1-Taulukkotiedot!$I$2)*Laskenta!S35+Laskenta!Q35</f>
        <v>68.994268401143529</v>
      </c>
      <c r="V35" s="6">
        <f>R35*Taulukkotiedot!$I$2+(1-Taulukkotiedot!$I$2)*Laskenta!S35+Laskenta!Q35+P35</f>
        <v>81.308155104732819</v>
      </c>
      <c r="X35" s="28">
        <v>1.65</v>
      </c>
      <c r="Y35" s="28">
        <v>1650</v>
      </c>
      <c r="Z35" s="28">
        <f t="shared" si="13"/>
        <v>6.2510822510822539</v>
      </c>
      <c r="AA35" s="28">
        <f t="shared" si="14"/>
        <v>11.365604092876824</v>
      </c>
      <c r="AB35" s="28">
        <f t="shared" si="15"/>
        <v>16.512292738707838</v>
      </c>
      <c r="AC35" s="28">
        <f t="shared" si="16"/>
        <v>29.171717171717184</v>
      </c>
      <c r="AD35" s="28">
        <f>SLOPE(Taulukkotiedot!$D$47:$D$50*X35,Z35:AC35)</f>
        <v>502.48074515751335</v>
      </c>
      <c r="AE35" s="4">
        <f>AVERAGE($AD$2:$AD35)</f>
        <v>170.58194022932815</v>
      </c>
      <c r="AG35" s="28">
        <f t="shared" si="17"/>
        <v>5.8343434343434364</v>
      </c>
      <c r="AH35" s="28">
        <f t="shared" si="18"/>
        <v>8.7515151515151537</v>
      </c>
      <c r="AI35" s="28">
        <f t="shared" si="19"/>
        <v>11.365604092876824</v>
      </c>
      <c r="AJ35" s="28">
        <f t="shared" si="20"/>
        <v>16.512292738707838</v>
      </c>
      <c r="AK35" s="28">
        <f t="shared" si="21"/>
        <v>22.439782439782448</v>
      </c>
      <c r="AL35" s="28">
        <f t="shared" si="22"/>
        <v>28.230694037145657</v>
      </c>
      <c r="AM35" s="28">
        <f t="shared" si="23"/>
        <v>35.006060606060615</v>
      </c>
      <c r="AN35" s="28">
        <f t="shared" si="24"/>
        <v>43.757575757575765</v>
      </c>
      <c r="AO35" s="28">
        <f t="shared" si="25"/>
        <v>54.69696969696971</v>
      </c>
      <c r="AP35" s="28">
        <f t="shared" si="26"/>
        <v>67.31934731934733</v>
      </c>
      <c r="AQ35" s="28">
        <f>SLOPE(Taulukkotiedot!$D$53:$D$62*X35,AG35:AP35)</f>
        <v>440.2558549536019</v>
      </c>
      <c r="AR35" s="4">
        <f>AVERAGE($AQ$2:$AQ35)</f>
        <v>149.88824712608789</v>
      </c>
      <c r="AT35" s="4">
        <f>AE35*(1-Taulukkotiedot!R$2)+Laskenta!AR35*Taulukkotiedot!R$2</f>
        <v>160.23509367770802</v>
      </c>
      <c r="AU35" s="4"/>
      <c r="AW35" s="54">
        <f>AT35+Lähtötiedot!C$22</f>
        <v>231.31150371440947</v>
      </c>
      <c r="AX35" s="3"/>
      <c r="AY35" s="28">
        <v>1650</v>
      </c>
      <c r="AZ35" s="3">
        <v>34</v>
      </c>
      <c r="BA35" s="4">
        <f t="shared" si="27"/>
        <v>440.2558549536019</v>
      </c>
      <c r="BB35" s="4">
        <f t="shared" si="28"/>
        <v>502.48074515751335</v>
      </c>
      <c r="BC35" s="59">
        <f t="shared" si="29"/>
        <v>471.3683000555576</v>
      </c>
      <c r="BD35" s="28">
        <f>SUM(BC$2:BC35)</f>
        <v>5447.9931850420726</v>
      </c>
    </row>
    <row r="36" spans="1:56" s="3" customFormat="1" x14ac:dyDescent="0.25">
      <c r="A36" s="9">
        <f t="shared" si="30"/>
        <v>34</v>
      </c>
      <c r="B36" s="28">
        <f t="shared" si="33"/>
        <v>1020.9276018099551</v>
      </c>
      <c r="C36" s="28">
        <f t="shared" si="34"/>
        <v>1397.0588235294122</v>
      </c>
      <c r="D36" s="28">
        <f t="shared" si="35"/>
        <v>1769.6078431372559</v>
      </c>
      <c r="E36" s="28">
        <f t="shared" si="36"/>
        <v>2123.5294117647068</v>
      </c>
      <c r="F36" s="28">
        <f t="shared" si="37"/>
        <v>2654.4117647058833</v>
      </c>
      <c r="G36" s="28">
        <f t="shared" si="38"/>
        <v>3539.2156862745119</v>
      </c>
      <c r="H36" s="28">
        <f t="shared" si="39"/>
        <v>4424.0196078431391</v>
      </c>
      <c r="I36" s="2">
        <f>SLOPE(Taulukkotiedot!$D$4:$D$10*A36,Laskenta!B36:H36)</f>
        <v>193.49191215438054</v>
      </c>
      <c r="J36" s="3">
        <f t="shared" si="40"/>
        <v>487.04803022126299</v>
      </c>
      <c r="K36" s="3">
        <f t="shared" si="41"/>
        <v>747.7216238608122</v>
      </c>
      <c r="L36" s="3">
        <f t="shared" si="42"/>
        <v>1129.5369211514399</v>
      </c>
      <c r="M36" s="3">
        <f t="shared" si="43"/>
        <v>2041.8552036199103</v>
      </c>
      <c r="N36" s="2">
        <f>SLOPE((Taulukkotiedot!$D$13:$D$16)*A36,Laskenta!J36:M36)</f>
        <v>183.73910017456666</v>
      </c>
      <c r="P36" s="3">
        <f t="shared" si="31"/>
        <v>12.313886703589286</v>
      </c>
      <c r="Q36" s="3">
        <f t="shared" si="32"/>
        <v>8.8321495753857739</v>
      </c>
      <c r="R36" s="3">
        <f>AVERAGE($I$2:$I36)</f>
        <v>66.688312224692339</v>
      </c>
      <c r="S36" s="3">
        <f>AVERAGE($N$2:$N36)</f>
        <v>62.230013173221273</v>
      </c>
      <c r="U36" s="6">
        <f>R36*Taulukkotiedot!$I$2+(1-Taulukkotiedot!$I$2)*Laskenta!S36+Laskenta!Q36</f>
        <v>72.622567416621919</v>
      </c>
      <c r="V36" s="6">
        <f>R36*Taulukkotiedot!$I$2+(1-Taulukkotiedot!$I$2)*Laskenta!S36+Laskenta!Q36+P36</f>
        <v>84.936454120211209</v>
      </c>
      <c r="X36" s="3">
        <v>1.7</v>
      </c>
      <c r="Y36" s="3">
        <v>1700</v>
      </c>
      <c r="Z36" s="28">
        <f t="shared" si="13"/>
        <v>6.0672268907563041</v>
      </c>
      <c r="AA36" s="28">
        <f t="shared" si="14"/>
        <v>11.031321619556916</v>
      </c>
      <c r="AB36" s="28">
        <f t="shared" si="15"/>
        <v>16.026637069922312</v>
      </c>
      <c r="AC36" s="28">
        <f t="shared" si="16"/>
        <v>28.313725490196084</v>
      </c>
      <c r="AD36" s="28">
        <f>SLOPE(Taulukkotiedot!$D$47:$D$50*X36,Z36:AC36)</f>
        <v>533.39553847758077</v>
      </c>
      <c r="AE36" s="4">
        <f>AVERAGE($AD$2:$AD36)</f>
        <v>180.9480430364211</v>
      </c>
      <c r="AG36" s="28">
        <f t="shared" si="17"/>
        <v>5.6627450980392178</v>
      </c>
      <c r="AH36" s="28">
        <f t="shared" si="18"/>
        <v>8.4941176470588253</v>
      </c>
      <c r="AI36" s="28">
        <f t="shared" si="19"/>
        <v>11.031321619556916</v>
      </c>
      <c r="AJ36" s="28">
        <f t="shared" si="20"/>
        <v>16.026637069922312</v>
      </c>
      <c r="AK36" s="28">
        <f t="shared" si="21"/>
        <v>21.779788838612372</v>
      </c>
      <c r="AL36" s="28">
        <f t="shared" si="22"/>
        <v>27.400379506641372</v>
      </c>
      <c r="AM36" s="28">
        <f t="shared" si="23"/>
        <v>33.976470588235301</v>
      </c>
      <c r="AN36" s="28">
        <f t="shared" si="24"/>
        <v>42.470588235294123</v>
      </c>
      <c r="AO36" s="28">
        <f t="shared" si="25"/>
        <v>53.088235294117659</v>
      </c>
      <c r="AP36" s="28">
        <f t="shared" si="26"/>
        <v>65.339366515837128</v>
      </c>
      <c r="AQ36" s="28">
        <f>SLOPE(Taulukkotiedot!$D$53:$D$62*X36,AG36:AP36)</f>
        <v>467.34230332999437</v>
      </c>
      <c r="AR36" s="4">
        <f>AVERAGE($AQ$2:$AQ36)</f>
        <v>158.95836301762807</v>
      </c>
      <c r="AT36" s="4">
        <f>AE36*(1-Taulukkotiedot!R$2)+Laskenta!AR36*Taulukkotiedot!R$2</f>
        <v>169.95320302702459</v>
      </c>
      <c r="AU36" s="4"/>
      <c r="AW36" s="54">
        <f>AT36+Lähtötiedot!C$22</f>
        <v>241.02961306372603</v>
      </c>
      <c r="AY36" s="3">
        <v>1700</v>
      </c>
      <c r="AZ36" s="3">
        <v>35</v>
      </c>
      <c r="BA36" s="4">
        <f t="shared" si="27"/>
        <v>467.34230332999437</v>
      </c>
      <c r="BB36" s="4">
        <f t="shared" si="28"/>
        <v>533.39553847758077</v>
      </c>
      <c r="BC36" s="59">
        <f t="shared" si="29"/>
        <v>500.36892090378757</v>
      </c>
      <c r="BD36" s="28">
        <f>SUM(BC$2:BC36)</f>
        <v>5948.3621059458601</v>
      </c>
    </row>
    <row r="37" spans="1:56" s="1" customFormat="1" x14ac:dyDescent="0.25">
      <c r="A37" s="10">
        <f t="shared" si="30"/>
        <v>35</v>
      </c>
      <c r="B37" s="1">
        <f t="shared" si="33"/>
        <v>991.75824175824221</v>
      </c>
      <c r="C37" s="1">
        <f t="shared" si="34"/>
        <v>1357.1428571428578</v>
      </c>
      <c r="D37" s="1">
        <f t="shared" si="35"/>
        <v>1719.0476190476199</v>
      </c>
      <c r="E37" s="1">
        <f t="shared" si="36"/>
        <v>2062.8571428571436</v>
      </c>
      <c r="F37" s="1">
        <f t="shared" si="37"/>
        <v>2578.5714285714294</v>
      </c>
      <c r="G37" s="1">
        <f t="shared" si="38"/>
        <v>3438.0952380952399</v>
      </c>
      <c r="H37" s="1">
        <f t="shared" si="39"/>
        <v>4297.6190476190495</v>
      </c>
      <c r="I37" s="2">
        <f>SLOPE(Taulukkotiedot!$D$4:$D$10*A37,Laskenta!B37:H37)</f>
        <v>205.04116988677865</v>
      </c>
      <c r="J37" s="1">
        <f t="shared" si="40"/>
        <v>473.13237221494114</v>
      </c>
      <c r="K37" s="1">
        <f t="shared" si="41"/>
        <v>726.35814889336052</v>
      </c>
      <c r="L37" s="1">
        <f t="shared" si="42"/>
        <v>1097.26443768997</v>
      </c>
      <c r="M37" s="1">
        <f t="shared" si="43"/>
        <v>1983.5164835164844</v>
      </c>
      <c r="N37" s="2">
        <f>SLOPE((Taulukkotiedot!$D$13:$D$16)*A37,Laskenta!J37:M37)</f>
        <v>194.70622639605895</v>
      </c>
      <c r="P37" s="1">
        <f t="shared" si="31"/>
        <v>12.313886703589286</v>
      </c>
      <c r="Q37" s="1">
        <f t="shared" si="32"/>
        <v>8.8321495753857739</v>
      </c>
      <c r="R37" s="1">
        <f>AVERAGE($I$2:$I37)</f>
        <v>70.5314471597503</v>
      </c>
      <c r="S37" s="1">
        <f>AVERAGE($N$2:$N37)</f>
        <v>65.909907984966765</v>
      </c>
      <c r="U37" s="6">
        <f>R37*Taulukkotiedot!$I$2+(1-Taulukkotiedot!$I$2)*Laskenta!S37+Laskenta!Q37</f>
        <v>76.359596271526769</v>
      </c>
      <c r="V37" s="6">
        <f>R37*Taulukkotiedot!$I$2+(1-Taulukkotiedot!$I$2)*Laskenta!S37+Laskenta!Q37+P37</f>
        <v>88.673482975116059</v>
      </c>
      <c r="X37" s="3">
        <v>1.75</v>
      </c>
      <c r="Y37" s="4">
        <v>1750</v>
      </c>
      <c r="Z37" s="28">
        <f t="shared" si="13"/>
        <v>5.8938775510204104</v>
      </c>
      <c r="AA37" s="28">
        <f t="shared" si="14"/>
        <v>10.71614100185529</v>
      </c>
      <c r="AB37" s="28">
        <f t="shared" si="15"/>
        <v>15.568733153638817</v>
      </c>
      <c r="AC37" s="28">
        <f t="shared" si="16"/>
        <v>27.504761904761914</v>
      </c>
      <c r="AD37" s="28">
        <f>SLOPE(Taulukkotiedot!$D$47:$D$50*X37,Z37:AC37)</f>
        <v>565.23316144899331</v>
      </c>
      <c r="AE37" s="4">
        <f>AVERAGE($AD$2:$AD37)</f>
        <v>191.62262965899254</v>
      </c>
      <c r="AG37" s="28">
        <f t="shared" si="17"/>
        <v>5.5009523809523824</v>
      </c>
      <c r="AH37" s="28">
        <f t="shared" si="18"/>
        <v>8.2514285714285744</v>
      </c>
      <c r="AI37" s="28">
        <f t="shared" si="19"/>
        <v>10.71614100185529</v>
      </c>
      <c r="AJ37" s="28">
        <f t="shared" si="20"/>
        <v>15.568733153638817</v>
      </c>
      <c r="AK37" s="28">
        <f t="shared" si="21"/>
        <v>21.157509157509164</v>
      </c>
      <c r="AL37" s="28">
        <f t="shared" si="22"/>
        <v>26.617511520737335</v>
      </c>
      <c r="AM37" s="28">
        <f t="shared" si="23"/>
        <v>33.005714285714298</v>
      </c>
      <c r="AN37" s="28">
        <f t="shared" si="24"/>
        <v>41.25714285714286</v>
      </c>
      <c r="AO37" s="28">
        <f t="shared" si="25"/>
        <v>51.571428571428577</v>
      </c>
      <c r="AP37" s="28">
        <f t="shared" si="26"/>
        <v>63.472527472527489</v>
      </c>
      <c r="AQ37" s="28">
        <f>SLOPE(Taulukkotiedot!$D$53:$D$62*X37,AG37:AP37)</f>
        <v>495.23730240418956</v>
      </c>
      <c r="AR37" s="4">
        <f>AVERAGE($AQ$2:$AQ37)</f>
        <v>168.29944466725479</v>
      </c>
      <c r="AT37" s="4">
        <f>AE37*(1-Taulukkotiedot!R$2)+Laskenta!AR37*Taulukkotiedot!R$2</f>
        <v>179.96103716312365</v>
      </c>
      <c r="AU37" s="4"/>
      <c r="AW37" s="54">
        <f>AT37+Lähtötiedot!C$22</f>
        <v>251.0374471998251</v>
      </c>
      <c r="AX37" s="3"/>
      <c r="AY37" s="4">
        <v>1750</v>
      </c>
      <c r="AZ37" s="3">
        <v>36</v>
      </c>
      <c r="BA37" s="4">
        <f t="shared" si="27"/>
        <v>495.23730240418956</v>
      </c>
      <c r="BB37" s="4">
        <f t="shared" si="28"/>
        <v>565.23316144899331</v>
      </c>
      <c r="BC37" s="59">
        <f t="shared" si="29"/>
        <v>530.2352319265915</v>
      </c>
      <c r="BD37" s="28">
        <f>SUM(BC$2:BC37)</f>
        <v>6478.597337872452</v>
      </c>
    </row>
    <row r="38" spans="1:56" s="3" customFormat="1" x14ac:dyDescent="0.25">
      <c r="A38" s="9">
        <f t="shared" si="30"/>
        <v>36</v>
      </c>
      <c r="B38" s="28">
        <f t="shared" si="33"/>
        <v>964.20940170940219</v>
      </c>
      <c r="C38" s="28">
        <f t="shared" si="34"/>
        <v>1319.444444444445</v>
      </c>
      <c r="D38" s="28">
        <f t="shared" si="35"/>
        <v>1671.2962962962972</v>
      </c>
      <c r="E38" s="28">
        <f t="shared" si="36"/>
        <v>2005.5555555555563</v>
      </c>
      <c r="F38" s="28">
        <f t="shared" si="37"/>
        <v>2506.9444444444453</v>
      </c>
      <c r="G38" s="28">
        <f t="shared" si="38"/>
        <v>3342.5925925925944</v>
      </c>
      <c r="H38" s="28">
        <f t="shared" si="39"/>
        <v>4178.2407407407418</v>
      </c>
      <c r="I38" s="2">
        <f>SLOPE(Taulukkotiedot!$D$4:$D$10*A38,Laskenta!B38:H38)</f>
        <v>216.92518871286958</v>
      </c>
      <c r="J38" s="3">
        <f t="shared" si="40"/>
        <v>459.9898063200817</v>
      </c>
      <c r="K38" s="3">
        <f t="shared" si="41"/>
        <v>706.18153364632269</v>
      </c>
      <c r="L38" s="3">
        <f t="shared" si="42"/>
        <v>1066.7848699763599</v>
      </c>
      <c r="M38" s="3">
        <f t="shared" si="43"/>
        <v>1928.4188034188044</v>
      </c>
      <c r="N38" s="2">
        <f>SLOPE((Taulukkotiedot!$D$13:$D$16)*A38,Laskenta!J38:M38)</f>
        <v>205.99124033411621</v>
      </c>
      <c r="P38" s="3">
        <f t="shared" si="31"/>
        <v>12.313886703589286</v>
      </c>
      <c r="Q38" s="3">
        <f t="shared" si="32"/>
        <v>8.8321495753857739</v>
      </c>
      <c r="R38" s="3">
        <f>AVERAGE($I$2:$I38)</f>
        <v>74.48803476929406</v>
      </c>
      <c r="S38" s="3">
        <f>AVERAGE($N$2:$N38)</f>
        <v>69.695889940349176</v>
      </c>
      <c r="U38" s="6">
        <f>R38*Taulukkotiedot!$I$2+(1-Taulukkotiedot!$I$2)*Laskenta!S38+Laskenta!Q38</f>
        <v>80.205290205865651</v>
      </c>
      <c r="V38" s="6">
        <f>R38*Taulukkotiedot!$I$2+(1-Taulukkotiedot!$I$2)*Laskenta!S38+Laskenta!Q38+P38</f>
        <v>92.519176909454941</v>
      </c>
      <c r="X38" s="3">
        <v>1.8</v>
      </c>
      <c r="Y38" s="28">
        <v>1800</v>
      </c>
      <c r="Z38" s="28">
        <f t="shared" si="13"/>
        <v>5.7301587301587311</v>
      </c>
      <c r="AA38" s="28">
        <f t="shared" si="14"/>
        <v>10.41847041847042</v>
      </c>
      <c r="AB38" s="28">
        <f t="shared" si="15"/>
        <v>15.136268343815516</v>
      </c>
      <c r="AC38" s="28">
        <f t="shared" si="16"/>
        <v>26.740740740740744</v>
      </c>
      <c r="AD38" s="28">
        <f>SLOPE(Taulukkotiedot!$D$47:$D$50*X38,Z38:AC38)</f>
        <v>597.99361407175149</v>
      </c>
      <c r="AE38" s="4">
        <f>AVERAGE($AD$2:$AD38)</f>
        <v>202.60562923771576</v>
      </c>
      <c r="AG38" s="28">
        <f t="shared" si="17"/>
        <v>5.348148148148149</v>
      </c>
      <c r="AH38" s="28">
        <f t="shared" si="18"/>
        <v>8.0222222222222239</v>
      </c>
      <c r="AI38" s="28">
        <f t="shared" si="19"/>
        <v>10.41847041847042</v>
      </c>
      <c r="AJ38" s="28">
        <f t="shared" si="20"/>
        <v>15.136268343815516</v>
      </c>
      <c r="AK38" s="28">
        <f t="shared" si="21"/>
        <v>20.569800569800574</v>
      </c>
      <c r="AL38" s="28">
        <f t="shared" si="22"/>
        <v>25.878136200716849</v>
      </c>
      <c r="AM38" s="28">
        <f t="shared" si="23"/>
        <v>32.088888888888896</v>
      </c>
      <c r="AN38" s="28">
        <f t="shared" si="24"/>
        <v>40.111111111111114</v>
      </c>
      <c r="AO38" s="28">
        <f t="shared" si="25"/>
        <v>50.1388888888889</v>
      </c>
      <c r="AP38" s="28">
        <f t="shared" si="26"/>
        <v>61.709401709401718</v>
      </c>
      <c r="AQ38" s="28">
        <f>SLOPE(Taulukkotiedot!$D$53:$D$62*X38,AG38:AP38)</f>
        <v>523.94085217618749</v>
      </c>
      <c r="AR38" s="4">
        <f>AVERAGE($AQ$2:$AQ38)</f>
        <v>177.91137459992865</v>
      </c>
      <c r="AT38" s="4">
        <f>AE38*(1-Taulukkotiedot!R$2)+Laskenta!AR38*Taulukkotiedot!R$2</f>
        <v>190.25850191882222</v>
      </c>
      <c r="AU38" s="4"/>
      <c r="AW38" s="54">
        <f>AT38+Lähtötiedot!C$22</f>
        <v>261.33491195552369</v>
      </c>
      <c r="AY38" s="28">
        <v>1800</v>
      </c>
      <c r="AZ38" s="4">
        <v>37</v>
      </c>
      <c r="BA38" s="4">
        <f t="shared" si="27"/>
        <v>523.94085217618749</v>
      </c>
      <c r="BB38" s="4">
        <f t="shared" si="28"/>
        <v>597.99361407175149</v>
      </c>
      <c r="BC38" s="59">
        <f t="shared" si="29"/>
        <v>560.96723312396944</v>
      </c>
      <c r="BD38" s="28">
        <f>SUM(BC$2:BC38)</f>
        <v>7039.564570996421</v>
      </c>
    </row>
    <row r="39" spans="1:56" x14ac:dyDescent="0.25">
      <c r="A39" s="8">
        <f t="shared" si="30"/>
        <v>37</v>
      </c>
      <c r="B39" s="28">
        <f t="shared" si="33"/>
        <v>938.14968814968847</v>
      </c>
      <c r="C39" s="28">
        <f t="shared" si="34"/>
        <v>1283.7837837837844</v>
      </c>
      <c r="D39" s="28">
        <f t="shared" si="35"/>
        <v>1626.1261261261268</v>
      </c>
      <c r="E39" s="28">
        <f t="shared" si="36"/>
        <v>1951.3513513513522</v>
      </c>
      <c r="F39" s="28">
        <f t="shared" si="37"/>
        <v>2439.1891891891901</v>
      </c>
      <c r="G39" s="28">
        <f t="shared" si="38"/>
        <v>3252.2522522522536</v>
      </c>
      <c r="H39" s="28">
        <f t="shared" si="39"/>
        <v>4065.3153153153175</v>
      </c>
      <c r="I39" s="2">
        <f>SLOPE(Taulukkotiedot!$D$4:$D$10*A39,Laskenta!B39:H39)</f>
        <v>229.14396863265304</v>
      </c>
      <c r="J39">
        <f t="shared" si="40"/>
        <v>447.55764939251191</v>
      </c>
      <c r="K39">
        <f t="shared" si="41"/>
        <v>687.0955462504761</v>
      </c>
      <c r="L39">
        <f t="shared" si="42"/>
        <v>1037.9528464634852</v>
      </c>
      <c r="M39">
        <f t="shared" si="43"/>
        <v>1876.2993762993769</v>
      </c>
      <c r="N39" s="2">
        <f>SLOPE((Taulukkotiedot!$D$13:$D$16)*A39,Laskenta!J39:M39)</f>
        <v>217.59414198873858</v>
      </c>
      <c r="P39">
        <f t="shared" si="31"/>
        <v>12.313886703589286</v>
      </c>
      <c r="Q39">
        <f t="shared" si="32"/>
        <v>8.8321495753857739</v>
      </c>
      <c r="R39">
        <f>AVERAGE($I$2:$I39)</f>
        <v>78.557927765698238</v>
      </c>
      <c r="S39">
        <f>AVERAGE($N$2:$N39)</f>
        <v>73.587949204780486</v>
      </c>
      <c r="U39" s="6">
        <f>R39*Taulukkotiedot!$I$2+(1-Taulukkotiedot!$I$2)*Laskenta!S39+Laskenta!Q39</f>
        <v>84.159591276487475</v>
      </c>
      <c r="V39" s="6">
        <f>R39*Taulukkotiedot!$I$2+(1-Taulukkotiedot!$I$2)*Laskenta!S39+Laskenta!Q39+P39</f>
        <v>96.473477980076765</v>
      </c>
      <c r="X39" s="3">
        <v>1.85</v>
      </c>
      <c r="Y39" s="28">
        <v>1850</v>
      </c>
      <c r="Z39" s="28">
        <f t="shared" si="13"/>
        <v>5.5752895752895775</v>
      </c>
      <c r="AA39" s="28">
        <f t="shared" si="14"/>
        <v>10.136890136890139</v>
      </c>
      <c r="AB39" s="28">
        <f t="shared" si="15"/>
        <v>14.727180010198879</v>
      </c>
      <c r="AC39" s="28">
        <f t="shared" si="16"/>
        <v>26.018018018018022</v>
      </c>
      <c r="AD39" s="28">
        <f>SLOPE(Taulukkotiedot!$D$47:$D$50*X39,Z39:AC39)</f>
        <v>631.67689634585486</v>
      </c>
      <c r="AE39" s="4">
        <f>AVERAGE($AD$2:$AD39)</f>
        <v>213.8969783721405</v>
      </c>
      <c r="AG39" s="28">
        <f t="shared" si="17"/>
        <v>5.2036036036036037</v>
      </c>
      <c r="AH39" s="28">
        <f t="shared" si="18"/>
        <v>7.8054054054054065</v>
      </c>
      <c r="AI39" s="28">
        <f t="shared" si="19"/>
        <v>10.136890136890139</v>
      </c>
      <c r="AJ39" s="28">
        <f t="shared" si="20"/>
        <v>14.727180010198879</v>
      </c>
      <c r="AK39" s="28">
        <f t="shared" si="21"/>
        <v>20.013860013860018</v>
      </c>
      <c r="AL39" s="28">
        <f t="shared" si="22"/>
        <v>25.178727114210989</v>
      </c>
      <c r="AM39" s="28">
        <f t="shared" si="23"/>
        <v>31.221621621621626</v>
      </c>
      <c r="AN39" s="28">
        <f t="shared" si="24"/>
        <v>39.027027027027032</v>
      </c>
      <c r="AO39" s="28">
        <f t="shared" si="25"/>
        <v>48.78378378378379</v>
      </c>
      <c r="AP39" s="28">
        <f t="shared" si="26"/>
        <v>60.041580041580055</v>
      </c>
      <c r="AQ39" s="28">
        <f>SLOPE(Taulukkotiedot!$D$53:$D$62*X39,AG39:AP39)</f>
        <v>553.45295264598826</v>
      </c>
      <c r="AR39" s="4">
        <f>AVERAGE($AQ$2:$AQ39)</f>
        <v>187.79404770640389</v>
      </c>
      <c r="AT39" s="4">
        <f>AE39*(1-Taulukkotiedot!R$2)+Laskenta!AR39*Taulukkotiedot!R$2</f>
        <v>200.84551303927219</v>
      </c>
      <c r="AU39" s="4"/>
      <c r="AW39" s="54">
        <f>AT39+Lähtötiedot!C$22</f>
        <v>271.92192307597361</v>
      </c>
      <c r="AX39" s="3"/>
      <c r="AY39" s="28">
        <v>1850</v>
      </c>
      <c r="AZ39" s="28">
        <v>38</v>
      </c>
      <c r="BA39" s="4">
        <f t="shared" si="27"/>
        <v>553.45295264598826</v>
      </c>
      <c r="BB39" s="4">
        <f t="shared" si="28"/>
        <v>631.67689634585486</v>
      </c>
      <c r="BC39" s="59">
        <f t="shared" si="29"/>
        <v>592.56492449592156</v>
      </c>
      <c r="BD39" s="28">
        <f>SUM(BC$2:BC39)</f>
        <v>7632.1294954923424</v>
      </c>
    </row>
    <row r="40" spans="1:56" s="3" customFormat="1" x14ac:dyDescent="0.25">
      <c r="A40" s="9">
        <f t="shared" si="30"/>
        <v>38</v>
      </c>
      <c r="B40" s="28">
        <f t="shared" si="33"/>
        <v>913.46153846153868</v>
      </c>
      <c r="C40" s="28">
        <f t="shared" si="34"/>
        <v>1250.0000000000005</v>
      </c>
      <c r="D40" s="28">
        <f t="shared" si="35"/>
        <v>1583.3333333333339</v>
      </c>
      <c r="E40" s="28">
        <f t="shared" si="36"/>
        <v>1900.0000000000007</v>
      </c>
      <c r="F40" s="28">
        <f t="shared" si="37"/>
        <v>2375.0000000000009</v>
      </c>
      <c r="G40" s="28">
        <f t="shared" si="38"/>
        <v>3166.6666666666679</v>
      </c>
      <c r="H40" s="28">
        <f t="shared" si="39"/>
        <v>3958.3333333333353</v>
      </c>
      <c r="I40" s="2">
        <f>SLOPE(Taulukkotiedot!$D$4:$D$10*A40,Laskenta!B40:H40)</f>
        <v>241.69750964612928</v>
      </c>
      <c r="J40" s="3">
        <f t="shared" si="40"/>
        <v>435.77981651376166</v>
      </c>
      <c r="K40" s="3">
        <f t="shared" si="41"/>
        <v>669.01408450704264</v>
      </c>
      <c r="L40" s="3">
        <f t="shared" si="42"/>
        <v>1010.6382978723409</v>
      </c>
      <c r="M40" s="3">
        <f t="shared" si="43"/>
        <v>1826.9230769230774</v>
      </c>
      <c r="N40" s="2">
        <f>SLOPE((Taulukkotiedot!$D$13:$D$16)*A40,Laskenta!J40:M40)</f>
        <v>229.5149313599259</v>
      </c>
      <c r="P40" s="3">
        <f t="shared" si="31"/>
        <v>12.313886703589286</v>
      </c>
      <c r="Q40" s="3">
        <f t="shared" si="32"/>
        <v>8.8321495753857739</v>
      </c>
      <c r="R40" s="3">
        <f>AVERAGE($I$2:$I40)</f>
        <v>82.740993967760573</v>
      </c>
      <c r="S40" s="3">
        <f>AVERAGE($N$2:$N40)</f>
        <v>77.586076952348307</v>
      </c>
      <c r="U40" s="6">
        <f>R40*Taulukkotiedot!$I$2+(1-Taulukkotiedot!$I$2)*Laskenta!S40+Laskenta!Q40</f>
        <v>88.222447483128377</v>
      </c>
      <c r="V40" s="6">
        <f>R40*Taulukkotiedot!$I$2+(1-Taulukkotiedot!$I$2)*Laskenta!S40+Laskenta!Q40+P40</f>
        <v>100.53633418671767</v>
      </c>
      <c r="X40" s="4">
        <v>1.9</v>
      </c>
      <c r="Y40" s="3">
        <v>1900</v>
      </c>
      <c r="Z40" s="28">
        <f t="shared" si="13"/>
        <v>5.4285714285714306</v>
      </c>
      <c r="AA40" s="28">
        <f t="shared" si="14"/>
        <v>9.8701298701298725</v>
      </c>
      <c r="AB40" s="28">
        <f t="shared" si="15"/>
        <v>14.33962264150944</v>
      </c>
      <c r="AC40" s="28">
        <f t="shared" si="16"/>
        <v>25.333333333333343</v>
      </c>
      <c r="AD40" s="28">
        <f>SLOPE(Taulukkotiedot!$D$47:$D$50*X40,Z40:AC40)</f>
        <v>666.28300827130306</v>
      </c>
      <c r="AE40" s="4">
        <f>AVERAGE($AD$2:$AD40)</f>
        <v>225.4966201644267</v>
      </c>
      <c r="AG40" s="28">
        <f t="shared" si="17"/>
        <v>5.0666666666666691</v>
      </c>
      <c r="AH40" s="28">
        <f t="shared" si="18"/>
        <v>7.6000000000000014</v>
      </c>
      <c r="AI40" s="28">
        <f t="shared" si="19"/>
        <v>9.8701298701298725</v>
      </c>
      <c r="AJ40" s="28">
        <f t="shared" si="20"/>
        <v>14.33962264150944</v>
      </c>
      <c r="AK40" s="28">
        <f t="shared" si="21"/>
        <v>19.487179487179493</v>
      </c>
      <c r="AL40" s="28">
        <f t="shared" si="22"/>
        <v>24.516129032258071</v>
      </c>
      <c r="AM40" s="28">
        <f t="shared" si="23"/>
        <v>30.400000000000006</v>
      </c>
      <c r="AN40" s="28">
        <f t="shared" si="24"/>
        <v>38.000000000000007</v>
      </c>
      <c r="AO40" s="28">
        <f t="shared" si="25"/>
        <v>47.500000000000014</v>
      </c>
      <c r="AP40" s="28">
        <f t="shared" si="26"/>
        <v>58.461538461538474</v>
      </c>
      <c r="AQ40" s="28">
        <f>SLOPE(Taulukkotiedot!$D$53:$D$62*X40,AG40:AP40)</f>
        <v>583.77360381359154</v>
      </c>
      <c r="AR40" s="4">
        <f>AVERAGE($AQ$2:$AQ40)</f>
        <v>197.94736965787024</v>
      </c>
      <c r="AT40" s="4">
        <f>AE40*(1-Taulukkotiedot!R$2)+Laskenta!AR40*Taulukkotiedot!R$2</f>
        <v>211.72199491114847</v>
      </c>
      <c r="AU40" s="4"/>
      <c r="AW40" s="54">
        <f>AT40+Lähtötiedot!C$22</f>
        <v>282.79840494784992</v>
      </c>
      <c r="AY40" s="3">
        <v>1900</v>
      </c>
      <c r="AZ40" s="3">
        <v>39</v>
      </c>
      <c r="BA40" s="4">
        <f t="shared" si="27"/>
        <v>583.77360381359154</v>
      </c>
      <c r="BB40" s="4">
        <f t="shared" si="28"/>
        <v>666.28300827130306</v>
      </c>
      <c r="BC40" s="59">
        <f t="shared" si="29"/>
        <v>625.0283060424473</v>
      </c>
      <c r="BD40" s="28">
        <f>SUM(BC$2:BC40)</f>
        <v>8257.1578015347895</v>
      </c>
    </row>
    <row r="41" spans="1:56" x14ac:dyDescent="0.25">
      <c r="A41" s="8">
        <f t="shared" si="30"/>
        <v>39</v>
      </c>
      <c r="B41" s="28">
        <f t="shared" si="33"/>
        <v>890.03944773175579</v>
      </c>
      <c r="C41" s="28">
        <f t="shared" si="34"/>
        <v>1217.9487179487185</v>
      </c>
      <c r="D41" s="28">
        <f t="shared" si="35"/>
        <v>1542.7350427350434</v>
      </c>
      <c r="E41" s="28">
        <f t="shared" si="36"/>
        <v>1851.282051282052</v>
      </c>
      <c r="F41" s="28">
        <f t="shared" si="37"/>
        <v>2314.1025641025649</v>
      </c>
      <c r="G41" s="28">
        <f t="shared" si="38"/>
        <v>3085.4700854700868</v>
      </c>
      <c r="H41" s="28">
        <f t="shared" si="39"/>
        <v>3856.8376068376087</v>
      </c>
      <c r="I41" s="2">
        <f>SLOPE(Taulukkotiedot!$D$4:$D$10*A41,Laskenta!B41:H41)</f>
        <v>254.58581175329829</v>
      </c>
      <c r="J41">
        <f t="shared" si="40"/>
        <v>424.60597506469082</v>
      </c>
      <c r="K41">
        <f t="shared" si="41"/>
        <v>651.85987721199024</v>
      </c>
      <c r="L41">
        <f t="shared" si="42"/>
        <v>984.72449536279373</v>
      </c>
      <c r="M41">
        <f t="shared" si="43"/>
        <v>1780.0788954635116</v>
      </c>
      <c r="N41" s="2">
        <f>SLOPE((Taulukkotiedot!$D$13:$D$16)*A41,Laskenta!J41:M41)</f>
        <v>241.75360844767815</v>
      </c>
      <c r="P41">
        <f t="shared" si="31"/>
        <v>12.313886703589286</v>
      </c>
      <c r="Q41">
        <f t="shared" si="32"/>
        <v>8.8321495753857739</v>
      </c>
      <c r="R41">
        <f>AVERAGE($I$2:$I41)</f>
        <v>87.037114412399021</v>
      </c>
      <c r="S41">
        <f>AVERAGE($N$2:$N41)</f>
        <v>81.690265239731559</v>
      </c>
      <c r="U41" s="6">
        <f>R41*Taulukkotiedot!$I$2+(1-Taulukkotiedot!$I$2)*Laskenta!S41+Laskenta!Q41</f>
        <v>92.393812025550943</v>
      </c>
      <c r="V41" s="6">
        <f>R41*Taulukkotiedot!$I$2+(1-Taulukkotiedot!$I$2)*Laskenta!S41+Laskenta!Q41+P41</f>
        <v>104.70769872914023</v>
      </c>
      <c r="X41" s="28">
        <v>1.95</v>
      </c>
      <c r="Y41" s="4">
        <v>1950</v>
      </c>
      <c r="Z41" s="28">
        <f t="shared" si="13"/>
        <v>5.289377289377291</v>
      </c>
      <c r="AA41" s="28">
        <f t="shared" si="14"/>
        <v>9.6170496170496182</v>
      </c>
      <c r="AB41" s="28">
        <f t="shared" si="15"/>
        <v>13.971940009675862</v>
      </c>
      <c r="AC41" s="28">
        <f t="shared" si="16"/>
        <v>24.683760683760692</v>
      </c>
      <c r="AD41" s="28">
        <f>SLOPE(Taulukkotiedot!$D$47:$D$50*X41,Z41:AC41)</f>
        <v>701.81194984809713</v>
      </c>
      <c r="AE41" s="4">
        <f>AVERAGE($AD$2:$AD41)</f>
        <v>237.40450340651847</v>
      </c>
      <c r="AG41" s="28">
        <f t="shared" si="17"/>
        <v>4.9367521367521388</v>
      </c>
      <c r="AH41" s="28">
        <f t="shared" si="18"/>
        <v>7.4051282051282072</v>
      </c>
      <c r="AI41" s="28">
        <f t="shared" si="19"/>
        <v>9.6170496170496182</v>
      </c>
      <c r="AJ41" s="28">
        <f t="shared" si="20"/>
        <v>13.971940009675862</v>
      </c>
      <c r="AK41" s="28">
        <f t="shared" si="21"/>
        <v>18.987508218277458</v>
      </c>
      <c r="AL41" s="28">
        <f t="shared" si="22"/>
        <v>23.887510339123249</v>
      </c>
      <c r="AM41" s="28">
        <f t="shared" si="23"/>
        <v>29.620512820512829</v>
      </c>
      <c r="AN41" s="28">
        <f t="shared" si="24"/>
        <v>37.025641025641029</v>
      </c>
      <c r="AO41" s="28">
        <f t="shared" si="25"/>
        <v>46.282051282051299</v>
      </c>
      <c r="AP41" s="28">
        <f t="shared" si="26"/>
        <v>56.962524654832364</v>
      </c>
      <c r="AQ41" s="28">
        <f>SLOPE(Taulukkotiedot!$D$53:$D$62*X41,AG41:AP41)</f>
        <v>614.90280567899754</v>
      </c>
      <c r="AR41" s="4">
        <f>AVERAGE($AQ$2:$AQ41)</f>
        <v>208.37125555839845</v>
      </c>
      <c r="AT41" s="4">
        <f>AE41*(1-Taulukkotiedot!R$2)+Laskenta!AR41*Taulukkotiedot!R$2</f>
        <v>222.88787948245846</v>
      </c>
      <c r="AU41" s="4"/>
      <c r="AW41" s="54">
        <f>AT41+Lähtötiedot!C$22</f>
        <v>293.96428951915993</v>
      </c>
      <c r="AX41" s="3"/>
      <c r="AY41" s="4">
        <v>1950</v>
      </c>
      <c r="AZ41" s="28">
        <v>40</v>
      </c>
      <c r="BA41" s="4">
        <f t="shared" si="27"/>
        <v>614.90280567899754</v>
      </c>
      <c r="BB41" s="4">
        <f t="shared" si="28"/>
        <v>701.81194984809713</v>
      </c>
      <c r="BC41" s="59">
        <f t="shared" si="29"/>
        <v>658.35737776354733</v>
      </c>
      <c r="BD41" s="28">
        <f>SUM(BC$2:BC41)</f>
        <v>8915.5151792983361</v>
      </c>
    </row>
    <row r="42" spans="1:56" s="4" customFormat="1" x14ac:dyDescent="0.25">
      <c r="A42" s="11">
        <f t="shared" si="30"/>
        <v>40</v>
      </c>
      <c r="B42" s="28">
        <f t="shared" si="33"/>
        <v>867.78846153846189</v>
      </c>
      <c r="C42" s="28">
        <f t="shared" si="34"/>
        <v>1187.5000000000005</v>
      </c>
      <c r="D42" s="28">
        <f t="shared" si="35"/>
        <v>1504.1666666666672</v>
      </c>
      <c r="E42" s="28">
        <f t="shared" si="36"/>
        <v>1805.0000000000007</v>
      </c>
      <c r="F42" s="28">
        <f t="shared" si="37"/>
        <v>2256.2500000000009</v>
      </c>
      <c r="G42" s="28">
        <f t="shared" si="38"/>
        <v>3008.3333333333344</v>
      </c>
      <c r="H42" s="28">
        <f t="shared" si="39"/>
        <v>3760.4166666666683</v>
      </c>
      <c r="I42" s="2">
        <f>SLOPE(Taulukkotiedot!$D$4:$D$10*A42,Laskenta!B42:H42)</f>
        <v>267.80887495415993</v>
      </c>
      <c r="J42" s="4">
        <f t="shared" si="40"/>
        <v>413.99082568807353</v>
      </c>
      <c r="K42" s="4">
        <f t="shared" si="41"/>
        <v>635.56338028169034</v>
      </c>
      <c r="L42" s="4">
        <f t="shared" si="42"/>
        <v>960.10638297872401</v>
      </c>
      <c r="M42" s="4">
        <f t="shared" si="43"/>
        <v>1735.5769230769238</v>
      </c>
      <c r="N42" s="2">
        <f>SLOPE((Taulukkotiedot!$D$13:$D$16)*A42,Laskenta!J42:M42)</f>
        <v>254.31017325199539</v>
      </c>
      <c r="P42" s="4">
        <f t="shared" si="31"/>
        <v>12.313886703589286</v>
      </c>
      <c r="Q42" s="4">
        <f t="shared" si="32"/>
        <v>8.8321495753857739</v>
      </c>
      <c r="R42" s="4">
        <f>AVERAGE($I$2:$I42)</f>
        <v>91.446181742685866</v>
      </c>
      <c r="S42" s="4">
        <f>AVERAGE($N$2:$N42)</f>
        <v>85.900506898567258</v>
      </c>
      <c r="U42" s="6">
        <f>R42*Taulukkotiedot!$I$2+(1-Taulukkotiedot!$I$2)*Laskenta!S42+Laskenta!Q42</f>
        <v>96.673642669394539</v>
      </c>
      <c r="V42" s="6">
        <f>R42*Taulukkotiedot!$I$2+(1-Taulukkotiedot!$I$2)*Laskenta!S42+Laskenta!Q42+P42</f>
        <v>108.98752937298383</v>
      </c>
      <c r="X42" s="3">
        <v>2</v>
      </c>
      <c r="Y42" s="28">
        <v>2000</v>
      </c>
      <c r="Z42" s="28">
        <f t="shared" si="13"/>
        <v>5.1571428571428584</v>
      </c>
      <c r="AA42" s="28">
        <f t="shared" si="14"/>
        <v>9.3766233766233782</v>
      </c>
      <c r="AB42" s="28">
        <f t="shared" si="15"/>
        <v>13.622641509433965</v>
      </c>
      <c r="AC42" s="28">
        <f t="shared" si="16"/>
        <v>24.066666666666674</v>
      </c>
      <c r="AD42" s="28">
        <f>SLOPE(Taulukkotiedot!$D$47:$D$50*X42,Z42:AC42)</f>
        <v>738.26372107623627</v>
      </c>
      <c r="AE42" s="4">
        <f>AVERAGE($AD$2:$AD42)</f>
        <v>249.6205818862677</v>
      </c>
      <c r="AG42" s="28">
        <f t="shared" si="17"/>
        <v>4.8133333333333352</v>
      </c>
      <c r="AH42" s="28">
        <f t="shared" si="18"/>
        <v>7.2200000000000015</v>
      </c>
      <c r="AI42" s="28">
        <f t="shared" si="19"/>
        <v>9.3766233766233782</v>
      </c>
      <c r="AJ42" s="28">
        <f t="shared" si="20"/>
        <v>13.622641509433965</v>
      </c>
      <c r="AK42" s="28">
        <f t="shared" si="21"/>
        <v>18.512820512820515</v>
      </c>
      <c r="AL42" s="28">
        <f t="shared" si="22"/>
        <v>23.290322580645167</v>
      </c>
      <c r="AM42" s="28">
        <f t="shared" si="23"/>
        <v>28.880000000000006</v>
      </c>
      <c r="AN42" s="28">
        <f t="shared" si="24"/>
        <v>36.100000000000009</v>
      </c>
      <c r="AO42" s="28">
        <f t="shared" si="25"/>
        <v>45.125000000000007</v>
      </c>
      <c r="AP42" s="28">
        <f t="shared" si="26"/>
        <v>55.538461538461554</v>
      </c>
      <c r="AQ42" s="28">
        <f>SLOPE(Taulukkotiedot!$D$53:$D$62*X42,AG42:AP42)</f>
        <v>646.84055824220673</v>
      </c>
      <c r="AR42" s="4">
        <f>AVERAGE($AQ$2:$AQ42)</f>
        <v>219.06562879458889</v>
      </c>
      <c r="AT42" s="4">
        <f>AE42*(1-Taulukkotiedot!R$2)+Laskenta!AR42*Taulukkotiedot!R$2</f>
        <v>234.34310534042828</v>
      </c>
      <c r="AW42" s="54">
        <f>AT42+Lähtötiedot!C$22</f>
        <v>305.41951537712976</v>
      </c>
      <c r="AX42" s="3"/>
      <c r="AY42" s="28">
        <v>2000</v>
      </c>
      <c r="AZ42" s="3">
        <v>41</v>
      </c>
      <c r="BA42" s="4">
        <f t="shared" si="27"/>
        <v>646.84055824220673</v>
      </c>
      <c r="BB42" s="4">
        <f t="shared" si="28"/>
        <v>738.26372107623627</v>
      </c>
      <c r="BC42" s="59">
        <f t="shared" si="29"/>
        <v>692.55213965922144</v>
      </c>
      <c r="BD42" s="28">
        <f>SUM(BC$2:BC42)</f>
        <v>9608.0673189575573</v>
      </c>
    </row>
    <row r="43" spans="1:56" x14ac:dyDescent="0.25">
      <c r="A43" s="8">
        <f t="shared" si="30"/>
        <v>41</v>
      </c>
      <c r="B43" s="28">
        <f t="shared" si="33"/>
        <v>846.62288930581644</v>
      </c>
      <c r="C43" s="28">
        <f t="shared" si="34"/>
        <v>1158.5365853658543</v>
      </c>
      <c r="D43" s="28">
        <f t="shared" si="35"/>
        <v>1467.4796747967487</v>
      </c>
      <c r="E43" s="28">
        <f t="shared" si="36"/>
        <v>1760.9756097560983</v>
      </c>
      <c r="F43" s="28">
        <f t="shared" si="37"/>
        <v>2201.2195121951222</v>
      </c>
      <c r="G43" s="28">
        <f t="shared" si="38"/>
        <v>2934.9593495934973</v>
      </c>
      <c r="H43" s="28">
        <f t="shared" si="39"/>
        <v>3668.6991869918716</v>
      </c>
      <c r="I43" s="2">
        <f>SLOPE(Taulukkotiedot!$D$4:$D$10*A43,Laskenta!B43:H43)</f>
        <v>281.36669924871427</v>
      </c>
      <c r="J43">
        <f t="shared" si="40"/>
        <v>403.8934884761693</v>
      </c>
      <c r="K43">
        <f t="shared" si="41"/>
        <v>620.06183442116128</v>
      </c>
      <c r="L43">
        <f t="shared" si="42"/>
        <v>936.6891541255842</v>
      </c>
      <c r="M43">
        <f t="shared" si="43"/>
        <v>1693.2457786116329</v>
      </c>
      <c r="N43" s="2">
        <f>SLOPE((Taulukkotiedot!$D$13:$D$16)*A43,Laskenta!J43:M43)</f>
        <v>267.18462577287767</v>
      </c>
      <c r="P43">
        <f t="shared" si="31"/>
        <v>12.313886703589286</v>
      </c>
      <c r="Q43">
        <f t="shared" si="32"/>
        <v>8.8321495753857739</v>
      </c>
      <c r="R43">
        <f>AVERAGE($I$2:$I43)</f>
        <v>95.968098826162731</v>
      </c>
      <c r="S43">
        <f>AVERAGE($N$2:$N43)</f>
        <v>90.216795443193703</v>
      </c>
      <c r="U43" s="6">
        <f>R43*Taulukkotiedot!$I$2+(1-Taulukkotiedot!$I$2)*Laskenta!S43+Laskenta!Q43</f>
        <v>101.06190120261864</v>
      </c>
      <c r="V43" s="6">
        <f>R43*Taulukkotiedot!$I$2+(1-Taulukkotiedot!$I$2)*Laskenta!S43+Laskenta!Q43+P43</f>
        <v>113.37578790620793</v>
      </c>
      <c r="X43" s="3">
        <v>2.0499999999999998</v>
      </c>
      <c r="Y43" s="28">
        <v>2050</v>
      </c>
      <c r="Z43" s="28">
        <f t="shared" si="13"/>
        <v>5.0313588850174238</v>
      </c>
      <c r="AA43" s="28">
        <f t="shared" si="14"/>
        <v>9.1479252454862259</v>
      </c>
      <c r="AB43" s="28">
        <f t="shared" si="15"/>
        <v>13.290381960423382</v>
      </c>
      <c r="AC43" s="28">
        <f t="shared" si="16"/>
        <v>23.479674796747979</v>
      </c>
      <c r="AD43" s="28">
        <f>SLOPE(Taulukkotiedot!$D$47:$D$50*X43,Z43:AC43)</f>
        <v>775.63832195572024</v>
      </c>
      <c r="AE43" s="4">
        <f>AVERAGE($AD$2:$AD43)</f>
        <v>262.14481379268324</v>
      </c>
      <c r="AG43" s="28">
        <f t="shared" si="17"/>
        <v>4.6959349593495956</v>
      </c>
      <c r="AH43" s="28">
        <f t="shared" si="18"/>
        <v>7.0439024390243929</v>
      </c>
      <c r="AI43" s="28">
        <f t="shared" si="19"/>
        <v>9.1479252454862259</v>
      </c>
      <c r="AJ43" s="28">
        <f t="shared" si="20"/>
        <v>13.290381960423382</v>
      </c>
      <c r="AK43" s="28">
        <f t="shared" si="21"/>
        <v>18.061288305190747</v>
      </c>
      <c r="AL43" s="28">
        <f t="shared" si="22"/>
        <v>22.72226593233675</v>
      </c>
      <c r="AM43" s="28">
        <f t="shared" si="23"/>
        <v>28.175609756097572</v>
      </c>
      <c r="AN43" s="28">
        <f t="shared" si="24"/>
        <v>35.219512195121965</v>
      </c>
      <c r="AO43" s="28">
        <f t="shared" si="25"/>
        <v>44.024390243902452</v>
      </c>
      <c r="AP43" s="28">
        <f t="shared" si="26"/>
        <v>54.183864915572251</v>
      </c>
      <c r="AQ43" s="28">
        <f>SLOPE(Taulukkotiedot!$D$53:$D$62*X43,AG43:AP43)</f>
        <v>679.58686150321819</v>
      </c>
      <c r="AR43" s="4">
        <f>AVERAGE($AQ$2:$AQ43)</f>
        <v>230.03042004955626</v>
      </c>
      <c r="AT43" s="4">
        <f>AE43*(1-Taulukkotiedot!R$2)+Laskenta!AR43*Taulukkotiedot!R$2</f>
        <v>246.08761692111975</v>
      </c>
      <c r="AU43" s="4"/>
      <c r="AW43" s="54">
        <f>AT43+Lähtötiedot!C$22</f>
        <v>317.16402695782119</v>
      </c>
      <c r="AX43" s="3"/>
      <c r="AY43" s="28">
        <v>2050</v>
      </c>
      <c r="AZ43" s="1">
        <v>42</v>
      </c>
      <c r="BA43" s="4">
        <f t="shared" si="27"/>
        <v>679.58686150321819</v>
      </c>
      <c r="BB43" s="4">
        <f t="shared" si="28"/>
        <v>775.63832195572024</v>
      </c>
      <c r="BC43" s="59">
        <f t="shared" si="29"/>
        <v>727.61259172946916</v>
      </c>
      <c r="BD43" s="28">
        <f>SUM(BC$2:BC43)</f>
        <v>10335.679910687026</v>
      </c>
    </row>
    <row r="44" spans="1:56" s="3" customFormat="1" x14ac:dyDescent="0.25">
      <c r="A44" s="9">
        <f t="shared" si="30"/>
        <v>42</v>
      </c>
      <c r="B44" s="28">
        <f t="shared" si="33"/>
        <v>826.46520146520174</v>
      </c>
      <c r="C44" s="28">
        <f t="shared" si="34"/>
        <v>1130.9523809523812</v>
      </c>
      <c r="D44" s="28">
        <f t="shared" si="35"/>
        <v>1432.5396825396831</v>
      </c>
      <c r="E44" s="28">
        <f t="shared" si="36"/>
        <v>1719.0476190476199</v>
      </c>
      <c r="F44" s="28">
        <f t="shared" si="37"/>
        <v>2148.8095238095248</v>
      </c>
      <c r="G44" s="28">
        <f t="shared" si="38"/>
        <v>2865.0793650793662</v>
      </c>
      <c r="H44" s="28">
        <f t="shared" si="39"/>
        <v>3581.3492063492081</v>
      </c>
      <c r="I44" s="2">
        <f>SLOPE(Taulukkotiedot!$D$4:$D$10*A44,Laskenta!B44:H44)</f>
        <v>295.2592846369613</v>
      </c>
      <c r="J44" s="3">
        <f t="shared" si="40"/>
        <v>394.27697684578436</v>
      </c>
      <c r="K44" s="3">
        <f t="shared" si="41"/>
        <v>605.29845741113365</v>
      </c>
      <c r="L44" s="3">
        <f t="shared" si="42"/>
        <v>914.38703140830842</v>
      </c>
      <c r="M44" s="3">
        <f t="shared" si="43"/>
        <v>1652.9304029304035</v>
      </c>
      <c r="N44" s="2">
        <f>SLOPE((Taulukkotiedot!$D$13:$D$16)*A44,Laskenta!J44:M44)</f>
        <v>280.37696601032496</v>
      </c>
      <c r="P44" s="3">
        <f t="shared" si="31"/>
        <v>12.313886703589286</v>
      </c>
      <c r="Q44" s="3">
        <f t="shared" si="32"/>
        <v>8.8321495753857739</v>
      </c>
      <c r="R44" s="3">
        <f>AVERAGE($I$2:$I44)</f>
        <v>100.60277756594874</v>
      </c>
      <c r="S44" s="3">
        <f>AVERAGE($N$2:$N44)</f>
        <v>94.639124991266513</v>
      </c>
      <c r="U44" s="6">
        <f>R44*Taulukkotiedot!$I$2+(1-Taulukkotiedot!$I$2)*Laskenta!S44+Laskenta!Q44</f>
        <v>105.55855296779107</v>
      </c>
      <c r="V44" s="6">
        <f>R44*Taulukkotiedot!$I$2+(1-Taulukkotiedot!$I$2)*Laskenta!S44+Laskenta!Q44+P44</f>
        <v>117.87243967138036</v>
      </c>
      <c r="X44" s="3">
        <v>2.1</v>
      </c>
      <c r="Y44" s="3">
        <v>2100</v>
      </c>
      <c r="Z44" s="28">
        <f t="shared" si="13"/>
        <v>4.9115646258503407</v>
      </c>
      <c r="AA44" s="28">
        <f t="shared" si="14"/>
        <v>8.9301175015460732</v>
      </c>
      <c r="AB44" s="28">
        <f t="shared" si="15"/>
        <v>12.973944294699013</v>
      </c>
      <c r="AC44" s="28">
        <f t="shared" si="16"/>
        <v>22.920634920634924</v>
      </c>
      <c r="AD44" s="28">
        <f>SLOPE(Taulukkotiedot!$D$47:$D$50*X44,Z44:AC44)</f>
        <v>813.93575248655054</v>
      </c>
      <c r="AE44" s="4">
        <f>AVERAGE($AD$2:$AD44)</f>
        <v>274.97716120416851</v>
      </c>
      <c r="AG44" s="28">
        <f t="shared" si="17"/>
        <v>4.5841269841269847</v>
      </c>
      <c r="AH44" s="28">
        <f t="shared" si="18"/>
        <v>6.8761904761904784</v>
      </c>
      <c r="AI44" s="28">
        <f t="shared" si="19"/>
        <v>8.9301175015460732</v>
      </c>
      <c r="AJ44" s="28">
        <f t="shared" si="20"/>
        <v>12.973944294699013</v>
      </c>
      <c r="AK44" s="28">
        <f t="shared" si="21"/>
        <v>17.631257631257636</v>
      </c>
      <c r="AL44" s="28">
        <f t="shared" si="22"/>
        <v>22.181259600614446</v>
      </c>
      <c r="AM44" s="28">
        <f t="shared" si="23"/>
        <v>27.504761904761914</v>
      </c>
      <c r="AN44" s="28">
        <f t="shared" si="24"/>
        <v>34.380952380952387</v>
      </c>
      <c r="AO44" s="28">
        <f t="shared" si="25"/>
        <v>42.976190476190489</v>
      </c>
      <c r="AP44" s="28">
        <f t="shared" si="26"/>
        <v>52.893772893772905</v>
      </c>
      <c r="AQ44" s="28">
        <f>SLOPE(Taulukkotiedot!$D$53:$D$62*X44,AG44:AP44)</f>
        <v>713.14171546203295</v>
      </c>
      <c r="AR44" s="4">
        <f>AVERAGE($AQ$2:$AQ44)</f>
        <v>241.26556645449756</v>
      </c>
      <c r="AT44" s="4">
        <f>AE44*(1-Taulukkotiedot!R$2)+Laskenta!AR44*Taulukkotiedot!R$2</f>
        <v>258.12136382933306</v>
      </c>
      <c r="AU44" s="4"/>
      <c r="AW44" s="54">
        <f>AT44+Lähtötiedot!C$22</f>
        <v>329.19777386603448</v>
      </c>
      <c r="AY44" s="3">
        <v>2100</v>
      </c>
      <c r="AZ44" s="3">
        <v>43</v>
      </c>
      <c r="BA44" s="4">
        <f t="shared" si="27"/>
        <v>713.14171546203295</v>
      </c>
      <c r="BB44" s="4">
        <f t="shared" si="28"/>
        <v>813.93575248655054</v>
      </c>
      <c r="BC44" s="59">
        <f t="shared" si="29"/>
        <v>763.53873397429174</v>
      </c>
      <c r="BD44" s="28">
        <f>SUM(BC$2:BC44)</f>
        <v>11099.218644661318</v>
      </c>
    </row>
    <row r="45" spans="1:56" x14ac:dyDescent="0.25">
      <c r="A45" s="8">
        <f t="shared" si="30"/>
        <v>43</v>
      </c>
      <c r="B45" s="28">
        <f t="shared" si="33"/>
        <v>807.2450805008948</v>
      </c>
      <c r="C45" s="28">
        <f t="shared" si="34"/>
        <v>1104.6511627906982</v>
      </c>
      <c r="D45" s="28">
        <f t="shared" si="35"/>
        <v>1399.2248062015508</v>
      </c>
      <c r="E45" s="28">
        <f t="shared" si="36"/>
        <v>1679.0697674418611</v>
      </c>
      <c r="F45" s="28">
        <f t="shared" si="37"/>
        <v>2098.8372093023268</v>
      </c>
      <c r="G45" s="28">
        <f t="shared" si="38"/>
        <v>2798.4496124031016</v>
      </c>
      <c r="H45" s="28">
        <f t="shared" si="39"/>
        <v>3498.0620155038773</v>
      </c>
      <c r="I45" s="2">
        <f>SLOPE(Taulukkotiedot!$D$4:$D$10*A45,Laskenta!B45:H45)</f>
        <v>309.48663111890107</v>
      </c>
      <c r="J45">
        <f t="shared" si="40"/>
        <v>385.10774482611492</v>
      </c>
      <c r="K45">
        <f t="shared" si="41"/>
        <v>591.22174909924695</v>
      </c>
      <c r="L45">
        <f t="shared" si="42"/>
        <v>893.12221672439432</v>
      </c>
      <c r="M45">
        <f t="shared" si="43"/>
        <v>1614.4901610017896</v>
      </c>
      <c r="N45" s="2">
        <f>SLOPE((Taulukkotiedot!$D$13:$D$16)*A45,Laskenta!J45:M45)</f>
        <v>293.88719396433714</v>
      </c>
      <c r="P45">
        <f t="shared" si="31"/>
        <v>12.313886703589286</v>
      </c>
      <c r="Q45">
        <f t="shared" si="32"/>
        <v>8.8321495753857739</v>
      </c>
      <c r="R45">
        <f>AVERAGE($I$2:$I45)</f>
        <v>105.35013787397038</v>
      </c>
      <c r="S45">
        <f>AVERAGE($N$2:$N45)</f>
        <v>99.167490195199932</v>
      </c>
      <c r="U45" s="6">
        <f>R45*Taulukkotiedot!$I$2+(1-Taulukkotiedot!$I$2)*Laskenta!S45+Laskenta!Q45</f>
        <v>110.16356645815536</v>
      </c>
      <c r="V45" s="6">
        <f>R45*Taulukkotiedot!$I$2+(1-Taulukkotiedot!$I$2)*Laskenta!S45+Laskenta!Q45+P45</f>
        <v>122.47745316174465</v>
      </c>
      <c r="X45" s="3">
        <v>2.15</v>
      </c>
      <c r="Y45" s="4">
        <v>2150</v>
      </c>
      <c r="Z45" s="28">
        <f t="shared" si="13"/>
        <v>4.7973421926910316</v>
      </c>
      <c r="AA45" s="28">
        <f t="shared" si="14"/>
        <v>8.7224403503473287</v>
      </c>
      <c r="AB45" s="28">
        <f t="shared" si="15"/>
        <v>12.672224659938573</v>
      </c>
      <c r="AC45" s="28">
        <f t="shared" si="16"/>
        <v>22.387596899224818</v>
      </c>
      <c r="AD45" s="28">
        <f>SLOPE(Taulukkotiedot!$D$47:$D$50*X45,Z45:AC45)</f>
        <v>853.15601266872511</v>
      </c>
      <c r="AE45" s="4">
        <f>AVERAGE($AD$2:$AD45)</f>
        <v>288.11758964654479</v>
      </c>
      <c r="AG45" s="28">
        <f t="shared" si="17"/>
        <v>4.4775193798449626</v>
      </c>
      <c r="AH45" s="28">
        <f t="shared" si="18"/>
        <v>6.7162790697674435</v>
      </c>
      <c r="AI45" s="28">
        <f t="shared" si="19"/>
        <v>8.7224403503473287</v>
      </c>
      <c r="AJ45" s="28">
        <f t="shared" si="20"/>
        <v>12.672224659938573</v>
      </c>
      <c r="AK45" s="28">
        <f t="shared" si="21"/>
        <v>17.221228384019085</v>
      </c>
      <c r="AL45" s="28">
        <f t="shared" si="22"/>
        <v>21.665416354088528</v>
      </c>
      <c r="AM45" s="28">
        <f t="shared" si="23"/>
        <v>26.865116279069774</v>
      </c>
      <c r="AN45" s="28">
        <f t="shared" si="24"/>
        <v>33.581395348837219</v>
      </c>
      <c r="AO45" s="28">
        <f t="shared" si="25"/>
        <v>41.976744186046524</v>
      </c>
      <c r="AP45" s="28">
        <f t="shared" si="26"/>
        <v>51.663685152057262</v>
      </c>
      <c r="AQ45" s="28">
        <f>SLOPE(Taulukkotiedot!$D$53:$D$62*X45,AG45:AP45)</f>
        <v>747.50512011864998</v>
      </c>
      <c r="AR45" s="4">
        <f>AVERAGE($AQ$2:$AQ45)</f>
        <v>252.77101085595558</v>
      </c>
      <c r="AT45" s="4">
        <f>AE45*(1-Taulukkotiedot!R$2)+Laskenta!AR45*Taulukkotiedot!R$2</f>
        <v>270.44430025125018</v>
      </c>
      <c r="AU45" s="4"/>
      <c r="AW45" s="54">
        <f>AT45+Lähtötiedot!C$22</f>
        <v>341.5207102879516</v>
      </c>
      <c r="AX45" s="3"/>
      <c r="AY45" s="4">
        <v>2150</v>
      </c>
      <c r="AZ45" s="3">
        <v>44</v>
      </c>
      <c r="BA45" s="4">
        <f t="shared" si="27"/>
        <v>747.50512011864998</v>
      </c>
      <c r="BB45" s="4">
        <f t="shared" si="28"/>
        <v>853.15601266872511</v>
      </c>
      <c r="BC45" s="59">
        <f t="shared" si="29"/>
        <v>800.3305663936876</v>
      </c>
      <c r="BD45" s="28">
        <f>SUM(BC$2:BC45)</f>
        <v>11899.549211055006</v>
      </c>
    </row>
    <row r="46" spans="1:56" s="3" customFormat="1" x14ac:dyDescent="0.25">
      <c r="A46" s="9">
        <f t="shared" si="30"/>
        <v>44</v>
      </c>
      <c r="B46" s="28">
        <f t="shared" si="33"/>
        <v>788.89860139860161</v>
      </c>
      <c r="C46" s="28">
        <f t="shared" si="34"/>
        <v>1079.545454545455</v>
      </c>
      <c r="D46" s="28">
        <f t="shared" si="35"/>
        <v>1367.4242424242432</v>
      </c>
      <c r="E46" s="28">
        <f t="shared" si="36"/>
        <v>1640.9090909090914</v>
      </c>
      <c r="F46" s="28">
        <f t="shared" si="37"/>
        <v>2051.1363636363644</v>
      </c>
      <c r="G46" s="28">
        <f t="shared" si="38"/>
        <v>2734.8484848484864</v>
      </c>
      <c r="H46" s="28">
        <f t="shared" si="39"/>
        <v>3418.5606060606078</v>
      </c>
      <c r="I46" s="2">
        <f>SLOPE(Taulukkotiedot!$D$4:$D$10*A46,Laskenta!B46:H46)</f>
        <v>324.04873869453343</v>
      </c>
      <c r="J46" s="3">
        <f t="shared" si="40"/>
        <v>376.35529608006686</v>
      </c>
      <c r="K46" s="3">
        <f t="shared" si="41"/>
        <v>577.78489116517312</v>
      </c>
      <c r="L46" s="3">
        <f t="shared" si="42"/>
        <v>872.82398452611255</v>
      </c>
      <c r="M46" s="3">
        <f t="shared" si="43"/>
        <v>1577.7972027972032</v>
      </c>
      <c r="N46" s="2">
        <f>SLOPE((Taulukkotiedot!$D$13:$D$16)*A46,Laskenta!J46:M46)</f>
        <v>307.71530963491449</v>
      </c>
      <c r="P46" s="3">
        <f t="shared" si="31"/>
        <v>12.313886703589286</v>
      </c>
      <c r="Q46" s="3">
        <f t="shared" si="32"/>
        <v>8.8321495753857739</v>
      </c>
      <c r="R46" s="3">
        <f>AVERAGE($I$2:$I46)</f>
        <v>110.210106781094</v>
      </c>
      <c r="S46" s="3">
        <f>AVERAGE($N$2:$N46)</f>
        <v>103.80188618274914</v>
      </c>
      <c r="U46" s="6">
        <f>R46*Taulukkotiedot!$I$2+(1-Taulukkotiedot!$I$2)*Laskenta!S46+Laskenta!Q46</f>
        <v>114.87691296755561</v>
      </c>
      <c r="V46" s="6">
        <f>R46*Taulukkotiedot!$I$2+(1-Taulukkotiedot!$I$2)*Laskenta!S46+Laskenta!Q46+P46</f>
        <v>127.1907996711449</v>
      </c>
      <c r="X46" s="4">
        <v>2.2000000000000002</v>
      </c>
      <c r="Y46" s="28">
        <v>2200</v>
      </c>
      <c r="Z46" s="28">
        <f t="shared" si="13"/>
        <v>4.6883116883116891</v>
      </c>
      <c r="AA46" s="28">
        <f t="shared" si="14"/>
        <v>8.5242030696576165</v>
      </c>
      <c r="AB46" s="28">
        <f t="shared" si="15"/>
        <v>12.384219554030876</v>
      </c>
      <c r="AC46" s="28">
        <f t="shared" si="16"/>
        <v>21.878787878787882</v>
      </c>
      <c r="AD46" s="28">
        <f>SLOPE(Taulukkotiedot!$D$47:$D$50*X46,Z46:AC46)</f>
        <v>893.29910250224634</v>
      </c>
      <c r="AE46" s="4">
        <f>AVERAGE($AD$2:$AD46)</f>
        <v>301.56606771000486</v>
      </c>
      <c r="AG46" s="28">
        <f t="shared" si="17"/>
        <v>4.3757575757575768</v>
      </c>
      <c r="AH46" s="28">
        <f t="shared" si="18"/>
        <v>6.5636363636363653</v>
      </c>
      <c r="AI46" s="28">
        <f t="shared" si="19"/>
        <v>8.5242030696576165</v>
      </c>
      <c r="AJ46" s="28">
        <f t="shared" si="20"/>
        <v>12.384219554030876</v>
      </c>
      <c r="AK46" s="28">
        <f t="shared" si="21"/>
        <v>16.829836829836832</v>
      </c>
      <c r="AL46" s="28">
        <f t="shared" si="22"/>
        <v>21.17302052785924</v>
      </c>
      <c r="AM46" s="28">
        <f t="shared" si="23"/>
        <v>26.254545454545461</v>
      </c>
      <c r="AN46" s="28">
        <f t="shared" si="24"/>
        <v>32.81818181818182</v>
      </c>
      <c r="AO46" s="28">
        <f t="shared" si="25"/>
        <v>41.02272727272728</v>
      </c>
      <c r="AP46" s="28">
        <f t="shared" si="26"/>
        <v>50.489510489510494</v>
      </c>
      <c r="AQ46" s="28">
        <f>SLOPE(Taulukkotiedot!$D$53:$D$62*X46,AG46:AP46)</f>
        <v>782.6770754730702</v>
      </c>
      <c r="AR46" s="4">
        <f>AVERAGE($AQ$2:$AQ46)</f>
        <v>264.54670118078036</v>
      </c>
      <c r="AT46" s="4">
        <f>AE46*(1-Taulukkotiedot!R$2)+Laskenta!AR46*Taulukkotiedot!R$2</f>
        <v>283.05638444539261</v>
      </c>
      <c r="AU46" s="4"/>
      <c r="AW46" s="54">
        <f>AT46+Lähtötiedot!C$22</f>
        <v>354.13279448209403</v>
      </c>
    </row>
    <row r="47" spans="1:56" s="1" customFormat="1" x14ac:dyDescent="0.25">
      <c r="A47" s="10">
        <f t="shared" si="30"/>
        <v>45</v>
      </c>
      <c r="B47" s="1">
        <f t="shared" si="33"/>
        <v>771.36752136752159</v>
      </c>
      <c r="C47" s="1">
        <f t="shared" si="34"/>
        <v>1055.5555555555559</v>
      </c>
      <c r="D47" s="1">
        <f t="shared" si="35"/>
        <v>1337.0370370370376</v>
      </c>
      <c r="E47" s="1">
        <f t="shared" si="36"/>
        <v>1604.4444444444453</v>
      </c>
      <c r="F47" s="1">
        <f t="shared" si="37"/>
        <v>2005.5555555555563</v>
      </c>
      <c r="G47" s="1">
        <f t="shared" si="38"/>
        <v>2674.0740740740753</v>
      </c>
      <c r="H47" s="1">
        <f t="shared" si="39"/>
        <v>3342.5925925925944</v>
      </c>
      <c r="I47" s="2">
        <f>SLOPE(Taulukkotiedot!$D$4:$D$10*A47,Laskenta!B47:H47)</f>
        <v>338.9456073638587</v>
      </c>
      <c r="J47" s="1">
        <f t="shared" si="40"/>
        <v>367.99184505606536</v>
      </c>
      <c r="K47" s="1">
        <f t="shared" si="41"/>
        <v>564.94522691705811</v>
      </c>
      <c r="L47" s="1">
        <f t="shared" si="42"/>
        <v>853.42789598108789</v>
      </c>
      <c r="M47" s="1">
        <f t="shared" si="43"/>
        <v>1542.7350427350432</v>
      </c>
      <c r="N47" s="2">
        <f>SLOPE((Taulukkotiedot!$D$13:$D$16)*A47,Laskenta!J47:M47)</f>
        <v>321.86131302205672</v>
      </c>
      <c r="P47" s="1">
        <f t="shared" si="31"/>
        <v>12.313886703589286</v>
      </c>
      <c r="Q47" s="1">
        <f t="shared" si="32"/>
        <v>8.8321495753857739</v>
      </c>
      <c r="R47" s="1">
        <f>AVERAGE($I$2:$I47)</f>
        <v>115.18261766332802</v>
      </c>
      <c r="S47" s="1">
        <f>AVERAGE($N$2:$N47)</f>
        <v>108.54230850534279</v>
      </c>
      <c r="U47" s="6">
        <f>R47*Taulukkotiedot!$I$2+(1-Taulukkotiedot!$I$2)*Laskenta!S47+Laskenta!Q47</f>
        <v>119.69856628602339</v>
      </c>
      <c r="V47" s="6">
        <f>R47*Taulukkotiedot!$I$2+(1-Taulukkotiedot!$I$2)*Laskenta!S47+Laskenta!Q47+P47</f>
        <v>132.01245298961268</v>
      </c>
      <c r="X47" s="28">
        <v>2.25</v>
      </c>
      <c r="Y47" s="28">
        <v>2250</v>
      </c>
      <c r="Z47" s="28">
        <f t="shared" si="13"/>
        <v>4.5841269841269847</v>
      </c>
      <c r="AA47" s="28">
        <f t="shared" si="14"/>
        <v>8.3347763347763379</v>
      </c>
      <c r="AB47" s="28">
        <f t="shared" si="15"/>
        <v>12.109014675052412</v>
      </c>
      <c r="AC47" s="28">
        <f t="shared" si="16"/>
        <v>21.392592592592599</v>
      </c>
      <c r="AD47" s="28">
        <f>SLOPE(Taulukkotiedot!$D$47:$D$50*X47,Z47:AC47)</f>
        <v>934.3650219871115</v>
      </c>
      <c r="AE47" s="4">
        <f>AVERAGE($AD$2:$AD47)</f>
        <v>315.32256671602892</v>
      </c>
      <c r="AG47" s="28">
        <f t="shared" si="17"/>
        <v>4.2785185185185188</v>
      </c>
      <c r="AH47" s="28">
        <f t="shared" si="18"/>
        <v>6.4177777777777791</v>
      </c>
      <c r="AI47" s="28">
        <f t="shared" si="19"/>
        <v>8.3347763347763379</v>
      </c>
      <c r="AJ47" s="28">
        <f t="shared" si="20"/>
        <v>12.109014675052412</v>
      </c>
      <c r="AK47" s="28">
        <f t="shared" si="21"/>
        <v>16.455840455840459</v>
      </c>
      <c r="AL47" s="28">
        <f t="shared" si="22"/>
        <v>20.702508960573482</v>
      </c>
      <c r="AM47" s="28">
        <f t="shared" si="23"/>
        <v>25.671111111111117</v>
      </c>
      <c r="AN47" s="28">
        <f t="shared" si="24"/>
        <v>32.088888888888896</v>
      </c>
      <c r="AO47" s="28">
        <f t="shared" si="25"/>
        <v>40.111111111111121</v>
      </c>
      <c r="AP47" s="28">
        <f t="shared" si="26"/>
        <v>49.367521367521384</v>
      </c>
      <c r="AQ47" s="28">
        <f>SLOPE(Taulukkotiedot!$D$53:$D$62*X47,AG47:AP47)</f>
        <v>818.6575815252927</v>
      </c>
      <c r="AR47" s="4">
        <f>AVERAGE($AQ$2:$AQ47)</f>
        <v>276.5925898839219</v>
      </c>
      <c r="AT47" s="4">
        <f>AE47*(1-Taulukkotiedot!R$2)+Laskenta!AR47*Taulukkotiedot!R$2</f>
        <v>295.95757829997541</v>
      </c>
      <c r="AU47" s="4"/>
      <c r="AW47" s="54">
        <f>AT47+Lähtötiedot!C$22</f>
        <v>367.03398833667688</v>
      </c>
    </row>
    <row r="48" spans="1:56" s="3" customFormat="1" x14ac:dyDescent="0.25">
      <c r="A48" s="9">
        <f t="shared" si="30"/>
        <v>46</v>
      </c>
      <c r="B48" s="28">
        <f t="shared" si="33"/>
        <v>754.59866220735819</v>
      </c>
      <c r="C48" s="28">
        <f t="shared" si="34"/>
        <v>1032.6086956521742</v>
      </c>
      <c r="D48" s="28">
        <f t="shared" si="35"/>
        <v>1307.9710144927544</v>
      </c>
      <c r="E48" s="28">
        <f t="shared" si="36"/>
        <v>1569.5652173913049</v>
      </c>
      <c r="F48" s="28">
        <f t="shared" si="37"/>
        <v>1961.9565217391312</v>
      </c>
      <c r="G48" s="28">
        <f t="shared" si="38"/>
        <v>2615.9420289855088</v>
      </c>
      <c r="H48" s="28">
        <f t="shared" si="39"/>
        <v>3269.9275362318858</v>
      </c>
      <c r="I48" s="2">
        <f>SLOPE(Taulukkotiedot!$D$4:$D$10*A48,Laskenta!B48:H48)</f>
        <v>354.17723712687643</v>
      </c>
      <c r="J48" s="3">
        <f t="shared" si="40"/>
        <v>359.99202233745524</v>
      </c>
      <c r="K48" s="3">
        <f t="shared" si="41"/>
        <v>552.66380894060035</v>
      </c>
      <c r="L48" s="3">
        <f t="shared" si="42"/>
        <v>834.87511563367286</v>
      </c>
      <c r="M48" s="3">
        <f t="shared" si="43"/>
        <v>1509.1973244147164</v>
      </c>
      <c r="N48" s="2">
        <f>SLOPE((Taulukkotiedot!$D$13:$D$16)*A48,Laskenta!J48:M48)</f>
        <v>336.32520412576383</v>
      </c>
      <c r="P48" s="3">
        <f t="shared" si="31"/>
        <v>12.313886703589286</v>
      </c>
      <c r="Q48" s="3">
        <f t="shared" si="32"/>
        <v>8.8321495753857739</v>
      </c>
      <c r="R48" s="3">
        <f>AVERAGE($I$2:$I48)</f>
        <v>120.26760956680776</v>
      </c>
      <c r="S48" s="3">
        <f>AVERAGE($N$2:$N48)</f>
        <v>113.38875309301132</v>
      </c>
      <c r="U48" s="6">
        <f>R48*Taulukkotiedot!$I$2+(1-Taulukkotiedot!$I$2)*Laskenta!S48+Laskenta!Q48</f>
        <v>124.62850243422584</v>
      </c>
      <c r="V48" s="6">
        <f>R48*Taulukkotiedot!$I$2+(1-Taulukkotiedot!$I$2)*Laskenta!S48+Laskenta!Q48+P48</f>
        <v>136.94238913781513</v>
      </c>
      <c r="X48" s="28"/>
      <c r="Y48" s="28"/>
    </row>
    <row r="49" spans="1:25" x14ac:dyDescent="0.25">
      <c r="A49" s="8">
        <f t="shared" si="30"/>
        <v>47</v>
      </c>
      <c r="B49" s="28">
        <f t="shared" si="33"/>
        <v>738.54337152209519</v>
      </c>
      <c r="C49" s="28">
        <f t="shared" si="34"/>
        <v>1010.6382978723409</v>
      </c>
      <c r="D49" s="28">
        <f t="shared" si="35"/>
        <v>1280.1418439716317</v>
      </c>
      <c r="E49" s="28">
        <f t="shared" si="36"/>
        <v>1536.1702127659582</v>
      </c>
      <c r="F49" s="28">
        <f t="shared" si="37"/>
        <v>1920.2127659574476</v>
      </c>
      <c r="G49" s="28">
        <f t="shared" si="38"/>
        <v>2560.2836879432634</v>
      </c>
      <c r="H49" s="28">
        <f t="shared" si="39"/>
        <v>3200.3546099290797</v>
      </c>
      <c r="I49" s="2">
        <f>SLOPE(Taulukkotiedot!$D$4:$D$10*A49,Laskenta!B49:H49)</f>
        <v>369.74362798358698</v>
      </c>
      <c r="J49">
        <f t="shared" si="40"/>
        <v>352.33261760687111</v>
      </c>
      <c r="K49">
        <f t="shared" si="41"/>
        <v>540.90500449505566</v>
      </c>
      <c r="L49">
        <f t="shared" si="42"/>
        <v>817.11181530104159</v>
      </c>
      <c r="M49">
        <f t="shared" si="43"/>
        <v>1477.0867430441904</v>
      </c>
      <c r="N49" s="2">
        <f>SLOPE((Taulukkotiedot!$D$13:$D$16)*A49,Laskenta!J49:M49)</f>
        <v>351.10698294603617</v>
      </c>
      <c r="P49">
        <f t="shared" si="31"/>
        <v>12.313886703589286</v>
      </c>
      <c r="Q49">
        <f t="shared" si="32"/>
        <v>8.8321495753857739</v>
      </c>
      <c r="R49">
        <f>AVERAGE($I$2:$I49)</f>
        <v>125.46502661715733</v>
      </c>
      <c r="S49">
        <f>AVERAGE($N$2:$N49)</f>
        <v>118.34121621494933</v>
      </c>
      <c r="U49" s="6">
        <f>R49*Taulukkotiedot!$I$2+(1-Taulukkotiedot!$I$2)*Laskenta!S49+Laskenta!Q49</f>
        <v>129.6666994311079</v>
      </c>
      <c r="V49" s="6">
        <f>R49*Taulukkotiedot!$I$2+(1-Taulukkotiedot!$I$2)*Laskenta!S49+Laskenta!Q49+P49</f>
        <v>141.98058613469718</v>
      </c>
      <c r="X49" s="3"/>
      <c r="Y49" s="3"/>
    </row>
    <row r="50" spans="1:25" s="3" customFormat="1" x14ac:dyDescent="0.25">
      <c r="A50" s="9">
        <f t="shared" si="30"/>
        <v>48</v>
      </c>
      <c r="B50" s="28">
        <f t="shared" si="33"/>
        <v>723.15705128205161</v>
      </c>
      <c r="C50" s="28">
        <f t="shared" si="34"/>
        <v>989.5833333333336</v>
      </c>
      <c r="D50" s="28">
        <f t="shared" si="35"/>
        <v>1253.4722222222229</v>
      </c>
      <c r="E50" s="28">
        <f t="shared" si="36"/>
        <v>1504.1666666666672</v>
      </c>
      <c r="F50" s="28">
        <f t="shared" si="37"/>
        <v>1880.2083333333337</v>
      </c>
      <c r="G50" s="28">
        <f t="shared" si="38"/>
        <v>2506.9444444444457</v>
      </c>
      <c r="H50" s="28">
        <f t="shared" si="39"/>
        <v>3133.680555555557</v>
      </c>
      <c r="I50" s="2">
        <f>SLOPE(Taulukkotiedot!$D$4:$D$10*A50,Laskenta!B50:H50)</f>
        <v>385.64477993399021</v>
      </c>
      <c r="J50" s="3">
        <f t="shared" si="40"/>
        <v>344.99235474006127</v>
      </c>
      <c r="K50" s="3">
        <f t="shared" si="41"/>
        <v>529.63615023474199</v>
      </c>
      <c r="L50" s="3">
        <f t="shared" si="42"/>
        <v>800.08865248226994</v>
      </c>
      <c r="M50" s="3">
        <f t="shared" si="43"/>
        <v>1446.3141025641032</v>
      </c>
      <c r="N50" s="2">
        <f>SLOPE((Taulukkotiedot!$D$13:$D$16)*A50,Laskenta!J50:M50)</f>
        <v>366.20664948287333</v>
      </c>
      <c r="P50" s="3">
        <f t="shared" si="31"/>
        <v>12.313886703589286</v>
      </c>
      <c r="Q50" s="3">
        <f t="shared" si="32"/>
        <v>8.8321495753857739</v>
      </c>
      <c r="R50" s="3">
        <f>AVERAGE($I$2:$I50)</f>
        <v>130.77481750117434</v>
      </c>
      <c r="S50" s="3">
        <f>AVERAGE($N$2:$N50)</f>
        <v>123.39969444490696</v>
      </c>
      <c r="U50" s="6">
        <f>R50*Taulukkotiedot!$I$2+(1-Taulukkotiedot!$I$2)*Laskenta!S50+Laskenta!Q50</f>
        <v>134.81313708998633</v>
      </c>
      <c r="V50" s="6">
        <f>R50*Taulukkotiedot!$I$2+(1-Taulukkotiedot!$I$2)*Laskenta!S50+Laskenta!Q50+P50</f>
        <v>147.1270237935756</v>
      </c>
      <c r="X50" s="4"/>
      <c r="Y50" s="4"/>
    </row>
    <row r="51" spans="1:25" x14ac:dyDescent="0.25">
      <c r="A51" s="8">
        <f t="shared" si="30"/>
        <v>49</v>
      </c>
      <c r="B51" s="28">
        <f t="shared" si="33"/>
        <v>708.39874411303015</v>
      </c>
      <c r="C51" s="28">
        <f t="shared" si="34"/>
        <v>969.38775510204118</v>
      </c>
      <c r="D51" s="28">
        <f t="shared" si="35"/>
        <v>1227.8911564625855</v>
      </c>
      <c r="E51" s="28">
        <f t="shared" si="36"/>
        <v>1473.4693877551026</v>
      </c>
      <c r="F51" s="28">
        <f t="shared" si="37"/>
        <v>1841.836734693878</v>
      </c>
      <c r="G51" s="28">
        <f t="shared" si="38"/>
        <v>2455.782312925171</v>
      </c>
      <c r="H51" s="28">
        <f t="shared" si="39"/>
        <v>3069.727891156464</v>
      </c>
      <c r="I51" s="2">
        <f>SLOPE(Taulukkotiedot!$D$4:$D$10*A51,Laskenta!B51:H51)</f>
        <v>401.88069297808624</v>
      </c>
      <c r="J51">
        <f t="shared" si="40"/>
        <v>337.95169443924368</v>
      </c>
      <c r="K51">
        <f t="shared" si="41"/>
        <v>518.8272492095432</v>
      </c>
      <c r="L51">
        <f t="shared" si="42"/>
        <v>783.76031263569303</v>
      </c>
      <c r="M51">
        <f t="shared" si="43"/>
        <v>1416.7974882260603</v>
      </c>
      <c r="N51" s="2">
        <f>SLOPE((Taulukkotiedot!$D$13:$D$16)*A51,Laskenta!J51:M51)</f>
        <v>381.62420373627555</v>
      </c>
      <c r="P51">
        <f t="shared" si="31"/>
        <v>12.313886703589286</v>
      </c>
      <c r="Q51">
        <f t="shared" si="32"/>
        <v>8.8321495753857739</v>
      </c>
      <c r="R51">
        <f>AVERAGE($I$2:$I51)</f>
        <v>136.19693501071259</v>
      </c>
      <c r="S51">
        <f>AVERAGE($N$2:$N51)</f>
        <v>128.56418463073433</v>
      </c>
      <c r="U51" s="6">
        <f>R51*Taulukkotiedot!$I$2+(1-Taulukkotiedot!$I$2)*Laskenta!S51+Laskenta!Q51</f>
        <v>140.0677968391125</v>
      </c>
      <c r="V51" s="6">
        <f>R51*Taulukkotiedot!$I$2+(1-Taulukkotiedot!$I$2)*Laskenta!S51+Laskenta!Q51+P51</f>
        <v>152.38168354270178</v>
      </c>
      <c r="X51" s="28"/>
    </row>
    <row r="52" spans="1:25" s="4" customFormat="1" x14ac:dyDescent="0.25">
      <c r="A52" s="11">
        <f t="shared" si="30"/>
        <v>50</v>
      </c>
      <c r="B52" s="28">
        <f t="shared" si="33"/>
        <v>694.23076923076951</v>
      </c>
      <c r="C52" s="28">
        <f t="shared" si="34"/>
        <v>950.00000000000034</v>
      </c>
      <c r="D52" s="28">
        <f t="shared" si="35"/>
        <v>1203.3333333333337</v>
      </c>
      <c r="E52" s="28">
        <f t="shared" si="36"/>
        <v>1444.0000000000007</v>
      </c>
      <c r="F52" s="28">
        <f t="shared" si="37"/>
        <v>1805.0000000000007</v>
      </c>
      <c r="G52" s="28">
        <f t="shared" si="38"/>
        <v>2406.6666666666674</v>
      </c>
      <c r="H52" s="28">
        <f t="shared" si="39"/>
        <v>3008.3333333333344</v>
      </c>
      <c r="I52" s="2">
        <f>SLOPE(Taulukkotiedot!$D$4:$D$10*A52,Laskenta!B52:H52)</f>
        <v>418.45136711587492</v>
      </c>
      <c r="J52" s="4">
        <f t="shared" si="40"/>
        <v>331.19266055045881</v>
      </c>
      <c r="K52" s="4">
        <f t="shared" si="41"/>
        <v>508.4507042253523</v>
      </c>
      <c r="L52" s="4">
        <f t="shared" si="42"/>
        <v>768.08510638297912</v>
      </c>
      <c r="M52" s="4">
        <f t="shared" si="43"/>
        <v>1388.461538461539</v>
      </c>
      <c r="N52" s="2">
        <f>SLOPE((Taulukkotiedot!$D$13:$D$16)*A52,Laskenta!J52:M52)</f>
        <v>397.35964570624282</v>
      </c>
      <c r="P52" s="4">
        <f t="shared" si="31"/>
        <v>12.313886703589286</v>
      </c>
      <c r="Q52" s="4">
        <f t="shared" si="32"/>
        <v>8.8321495753857739</v>
      </c>
      <c r="R52" s="4">
        <f>AVERAGE($I$2:$I52)</f>
        <v>141.73133564022558</v>
      </c>
      <c r="S52" s="4">
        <f>AVERAGE($N$2:$N52)</f>
        <v>133.834683867509</v>
      </c>
      <c r="U52" s="6">
        <f>R52*Taulukkotiedot!$I$2+(1-Taulukkotiedot!$I$2)*Laskenta!S52+Laskenta!Q52</f>
        <v>145.43066156334558</v>
      </c>
      <c r="V52" s="6">
        <f>R52*Taulukkotiedot!$I$2+(1-Taulukkotiedot!$I$2)*Laskenta!S52+Laskenta!Q52+P52</f>
        <v>157.74454826693486</v>
      </c>
      <c r="X52" s="3"/>
      <c r="Y52" s="3"/>
    </row>
    <row r="53" spans="1:25" x14ac:dyDescent="0.25">
      <c r="A53" s="8">
        <f t="shared" si="30"/>
        <v>51</v>
      </c>
      <c r="B53" s="28">
        <f t="shared" si="33"/>
        <v>680.6184012066368</v>
      </c>
      <c r="C53" s="28">
        <f t="shared" si="34"/>
        <v>931.3725490196083</v>
      </c>
      <c r="D53" s="28">
        <f t="shared" si="35"/>
        <v>1179.7385620915038</v>
      </c>
      <c r="E53" s="28">
        <f t="shared" si="36"/>
        <v>1415.6862745098047</v>
      </c>
      <c r="F53" s="28">
        <f t="shared" si="37"/>
        <v>1769.6078431372555</v>
      </c>
      <c r="G53" s="28">
        <f t="shared" si="38"/>
        <v>2359.4771241830076</v>
      </c>
      <c r="H53" s="28">
        <f t="shared" si="39"/>
        <v>2949.3464052287591</v>
      </c>
      <c r="I53" s="2">
        <f>SLOPE(Taulukkotiedot!$D$4:$D$10*A53,Laskenta!B53:H53)</f>
        <v>435.35680234735634</v>
      </c>
      <c r="J53">
        <f t="shared" si="40"/>
        <v>324.69868681417535</v>
      </c>
      <c r="K53">
        <f t="shared" si="41"/>
        <v>498.4810825738748</v>
      </c>
      <c r="L53">
        <f t="shared" si="42"/>
        <v>753.02461410095987</v>
      </c>
      <c r="M53">
        <f t="shared" si="43"/>
        <v>1361.2368024132736</v>
      </c>
      <c r="N53" s="2">
        <f>SLOPE((Taulukkotiedot!$D$13:$D$16)*A53,Laskenta!J53:M53)</f>
        <v>413.41297539277502</v>
      </c>
      <c r="P53">
        <f t="shared" si="31"/>
        <v>12.313886703589286</v>
      </c>
      <c r="Q53">
        <f t="shared" si="32"/>
        <v>8.8321495753857739</v>
      </c>
      <c r="R53">
        <f>AVERAGE($I$2:$I53)</f>
        <v>147.37797923074731</v>
      </c>
      <c r="S53">
        <f>AVERAGE($N$2:$N53)</f>
        <v>139.21118947376411</v>
      </c>
      <c r="U53" s="6">
        <f>R53*Taulukkotiedot!$I$2+(1-Taulukkotiedot!$I$2)*Laskenta!S53+Laskenta!Q53</f>
        <v>150.90171546409402</v>
      </c>
      <c r="V53" s="6">
        <f>R53*Taulukkotiedot!$I$2+(1-Taulukkotiedot!$I$2)*Laskenta!S53+Laskenta!Q53+P53</f>
        <v>163.2156021676833</v>
      </c>
      <c r="X53" s="4"/>
      <c r="Y53" s="4"/>
    </row>
    <row r="54" spans="1:25" s="3" customFormat="1" x14ac:dyDescent="0.25">
      <c r="A54" s="9">
        <f t="shared" si="30"/>
        <v>52</v>
      </c>
      <c r="B54" s="28">
        <f t="shared" si="33"/>
        <v>667.52958579881692</v>
      </c>
      <c r="C54" s="28">
        <f t="shared" si="34"/>
        <v>913.46153846153868</v>
      </c>
      <c r="D54" s="28">
        <f t="shared" si="35"/>
        <v>1157.0512820512824</v>
      </c>
      <c r="E54" s="28">
        <f t="shared" si="36"/>
        <v>1388.461538461539</v>
      </c>
      <c r="F54" s="28">
        <f t="shared" si="37"/>
        <v>1735.5769230769238</v>
      </c>
      <c r="G54" s="28">
        <f t="shared" si="38"/>
        <v>2314.1025641025649</v>
      </c>
      <c r="H54" s="28">
        <f t="shared" si="39"/>
        <v>2892.6282051282064</v>
      </c>
      <c r="I54" s="2">
        <f>SLOPE(Taulukkotiedot!$D$4:$D$10*A54,Laskenta!B54:H54)</f>
        <v>452.59699867253028</v>
      </c>
      <c r="J54" s="3">
        <f t="shared" si="40"/>
        <v>318.45448129851809</v>
      </c>
      <c r="K54" s="3">
        <f t="shared" si="41"/>
        <v>488.89490790899259</v>
      </c>
      <c r="L54" s="3">
        <f t="shared" si="42"/>
        <v>738.5433715220953</v>
      </c>
      <c r="M54" s="3">
        <f t="shared" si="43"/>
        <v>1335.0591715976338</v>
      </c>
      <c r="N54" s="2">
        <f>SLOPE((Taulukkotiedot!$D$13:$D$16)*A54,Laskenta!J54:M54)</f>
        <v>429.78419279587212</v>
      </c>
      <c r="P54" s="3">
        <f t="shared" si="31"/>
        <v>12.313886703589286</v>
      </c>
      <c r="Q54" s="3">
        <f t="shared" si="32"/>
        <v>8.8321495753857739</v>
      </c>
      <c r="R54" s="3">
        <f>AVERAGE($I$2:$I54)</f>
        <v>153.13682865417718</v>
      </c>
      <c r="S54" s="3">
        <f>AVERAGE($N$2:$N54)</f>
        <v>144.69369897040767</v>
      </c>
      <c r="U54" s="6">
        <f>R54*Taulukkotiedot!$I$2+(1-Taulukkotiedot!$I$2)*Laskenta!S54+Laskenta!Q54</f>
        <v>156.48094393511278</v>
      </c>
      <c r="V54" s="6">
        <f>R54*Taulukkotiedot!$I$2+(1-Taulukkotiedot!$I$2)*Laskenta!S54+Laskenta!Q54+P54</f>
        <v>168.79483063870205</v>
      </c>
      <c r="X54" s="28"/>
      <c r="Y54" s="28"/>
    </row>
    <row r="55" spans="1:25" x14ac:dyDescent="0.25">
      <c r="A55" s="8">
        <f t="shared" si="30"/>
        <v>53</v>
      </c>
      <c r="B55" s="28">
        <f t="shared" si="33"/>
        <v>654.93468795355602</v>
      </c>
      <c r="C55" s="28">
        <f t="shared" si="34"/>
        <v>896.22641509434004</v>
      </c>
      <c r="D55" s="28">
        <f t="shared" si="35"/>
        <v>1135.2201257861641</v>
      </c>
      <c r="E55" s="28">
        <f t="shared" si="36"/>
        <v>1362.2641509433968</v>
      </c>
      <c r="F55" s="28">
        <f t="shared" si="37"/>
        <v>1702.8301886792458</v>
      </c>
      <c r="G55" s="28">
        <f t="shared" si="38"/>
        <v>2270.4402515723282</v>
      </c>
      <c r="H55" s="28">
        <f t="shared" si="39"/>
        <v>2838.0503144654099</v>
      </c>
      <c r="I55" s="2">
        <f>SLOPE(Taulukkotiedot!$D$4:$D$10*A55,Laskenta!B55:H55)</f>
        <v>470.17195609139702</v>
      </c>
      <c r="J55">
        <f t="shared" si="40"/>
        <v>312.44590617967816</v>
      </c>
      <c r="K55">
        <f t="shared" si="41"/>
        <v>479.67047568429473</v>
      </c>
      <c r="L55">
        <f t="shared" si="42"/>
        <v>724.6085909273387</v>
      </c>
      <c r="M55">
        <f t="shared" si="43"/>
        <v>1309.869375907112</v>
      </c>
      <c r="N55" s="2">
        <f>SLOPE((Taulukkotiedot!$D$13:$D$16)*A55,Laskenta!J55:M55)</f>
        <v>446.4732979155346</v>
      </c>
      <c r="P55">
        <f t="shared" si="31"/>
        <v>12.313886703589286</v>
      </c>
      <c r="Q55">
        <f t="shared" si="32"/>
        <v>8.8321495753857739</v>
      </c>
      <c r="R55">
        <f>AVERAGE($I$2:$I55)</f>
        <v>159.00784953264423</v>
      </c>
      <c r="S55">
        <f>AVERAGE($N$2:$N55)</f>
        <v>150.28221006198407</v>
      </c>
      <c r="U55" s="6">
        <f>R55*Taulukkotiedot!$I$2+(1-Taulukkotiedot!$I$2)*Laskenta!S55+Laskenta!Q55</f>
        <v>162.16833345210091</v>
      </c>
      <c r="V55" s="6">
        <f>R55*Taulukkotiedot!$I$2+(1-Taulukkotiedot!$I$2)*Laskenta!S55+Laskenta!Q55+P55</f>
        <v>174.48222015569019</v>
      </c>
      <c r="X55" s="3"/>
      <c r="Y55" s="3"/>
    </row>
    <row r="56" spans="1:25" s="3" customFormat="1" x14ac:dyDescent="0.25">
      <c r="A56" s="9">
        <f t="shared" si="30"/>
        <v>54</v>
      </c>
      <c r="B56" s="28">
        <f t="shared" si="33"/>
        <v>642.80626780626801</v>
      </c>
      <c r="C56" s="28">
        <f t="shared" si="34"/>
        <v>879.62962962963002</v>
      </c>
      <c r="D56" s="28">
        <f t="shared" si="35"/>
        <v>1114.1975308641979</v>
      </c>
      <c r="E56" s="28">
        <f t="shared" si="36"/>
        <v>1337.0370370370376</v>
      </c>
      <c r="F56" s="28">
        <f t="shared" si="37"/>
        <v>1671.296296296297</v>
      </c>
      <c r="G56" s="28">
        <f t="shared" si="38"/>
        <v>2228.3950617283958</v>
      </c>
      <c r="H56" s="28">
        <f t="shared" si="39"/>
        <v>2785.4938271604951</v>
      </c>
      <c r="I56" s="2">
        <f>SLOPE(Taulukkotiedot!$D$4:$D$10*A56,Laskenta!B56:H56)</f>
        <v>488.0816746039564</v>
      </c>
      <c r="J56" s="3">
        <f t="shared" si="40"/>
        <v>306.65987088005448</v>
      </c>
      <c r="K56" s="3">
        <f t="shared" si="41"/>
        <v>470.78768909754848</v>
      </c>
      <c r="L56" s="3">
        <f t="shared" si="42"/>
        <v>711.1899133175732</v>
      </c>
      <c r="M56" s="3">
        <f t="shared" si="43"/>
        <v>1285.612535612536</v>
      </c>
      <c r="N56" s="2">
        <f>SLOPE((Taulukkotiedot!$D$13:$D$16)*A56,Laskenta!J56:M56)</f>
        <v>463.48029075176169</v>
      </c>
      <c r="P56" s="3">
        <f t="shared" si="31"/>
        <v>12.313886703589286</v>
      </c>
      <c r="Q56" s="3">
        <f t="shared" si="32"/>
        <v>8.8321495753857739</v>
      </c>
      <c r="R56" s="3">
        <f>AVERAGE($I$2:$I56)</f>
        <v>164.99100998848627</v>
      </c>
      <c r="S56" s="3">
        <f>AVERAGE($N$2:$N56)</f>
        <v>155.97672061998006</v>
      </c>
      <c r="U56" s="6">
        <f>R56*Taulukkotiedot!$I$2+(1-Taulukkotiedot!$I$2)*Laskenta!S56+Laskenta!Q56</f>
        <v>167.96387147434302</v>
      </c>
      <c r="V56" s="6">
        <f>R56*Taulukkotiedot!$I$2+(1-Taulukkotiedot!$I$2)*Laskenta!S56+Laskenta!Q56+P56</f>
        <v>180.2777581779323</v>
      </c>
      <c r="X56" s="4"/>
      <c r="Y56" s="4"/>
    </row>
    <row r="57" spans="1:25" s="1" customFormat="1" x14ac:dyDescent="0.25">
      <c r="A57" s="10">
        <f t="shared" si="30"/>
        <v>55</v>
      </c>
      <c r="B57" s="1">
        <f t="shared" si="33"/>
        <v>631.1188811188814</v>
      </c>
      <c r="C57" s="1">
        <f t="shared" si="34"/>
        <v>863.63636363636397</v>
      </c>
      <c r="D57" s="1">
        <f t="shared" si="35"/>
        <v>1093.9393939393944</v>
      </c>
      <c r="E57" s="1">
        <f t="shared" si="36"/>
        <v>1312.7272727272732</v>
      </c>
      <c r="F57" s="1">
        <f t="shared" si="37"/>
        <v>1640.9090909090914</v>
      </c>
      <c r="G57" s="1">
        <f t="shared" si="38"/>
        <v>2187.8787878787889</v>
      </c>
      <c r="H57" s="1">
        <f t="shared" si="39"/>
        <v>2734.8484848484864</v>
      </c>
      <c r="I57" s="2">
        <f>SLOPE(Taulukkotiedot!$D$4:$D$10*A57,Laskenta!B57:H57)</f>
        <v>506.32615421020853</v>
      </c>
      <c r="J57" s="1">
        <f t="shared" si="40"/>
        <v>301.08423686405348</v>
      </c>
      <c r="K57" s="1">
        <f t="shared" si="41"/>
        <v>462.22791293213851</v>
      </c>
      <c r="L57" s="1">
        <f t="shared" si="42"/>
        <v>698.25918762089009</v>
      </c>
      <c r="M57" s="1">
        <f t="shared" si="43"/>
        <v>1262.2377622377628</v>
      </c>
      <c r="N57" s="2">
        <f>SLOPE((Taulukkotiedot!$D$13:$D$16)*A57,Laskenta!J57:M57)</f>
        <v>480.80517130455371</v>
      </c>
      <c r="P57" s="1">
        <f t="shared" si="31"/>
        <v>12.313886703589286</v>
      </c>
      <c r="Q57" s="1">
        <f t="shared" si="32"/>
        <v>8.8321495753857739</v>
      </c>
      <c r="R57" s="1">
        <f>AVERAGE($I$2:$I57)</f>
        <v>171.08628042101699</v>
      </c>
      <c r="S57" s="1">
        <f>AVERAGE($N$2:$N57)</f>
        <v>161.77722866791888</v>
      </c>
      <c r="U57" s="6">
        <f>R57*Taulukkotiedot!$I$2+(1-Taulukkotiedot!$I$2)*Laskenta!S57+Laskenta!Q57</f>
        <v>173.86754635688899</v>
      </c>
      <c r="V57" s="6">
        <f>R57*Taulukkotiedot!$I$2+(1-Taulukkotiedot!$I$2)*Laskenta!S57+Laskenta!Q57+P57</f>
        <v>186.18143306047827</v>
      </c>
      <c r="X57" s="28"/>
      <c r="Y57" s="28"/>
    </row>
    <row r="58" spans="1:25" s="3" customFormat="1" x14ac:dyDescent="0.25">
      <c r="A58" s="9">
        <f t="shared" si="30"/>
        <v>56</v>
      </c>
      <c r="B58" s="28">
        <f t="shared" si="33"/>
        <v>619.84890109890125</v>
      </c>
      <c r="C58" s="28">
        <f t="shared" si="34"/>
        <v>848.21428571428601</v>
      </c>
      <c r="D58" s="28">
        <f t="shared" si="35"/>
        <v>1074.4047619047624</v>
      </c>
      <c r="E58" s="28">
        <f t="shared" si="36"/>
        <v>1289.2857142857147</v>
      </c>
      <c r="F58" s="28">
        <f t="shared" si="37"/>
        <v>1611.6071428571433</v>
      </c>
      <c r="G58" s="28">
        <f t="shared" si="38"/>
        <v>2148.8095238095248</v>
      </c>
      <c r="H58" s="28">
        <f t="shared" si="39"/>
        <v>2686.011904761906</v>
      </c>
      <c r="I58" s="2">
        <f>SLOPE(Taulukkotiedot!$D$4:$D$10*A58,Laskenta!B58:H58)</f>
        <v>524.90539491015352</v>
      </c>
      <c r="J58" s="3">
        <f t="shared" si="40"/>
        <v>295.70773263433824</v>
      </c>
      <c r="K58" s="3">
        <f t="shared" si="41"/>
        <v>453.97384305835033</v>
      </c>
      <c r="L58" s="3">
        <f t="shared" si="42"/>
        <v>685.79027355623134</v>
      </c>
      <c r="M58" s="3">
        <f t="shared" si="43"/>
        <v>1239.6978021978025</v>
      </c>
      <c r="N58" s="2">
        <f>SLOPE((Taulukkotiedot!$D$13:$D$16)*A58,Laskenta!J58:M58)</f>
        <v>498.44793957391107</v>
      </c>
      <c r="P58" s="3">
        <f t="shared" si="31"/>
        <v>12.313886703589286</v>
      </c>
      <c r="Q58" s="3">
        <f t="shared" si="32"/>
        <v>8.8321495753857739</v>
      </c>
      <c r="R58" s="3">
        <f>AVERAGE($I$2:$I58)</f>
        <v>177.29363330679132</v>
      </c>
      <c r="S58" s="3">
        <f>AVERAGE($N$2:$N58)</f>
        <v>167.68373236802398</v>
      </c>
      <c r="U58" s="6">
        <f>R58*Taulukkotiedot!$I$2+(1-Taulukkotiedot!$I$2)*Laskenta!S58+Laskenta!Q58</f>
        <v>179.87934727197833</v>
      </c>
      <c r="V58" s="6">
        <f>R58*Taulukkotiedot!$I$2+(1-Taulukkotiedot!$I$2)*Laskenta!S58+Laskenta!Q58+P58</f>
        <v>192.19323397556761</v>
      </c>
    </row>
    <row r="59" spans="1:25" x14ac:dyDescent="0.25">
      <c r="A59" s="8">
        <f t="shared" si="30"/>
        <v>57</v>
      </c>
      <c r="B59" s="28">
        <f t="shared" si="33"/>
        <v>608.97435897435923</v>
      </c>
      <c r="C59" s="28">
        <f t="shared" si="34"/>
        <v>833.33333333333371</v>
      </c>
      <c r="D59" s="28">
        <f t="shared" si="35"/>
        <v>1055.5555555555561</v>
      </c>
      <c r="E59" s="28">
        <f t="shared" si="36"/>
        <v>1266.6666666666672</v>
      </c>
      <c r="F59" s="28">
        <f t="shared" si="37"/>
        <v>1583.3333333333339</v>
      </c>
      <c r="G59" s="28">
        <f t="shared" si="38"/>
        <v>2111.1111111111122</v>
      </c>
      <c r="H59" s="28">
        <f t="shared" si="39"/>
        <v>2638.8888888888901</v>
      </c>
      <c r="I59" s="2">
        <f>SLOPE(Taulukkotiedot!$D$4:$D$10*A59,Laskenta!B59:H59)</f>
        <v>543.81939670379097</v>
      </c>
      <c r="J59">
        <f t="shared" si="40"/>
        <v>290.51987767584109</v>
      </c>
      <c r="K59">
        <f t="shared" si="41"/>
        <v>446.0093896713617</v>
      </c>
      <c r="L59">
        <f t="shared" si="42"/>
        <v>673.75886524822727</v>
      </c>
      <c r="M59">
        <f t="shared" si="43"/>
        <v>1217.9487179487185</v>
      </c>
      <c r="N59" s="2">
        <f>SLOPE((Taulukkotiedot!$D$13:$D$16)*A59,Laskenta!J59:M59)</f>
        <v>516.40859555983309</v>
      </c>
      <c r="P59">
        <f t="shared" si="31"/>
        <v>12.313886703589286</v>
      </c>
      <c r="Q59">
        <f t="shared" si="32"/>
        <v>8.8321495753857739</v>
      </c>
      <c r="R59">
        <f>AVERAGE($I$2:$I59)</f>
        <v>183.6130430205327</v>
      </c>
      <c r="S59">
        <f>AVERAGE($N$2:$N59)</f>
        <v>173.69623000926208</v>
      </c>
      <c r="U59" s="6">
        <f>R59*Taulukkotiedot!$I$2+(1-Taulukkotiedot!$I$2)*Laskenta!S59+Laskenta!Q59</f>
        <v>185.99926413859257</v>
      </c>
      <c r="V59" s="6">
        <f>R59*Taulukkotiedot!$I$2+(1-Taulukkotiedot!$I$2)*Laskenta!S59+Laskenta!Q59+P59</f>
        <v>198.31315084218184</v>
      </c>
      <c r="X59" s="4"/>
      <c r="Y59" s="4"/>
    </row>
    <row r="60" spans="1:25" s="3" customFormat="1" x14ac:dyDescent="0.25">
      <c r="A60" s="9">
        <f t="shared" si="30"/>
        <v>58</v>
      </c>
      <c r="B60" s="28">
        <f t="shared" si="33"/>
        <v>598.47480106100829</v>
      </c>
      <c r="C60" s="28">
        <f t="shared" si="34"/>
        <v>818.96551724137976</v>
      </c>
      <c r="D60" s="28">
        <f t="shared" si="35"/>
        <v>1037.3563218390809</v>
      </c>
      <c r="E60" s="28">
        <f t="shared" si="36"/>
        <v>1244.8275862068972</v>
      </c>
      <c r="F60" s="28">
        <f t="shared" si="37"/>
        <v>1556.0344827586212</v>
      </c>
      <c r="G60" s="28">
        <f t="shared" si="38"/>
        <v>2074.7126436781618</v>
      </c>
      <c r="H60" s="28">
        <f t="shared" si="39"/>
        <v>2593.3908045977023</v>
      </c>
      <c r="I60" s="2">
        <f>SLOPE(Taulukkotiedot!$D$4:$D$10*A60,Laskenta!B60:H60)</f>
        <v>563.06815959112123</v>
      </c>
      <c r="J60" s="3">
        <f t="shared" si="40"/>
        <v>285.51091426763691</v>
      </c>
      <c r="K60" s="3">
        <f t="shared" si="41"/>
        <v>438.31957260806234</v>
      </c>
      <c r="L60" s="3">
        <f t="shared" si="42"/>
        <v>662.1423330887751</v>
      </c>
      <c r="M60" s="3">
        <f t="shared" si="43"/>
        <v>1196.9496021220166</v>
      </c>
      <c r="N60" s="2">
        <f>SLOPE((Taulukkotiedot!$D$13:$D$16)*A60,Laskenta!J60:M60)</f>
        <v>534.6871392623201</v>
      </c>
      <c r="P60" s="3">
        <f t="shared" si="31"/>
        <v>12.313886703589286</v>
      </c>
      <c r="Q60" s="3">
        <f t="shared" si="32"/>
        <v>8.8321495753857739</v>
      </c>
      <c r="R60" s="3">
        <f>AVERAGE($I$2:$I60)</f>
        <v>190.04448567427147</v>
      </c>
      <c r="S60" s="3">
        <f>AVERAGE($N$2:$N60)</f>
        <v>179.81471999660204</v>
      </c>
      <c r="U60" s="6">
        <f>R60*Taulukkotiedot!$I$2+(1-Taulukkotiedot!$I$2)*Laskenta!S60+Laskenta!Q60</f>
        <v>192.22728755917214</v>
      </c>
      <c r="V60" s="6">
        <f>R60*Taulukkotiedot!$I$2+(1-Taulukkotiedot!$I$2)*Laskenta!S60+Laskenta!Q60+P60</f>
        <v>204.54117426276142</v>
      </c>
      <c r="X60" s="28"/>
      <c r="Y60" s="28"/>
    </row>
    <row r="61" spans="1:25" x14ac:dyDescent="0.25">
      <c r="A61" s="8">
        <f t="shared" si="30"/>
        <v>59</v>
      </c>
      <c r="B61" s="28">
        <f t="shared" si="33"/>
        <v>588.33116036505896</v>
      </c>
      <c r="C61" s="28">
        <f t="shared" si="34"/>
        <v>805.08474576271215</v>
      </c>
      <c r="D61" s="28">
        <f t="shared" si="35"/>
        <v>1019.7740112994355</v>
      </c>
      <c r="E61" s="28">
        <f t="shared" si="36"/>
        <v>1223.7288135593226</v>
      </c>
      <c r="F61" s="28">
        <f t="shared" si="37"/>
        <v>1529.661016949153</v>
      </c>
      <c r="G61" s="28">
        <f t="shared" si="38"/>
        <v>2039.5480225988711</v>
      </c>
      <c r="H61" s="28">
        <f t="shared" si="39"/>
        <v>2549.4350282485884</v>
      </c>
      <c r="I61" s="2">
        <f>SLOPE(Taulukkotiedot!$D$4:$D$10*A61,Laskenta!B61:H61)</f>
        <v>582.65168357214429</v>
      </c>
      <c r="J61">
        <f t="shared" si="40"/>
        <v>280.67174622920243</v>
      </c>
      <c r="K61">
        <f t="shared" si="41"/>
        <v>430.89042730962058</v>
      </c>
      <c r="L61">
        <f t="shared" si="42"/>
        <v>650.91958168049075</v>
      </c>
      <c r="M61">
        <f t="shared" si="43"/>
        <v>1176.6623207301179</v>
      </c>
      <c r="N61" s="2">
        <f>SLOPE((Taulukkotiedot!$D$13:$D$16)*A61,Laskenta!J61:M61)</f>
        <v>553.28357068137234</v>
      </c>
      <c r="P61">
        <f t="shared" si="31"/>
        <v>12.313886703589286</v>
      </c>
      <c r="Q61">
        <f t="shared" si="32"/>
        <v>8.8321495753857739</v>
      </c>
      <c r="R61">
        <f>AVERAGE($I$2:$I61)</f>
        <v>196.58793897256936</v>
      </c>
      <c r="S61">
        <f>AVERAGE($N$2:$N61)</f>
        <v>186.03920084134822</v>
      </c>
      <c r="U61" s="6">
        <f>R61*Taulukkotiedot!$I$2+(1-Taulukkotiedot!$I$2)*Laskenta!S61+Laskenta!Q61</f>
        <v>198.5634087626614</v>
      </c>
      <c r="V61" s="6">
        <f>R61*Taulukkotiedot!$I$2+(1-Taulukkotiedot!$I$2)*Laskenta!S61+Laskenta!Q61+P61</f>
        <v>210.87729546625067</v>
      </c>
      <c r="X61" s="3"/>
      <c r="Y61" s="3"/>
    </row>
    <row r="62" spans="1:25" s="4" customFormat="1" x14ac:dyDescent="0.25">
      <c r="A62" s="11">
        <f t="shared" si="30"/>
        <v>60</v>
      </c>
      <c r="B62" s="28">
        <f t="shared" si="33"/>
        <v>578.52564102564122</v>
      </c>
      <c r="C62" s="28">
        <f t="shared" si="34"/>
        <v>791.66666666666697</v>
      </c>
      <c r="D62" s="28">
        <f t="shared" si="35"/>
        <v>1002.7777777777782</v>
      </c>
      <c r="E62" s="28">
        <f t="shared" si="36"/>
        <v>1203.3333333333337</v>
      </c>
      <c r="F62" s="28">
        <f t="shared" si="37"/>
        <v>1504.1666666666672</v>
      </c>
      <c r="G62" s="28">
        <f t="shared" si="38"/>
        <v>2005.5555555555563</v>
      </c>
      <c r="H62" s="28">
        <f t="shared" si="39"/>
        <v>2506.9444444444457</v>
      </c>
      <c r="I62" s="2">
        <f>SLOPE(Taulukkotiedot!$D$4:$D$10*A62,Laskenta!B62:H62)</f>
        <v>602.56996864685982</v>
      </c>
      <c r="J62" s="4">
        <f t="shared" si="40"/>
        <v>275.99388379204902</v>
      </c>
      <c r="K62" s="4">
        <f t="shared" si="41"/>
        <v>423.70892018779369</v>
      </c>
      <c r="L62" s="4">
        <f t="shared" si="42"/>
        <v>640.07092198581586</v>
      </c>
      <c r="M62" s="4">
        <f t="shared" si="43"/>
        <v>1157.0512820512824</v>
      </c>
      <c r="N62" s="2">
        <f>SLOPE((Taulukkotiedot!$D$13:$D$16)*A62,Laskenta!J62:M62)</f>
        <v>572.19788981698969</v>
      </c>
      <c r="P62" s="4">
        <f t="shared" si="31"/>
        <v>12.313886703589286</v>
      </c>
      <c r="Q62" s="4">
        <f t="shared" si="32"/>
        <v>8.8321495753857739</v>
      </c>
      <c r="R62" s="4">
        <f>AVERAGE($I$2:$I62)</f>
        <v>203.24338208198398</v>
      </c>
      <c r="S62" s="4">
        <f>AVERAGE($N$2:$N62)</f>
        <v>192.3696711524243</v>
      </c>
      <c r="U62" s="6">
        <f>R62*Taulukkotiedot!$I$2+(1-Taulukkotiedot!$I$2)*Laskenta!S62+Laskenta!Q62</f>
        <v>205.00761955315599</v>
      </c>
      <c r="V62" s="6">
        <f>R62*Taulukkotiedot!$I$2+(1-Taulukkotiedot!$I$2)*Laskenta!S62+Laskenta!Q62+P62</f>
        <v>217.32150625674527</v>
      </c>
    </row>
    <row r="63" spans="1:25" x14ac:dyDescent="0.25">
      <c r="A63" s="8">
        <f t="shared" si="30"/>
        <v>61</v>
      </c>
      <c r="B63" s="28">
        <f t="shared" si="33"/>
        <v>569.04161412358155</v>
      </c>
      <c r="C63" s="28">
        <f t="shared" si="34"/>
        <v>778.68852459016432</v>
      </c>
      <c r="D63" s="28">
        <f t="shared" si="35"/>
        <v>986.33879781420796</v>
      </c>
      <c r="E63" s="28">
        <f t="shared" si="36"/>
        <v>1183.6065573770497</v>
      </c>
      <c r="F63" s="28">
        <f t="shared" si="37"/>
        <v>1479.5081967213118</v>
      </c>
      <c r="G63" s="28">
        <f t="shared" si="38"/>
        <v>1972.6775956284159</v>
      </c>
      <c r="H63" s="28">
        <f t="shared" si="39"/>
        <v>2465.84699453552</v>
      </c>
      <c r="I63" s="2">
        <f>SLOPE(Taulukkotiedot!$D$4:$D$10*A63,Laskenta!B63:H63)</f>
        <v>622.82301481526827</v>
      </c>
      <c r="J63">
        <f t="shared" si="40"/>
        <v>271.46939389381873</v>
      </c>
      <c r="K63">
        <f t="shared" si="41"/>
        <v>416.76287231586264</v>
      </c>
      <c r="L63">
        <f t="shared" si="42"/>
        <v>629.57795605162221</v>
      </c>
      <c r="M63">
        <f t="shared" si="43"/>
        <v>1138.0832282471631</v>
      </c>
      <c r="N63" s="2">
        <f>SLOPE((Taulukkotiedot!$D$13:$D$16)*A63,Laskenta!J63:M63)</f>
        <v>591.4300966691718</v>
      </c>
      <c r="P63">
        <f t="shared" si="31"/>
        <v>12.313886703589286</v>
      </c>
      <c r="Q63">
        <f t="shared" si="32"/>
        <v>8.8321495753857739</v>
      </c>
      <c r="R63">
        <f>AVERAGE($I$2:$I63)</f>
        <v>210.01079551316599</v>
      </c>
      <c r="S63">
        <f>AVERAGE($N$2:$N63)</f>
        <v>198.80612962850086</v>
      </c>
      <c r="U63" s="6">
        <f>R63*Taulukkotiedot!$I$2+(1-Taulukkotiedot!$I$2)*Laskenta!S63+Laskenta!Q63</f>
        <v>211.55991226351941</v>
      </c>
      <c r="V63" s="6">
        <f>R63*Taulukkotiedot!$I$2+(1-Taulukkotiedot!$I$2)*Laskenta!S63+Laskenta!Q63+P63</f>
        <v>223.87379896710868</v>
      </c>
      <c r="X63" s="28"/>
    </row>
    <row r="64" spans="1:25" s="3" customFormat="1" x14ac:dyDescent="0.25">
      <c r="A64" s="9">
        <f t="shared" si="30"/>
        <v>62</v>
      </c>
      <c r="B64" s="28">
        <f t="shared" si="33"/>
        <v>559.86352357320118</v>
      </c>
      <c r="C64" s="28">
        <f t="shared" si="34"/>
        <v>766.12903225806485</v>
      </c>
      <c r="D64" s="28">
        <f t="shared" si="35"/>
        <v>970.43010752688224</v>
      </c>
      <c r="E64" s="28">
        <f t="shared" si="36"/>
        <v>1164.5161290322587</v>
      </c>
      <c r="F64" s="28">
        <f t="shared" si="37"/>
        <v>1455.6451612903231</v>
      </c>
      <c r="G64" s="28">
        <f t="shared" si="38"/>
        <v>1940.8602150537645</v>
      </c>
      <c r="H64" s="28">
        <f t="shared" si="39"/>
        <v>2426.0752688172056</v>
      </c>
      <c r="I64" s="2">
        <f>SLOPE(Taulukkotiedot!$D$4:$D$10*A64,Laskenta!B64:H64)</f>
        <v>643.41082207736918</v>
      </c>
      <c r="J64" s="3">
        <f t="shared" si="40"/>
        <v>267.09085528262807</v>
      </c>
      <c r="K64" s="3">
        <f t="shared" si="41"/>
        <v>410.04089050431645</v>
      </c>
      <c r="L64" s="3">
        <f t="shared" si="42"/>
        <v>619.42347288949929</v>
      </c>
      <c r="M64" s="3">
        <f t="shared" si="43"/>
        <v>1119.7270471464024</v>
      </c>
      <c r="N64" s="2">
        <f>SLOPE((Taulukkotiedot!$D$13:$D$16)*A64,Laskenta!J64:M64)</f>
        <v>610.98019123791903</v>
      </c>
      <c r="P64" s="3">
        <f t="shared" si="31"/>
        <v>12.313886703589286</v>
      </c>
      <c r="Q64" s="3">
        <f t="shared" si="32"/>
        <v>8.8321495753857739</v>
      </c>
      <c r="R64" s="3">
        <f>AVERAGE($I$2:$I64)</f>
        <v>216.89016101418508</v>
      </c>
      <c r="S64" s="3">
        <f>AVERAGE($N$2:$N64)</f>
        <v>205.3485750508726</v>
      </c>
      <c r="U64" s="6">
        <f>R64*Taulukkotiedot!$I$2+(1-Taulukkotiedot!$I$2)*Laskenta!S64+Laskenta!Q64</f>
        <v>218.22027971341774</v>
      </c>
      <c r="V64" s="6">
        <f>R64*Taulukkotiedot!$I$2+(1-Taulukkotiedot!$I$2)*Laskenta!S64+Laskenta!Q64+P64</f>
        <v>230.53416641700701</v>
      </c>
    </row>
    <row r="65" spans="1:25" x14ac:dyDescent="0.25">
      <c r="A65" s="8">
        <f t="shared" si="30"/>
        <v>63</v>
      </c>
      <c r="B65" s="28">
        <f t="shared" si="33"/>
        <v>550.9768009768012</v>
      </c>
      <c r="C65" s="28">
        <f t="shared" si="34"/>
        <v>753.9682539682542</v>
      </c>
      <c r="D65" s="28">
        <f t="shared" si="35"/>
        <v>955.02645502645544</v>
      </c>
      <c r="E65" s="28">
        <f t="shared" si="36"/>
        <v>1146.0317460317465</v>
      </c>
      <c r="F65" s="28">
        <f t="shared" si="37"/>
        <v>1432.5396825396831</v>
      </c>
      <c r="G65" s="28">
        <f t="shared" si="38"/>
        <v>1910.0529100529109</v>
      </c>
      <c r="H65" s="28">
        <f t="shared" si="39"/>
        <v>2387.5661375661384</v>
      </c>
      <c r="I65" s="2">
        <f>SLOPE(Taulukkotiedot!$D$4:$D$10*A65,Laskenta!B65:H65)</f>
        <v>664.333390433163</v>
      </c>
      <c r="J65">
        <f t="shared" si="40"/>
        <v>262.85131789718957</v>
      </c>
      <c r="K65">
        <f t="shared" si="41"/>
        <v>403.53230494075581</v>
      </c>
      <c r="L65">
        <f t="shared" si="42"/>
        <v>609.59135427220565</v>
      </c>
      <c r="M65">
        <f t="shared" si="43"/>
        <v>1101.9536019536024</v>
      </c>
      <c r="N65" s="2">
        <f>SLOPE((Taulukkotiedot!$D$13:$D$16)*A65,Laskenta!J65:M65)</f>
        <v>630.84817352323114</v>
      </c>
      <c r="P65">
        <f t="shared" si="31"/>
        <v>12.313886703589286</v>
      </c>
      <c r="Q65">
        <f t="shared" si="32"/>
        <v>8.8321495753857739</v>
      </c>
      <c r="R65">
        <f>AVERAGE($I$2:$I65)</f>
        <v>223.8814614738566</v>
      </c>
      <c r="S65">
        <f>AVERAGE($N$2:$N65)</f>
        <v>211.99700627700318</v>
      </c>
      <c r="U65" s="6">
        <f>R65*Taulukkotiedot!$I$2+(1-Taulukkotiedot!$I$2)*Laskenta!S65+Laskenta!Q65</f>
        <v>224.98871517128768</v>
      </c>
      <c r="V65" s="6">
        <f>R65*Taulukkotiedot!$I$2+(1-Taulukkotiedot!$I$2)*Laskenta!S65+Laskenta!Q65+P65</f>
        <v>237.30260187487696</v>
      </c>
      <c r="X65" s="4"/>
      <c r="Y65" s="4"/>
    </row>
    <row r="66" spans="1:25" s="3" customFormat="1" x14ac:dyDescent="0.25">
      <c r="A66" s="9">
        <f t="shared" si="30"/>
        <v>64</v>
      </c>
      <c r="B66" s="28">
        <f t="shared" si="33"/>
        <v>542.36778846153857</v>
      </c>
      <c r="C66" s="28">
        <f t="shared" si="34"/>
        <v>742.18750000000034</v>
      </c>
      <c r="D66" s="28">
        <f t="shared" si="35"/>
        <v>940.10416666666708</v>
      </c>
      <c r="E66" s="28">
        <f t="shared" si="36"/>
        <v>1128.1250000000005</v>
      </c>
      <c r="F66" s="28">
        <f t="shared" si="37"/>
        <v>1410.1562500000005</v>
      </c>
      <c r="G66" s="28">
        <f t="shared" si="38"/>
        <v>1880.2083333333342</v>
      </c>
      <c r="H66" s="28">
        <f t="shared" si="39"/>
        <v>2350.2604166666679</v>
      </c>
      <c r="I66" s="2">
        <f>SLOPE(Taulukkotiedot!$D$4:$D$10*A66,Laskenta!B66:H66)</f>
        <v>685.59071988264941</v>
      </c>
      <c r="J66" s="3">
        <f t="shared" si="40"/>
        <v>258.74426605504595</v>
      </c>
      <c r="K66" s="3">
        <f t="shared" si="41"/>
        <v>397.22711267605649</v>
      </c>
      <c r="L66" s="3">
        <f t="shared" si="42"/>
        <v>600.06648936170245</v>
      </c>
      <c r="M66" s="3">
        <f t="shared" si="43"/>
        <v>1084.7355769230771</v>
      </c>
      <c r="N66" s="2">
        <f>SLOPE((Taulukkotiedot!$D$13:$D$16)*A66,Laskenta!J66:M66)</f>
        <v>651.03404352510847</v>
      </c>
      <c r="P66" s="3">
        <f t="shared" ref="P66:P102" si="44">jmrajakustannus</f>
        <v>12.313886703589286</v>
      </c>
      <c r="Q66" s="3">
        <f t="shared" ref="Q66:Q102" si="45">pmrajakust</f>
        <v>8.8321495753857739</v>
      </c>
      <c r="R66" s="3">
        <f>AVERAGE($I$2:$I66)</f>
        <v>230.98468083399189</v>
      </c>
      <c r="S66" s="3">
        <f>AVERAGE($N$2:$N66)</f>
        <v>218.75142223466634</v>
      </c>
      <c r="U66" s="6">
        <f>R66*Taulukkotiedot!$I$2+(1-Taulukkotiedot!$I$2)*Laskenta!S66+Laskenta!Q66</f>
        <v>231.86521231981607</v>
      </c>
      <c r="V66" s="6">
        <f>R66*Taulukkotiedot!$I$2+(1-Taulukkotiedot!$I$2)*Laskenta!S66+Laskenta!Q66+P66</f>
        <v>244.17909902340534</v>
      </c>
      <c r="X66" s="28"/>
      <c r="Y66" s="28"/>
    </row>
    <row r="67" spans="1:25" s="1" customFormat="1" x14ac:dyDescent="0.25">
      <c r="A67" s="10">
        <f t="shared" si="30"/>
        <v>65</v>
      </c>
      <c r="B67" s="1">
        <f t="shared" ref="B67:B102" si="46">IF(((jän.ale*3*(vaihejännite*cosfii)^2)/(res.70*$A67))/1000&gt;kuorma70,kuorma70,(jän.ale*3*(vaihejännite*cosfii)^2)/(res.70*$A67)/1000)</f>
        <v>534.02366863905331</v>
      </c>
      <c r="C67" s="1">
        <f t="shared" ref="C67:C102" si="47">IF(((jän.ale*3*(vaihejännite*cosfii)^2)/(res.95*$A67))/1000&gt;kuorma95,kuorma95,(jän.ale*3*(vaihejännite*cosfii)^2)/(res.95*$A67)/1000)</f>
        <v>730.76923076923106</v>
      </c>
      <c r="D67" s="1">
        <f t="shared" ref="D67:D102" si="48">IF(((jän.ale*3*(vaihejännite*cosfii)^2)/(res.120*$A67))/1000&gt;kuorma120,kuorma120,(jän.ale*3*(vaihejännite*cosfii)^2)/(res.120*$A67)/1000)</f>
        <v>925.64102564102598</v>
      </c>
      <c r="E67" s="1">
        <f t="shared" ref="E67:E102" si="49">IF(((jän.ale*3*(vaihejännite*cosfii)^2)/(res.150*$A67))/1000&gt;kuorma150,kuorma150,(jän.ale*3*(vaihejännite*cosfii)^2)/(res.150*$A67)/1000)</f>
        <v>1110.7692307692312</v>
      </c>
      <c r="F67" s="1">
        <f t="shared" ref="F67:F102" si="50">IF(((jän.ale*3*(vaihejännite*cosfii)^2)/(res.185*$A67))/1000&gt;kuorma185,kuorma185,(jän.ale*3*(vaihejännite*cosfii)^2)/(res.185*$A67)/1000)</f>
        <v>1388.461538461539</v>
      </c>
      <c r="G67" s="1">
        <f t="shared" ref="G67:G102" si="51">IF(((jän.ale*3*(vaihejännite*cosfii)^2)/(res.240*$A67))/1000&gt;kuorma240,kuorma240,(jän.ale*3*(vaihejännite*cosfii)^2)/(res.240*$A67)/1000)</f>
        <v>1851.282051282052</v>
      </c>
      <c r="H67" s="1">
        <f t="shared" ref="H67:H102" si="52">IF(((jän.ale*3*(vaihejännite*cosfii)^2)/(res.300*$A67))/1000&gt;kuorma300,kuorma300,(jän.ale*3*(vaihejännite*cosfii)^2)/(res.300*$A67)/1000)</f>
        <v>2314.1025641025649</v>
      </c>
      <c r="I67" s="2">
        <f>SLOPE(Taulukkotiedot!$D$4:$D$10*A67,Laskenta!B67:H67)</f>
        <v>707.18281042582851</v>
      </c>
      <c r="J67" s="1">
        <f t="shared" ref="J67:J102" si="53">IF(((jän.ale*3*(vaihejännite*cosfii)^2)/(res.spar*$A67))/1000&gt;maxkuorm.i1,maxkuorm.i1,(jän.ale*3*(vaihejännite*cosfii)^2)/(res.spar*$A67)/1000)</f>
        <v>254.76358503881445</v>
      </c>
      <c r="K67" s="1">
        <f t="shared" ref="K67:K102" si="54">IF(((jän.ale*3*(vaihejännite*cosfii)^2)/(res.rav*$A67))/1000&gt;maxkuorm.i2,maxkuorm.i2,(jän.ale*3*(vaihejännite*cosfii)^2)/(res.rav*$A67)/1000)</f>
        <v>391.11592632719407</v>
      </c>
      <c r="L67" s="1">
        <f t="shared" ref="L67:L102" si="55">IF(((jän.ale*3*(vaihejännite*cosfii)^2)/(res.pig*$A67))/1000&gt;maxkuorm.i3,maxkuorm.i3,(jän.ale*3*(vaihejännite*cosfii)^2)/(res.pig*$A67)/1000)</f>
        <v>590.83469721767619</v>
      </c>
      <c r="M67" s="1">
        <f t="shared" ref="M67:M102" si="56">IF(((jän.ale*3*(vaihejännite*cosfii)^2)/(res.Al*$A67))/1000&gt;maxkuorm.i4,maxkuorm.i4,(jän.ale*3*(vaihejännite*cosfii)^2)/(res.Al*$A67)/1000)</f>
        <v>1068.0473372781066</v>
      </c>
      <c r="N67" s="2">
        <f>SLOPE((Taulukkotiedot!$D$13:$D$16)*A67,Laskenta!J67:M67)</f>
        <v>671.53780124355058</v>
      </c>
      <c r="P67" s="1">
        <f t="shared" si="44"/>
        <v>12.313886703589286</v>
      </c>
      <c r="Q67" s="1">
        <f t="shared" si="45"/>
        <v>8.8321495753857739</v>
      </c>
      <c r="R67" s="1">
        <f>AVERAGE($I$2:$I67)</f>
        <v>238.19980400962578</v>
      </c>
      <c r="S67" s="1">
        <f>AVERAGE($N$2:$N67)</f>
        <v>225.61182191661914</v>
      </c>
      <c r="U67" s="6">
        <f>R67*Taulukkotiedot!$I$2+(1-Taulukkotiedot!$I$2)*Laskenta!S67+Laskenta!Q67</f>
        <v>238.84976522455727</v>
      </c>
      <c r="V67" s="6">
        <f>R67*Taulukkotiedot!$I$2+(1-Taulukkotiedot!$I$2)*Laskenta!S67+Laskenta!Q67+P67</f>
        <v>251.16365192814655</v>
      </c>
      <c r="X67" s="3"/>
      <c r="Y67" s="3"/>
    </row>
    <row r="68" spans="1:25" s="3" customFormat="1" x14ac:dyDescent="0.25">
      <c r="A68" s="9">
        <f t="shared" si="30"/>
        <v>66</v>
      </c>
      <c r="B68" s="28">
        <f t="shared" si="46"/>
        <v>525.93240093240115</v>
      </c>
      <c r="C68" s="28">
        <f t="shared" si="47"/>
        <v>719.69696969696997</v>
      </c>
      <c r="D68" s="28">
        <f t="shared" si="48"/>
        <v>911.61616161616189</v>
      </c>
      <c r="E68" s="28">
        <f t="shared" si="49"/>
        <v>1093.9393939393944</v>
      </c>
      <c r="F68" s="28">
        <f t="shared" si="50"/>
        <v>1367.4242424242429</v>
      </c>
      <c r="G68" s="28">
        <f t="shared" si="51"/>
        <v>1823.2323232323238</v>
      </c>
      <c r="H68" s="28">
        <f t="shared" si="52"/>
        <v>2279.0404040404051</v>
      </c>
      <c r="I68" s="2">
        <f>SLOPE(Taulukkotiedot!$D$4:$D$10*A68,Laskenta!B68:H68)</f>
        <v>729.10966206270041</v>
      </c>
      <c r="J68" s="3">
        <f t="shared" si="53"/>
        <v>250.90353072004453</v>
      </c>
      <c r="K68" s="3">
        <f t="shared" si="54"/>
        <v>385.18992744344877</v>
      </c>
      <c r="L68" s="3">
        <f t="shared" si="55"/>
        <v>581.88265635074174</v>
      </c>
      <c r="M68" s="3">
        <f t="shared" si="56"/>
        <v>1051.8648018648023</v>
      </c>
      <c r="N68" s="2">
        <f>SLOPE((Taulukkotiedot!$D$13:$D$16)*A68,Laskenta!J68:M68)</f>
        <v>692.35944667855756</v>
      </c>
      <c r="P68" s="3">
        <f t="shared" si="44"/>
        <v>12.313886703589286</v>
      </c>
      <c r="Q68" s="3">
        <f t="shared" si="45"/>
        <v>8.8321495753857739</v>
      </c>
      <c r="R68" s="3">
        <f>AVERAGE($I$2:$I68)</f>
        <v>245.52681681638808</v>
      </c>
      <c r="S68" s="3">
        <f>AVERAGE($N$2:$N68)</f>
        <v>232.57820437575256</v>
      </c>
      <c r="U68" s="6">
        <f>R68*Taulukkotiedot!$I$2+(1-Taulukkotiedot!$I$2)*Laskenta!S68+Laskenta!Q68</f>
        <v>245.94236830536079</v>
      </c>
      <c r="V68" s="6">
        <f>R68*Taulukkotiedot!$I$2+(1-Taulukkotiedot!$I$2)*Laskenta!S68+Laskenta!Q68+P68</f>
        <v>258.25625500895006</v>
      </c>
      <c r="X68" s="4"/>
      <c r="Y68" s="4"/>
    </row>
    <row r="69" spans="1:25" x14ac:dyDescent="0.25">
      <c r="A69" s="8">
        <f t="shared" ref="A69:A102" si="57">A68+1</f>
        <v>67</v>
      </c>
      <c r="B69" s="28">
        <f t="shared" si="46"/>
        <v>518.08266360505183</v>
      </c>
      <c r="C69" s="28">
        <f t="shared" si="47"/>
        <v>708.95522388059726</v>
      </c>
      <c r="D69" s="28">
        <f t="shared" si="48"/>
        <v>898.0099502487567</v>
      </c>
      <c r="E69" s="28">
        <f t="shared" si="49"/>
        <v>1077.611940298508</v>
      </c>
      <c r="F69" s="28">
        <f t="shared" si="50"/>
        <v>1347.0149253731349</v>
      </c>
      <c r="G69" s="28">
        <f t="shared" si="51"/>
        <v>1796.0199004975134</v>
      </c>
      <c r="H69" s="28">
        <f t="shared" si="52"/>
        <v>2245.0248756218916</v>
      </c>
      <c r="I69" s="2">
        <f>SLOPE(Taulukkotiedot!$D$4:$D$10*A69,Laskenta!B69:H69)</f>
        <v>751.37127479326477</v>
      </c>
      <c r="J69">
        <f t="shared" si="53"/>
        <v>247.15870190332748</v>
      </c>
      <c r="K69">
        <f t="shared" si="54"/>
        <v>379.44082404877037</v>
      </c>
      <c r="L69">
        <f t="shared" si="55"/>
        <v>573.19784058431276</v>
      </c>
      <c r="M69">
        <f t="shared" si="56"/>
        <v>1036.1653272101037</v>
      </c>
      <c r="N69" s="2">
        <f>SLOPE((Taulukkotiedot!$D$13:$D$16)*A69,Laskenta!J69:M69)</f>
        <v>713.49897983012954</v>
      </c>
      <c r="P69">
        <f t="shared" si="44"/>
        <v>12.313886703589286</v>
      </c>
      <c r="Q69">
        <f t="shared" si="45"/>
        <v>8.8321495753857739</v>
      </c>
      <c r="R69">
        <f>AVERAGE($I$2:$I69)</f>
        <v>252.96570590428334</v>
      </c>
      <c r="S69">
        <f>AVERAGE($N$2:$N69)</f>
        <v>239.65056872066987</v>
      </c>
      <c r="U69" s="6">
        <f>R69*Taulukkotiedot!$I$2+(1-Taulukkotiedot!$I$2)*Laskenta!S69+Laskenta!Q69</f>
        <v>253.14301631032035</v>
      </c>
      <c r="V69" s="6">
        <f>R69*Taulukkotiedot!$I$2+(1-Taulukkotiedot!$I$2)*Laskenta!S69+Laskenta!Q69+P69</f>
        <v>265.45690301390965</v>
      </c>
      <c r="X69" s="28"/>
    </row>
    <row r="70" spans="1:25" s="3" customFormat="1" x14ac:dyDescent="0.25">
      <c r="A70" s="9">
        <f t="shared" si="57"/>
        <v>68</v>
      </c>
      <c r="B70" s="28">
        <f t="shared" si="46"/>
        <v>510.46380090497757</v>
      </c>
      <c r="C70" s="28">
        <f t="shared" si="47"/>
        <v>698.52941176470608</v>
      </c>
      <c r="D70" s="28">
        <f t="shared" si="48"/>
        <v>884.80392156862797</v>
      </c>
      <c r="E70" s="28">
        <f t="shared" si="49"/>
        <v>1061.7647058823534</v>
      </c>
      <c r="F70" s="28">
        <f t="shared" si="50"/>
        <v>1327.2058823529417</v>
      </c>
      <c r="G70" s="28">
        <f t="shared" si="51"/>
        <v>1769.6078431372559</v>
      </c>
      <c r="H70" s="28">
        <f t="shared" si="52"/>
        <v>2212.0098039215695</v>
      </c>
      <c r="I70" s="2">
        <f>SLOPE(Taulukkotiedot!$D$4:$D$10*A70,Laskenta!B70:H70)</f>
        <v>773.96764861752217</v>
      </c>
      <c r="J70" s="3">
        <f t="shared" si="53"/>
        <v>243.5240151106315</v>
      </c>
      <c r="K70" s="3">
        <f t="shared" si="54"/>
        <v>373.8608119304061</v>
      </c>
      <c r="L70" s="3">
        <f t="shared" si="55"/>
        <v>564.76846057571993</v>
      </c>
      <c r="M70" s="3">
        <f t="shared" si="56"/>
        <v>1020.9276018099551</v>
      </c>
      <c r="N70" s="2">
        <f>SLOPE((Taulukkotiedot!$D$13:$D$16)*A70,Laskenta!J70:M70)</f>
        <v>734.95640069826663</v>
      </c>
      <c r="P70" s="3">
        <f t="shared" si="44"/>
        <v>12.313886703589286</v>
      </c>
      <c r="Q70" s="3">
        <f t="shared" si="45"/>
        <v>8.8321495753857739</v>
      </c>
      <c r="R70" s="3">
        <f>AVERAGE($I$2:$I70)</f>
        <v>260.51645869722887</v>
      </c>
      <c r="S70" s="3">
        <f>AVERAGE($N$2:$N70)</f>
        <v>246.82891411164951</v>
      </c>
      <c r="U70" s="6">
        <f>R70*Taulukkotiedot!$I$2+(1-Taulukkotiedot!$I$2)*Laskenta!S70+Laskenta!Q70</f>
        <v>260.45170429198805</v>
      </c>
      <c r="V70" s="6">
        <f>R70*Taulukkotiedot!$I$2+(1-Taulukkotiedot!$I$2)*Laskenta!S70+Laskenta!Q70+P70</f>
        <v>272.76559099557733</v>
      </c>
    </row>
    <row r="71" spans="1:25" x14ac:dyDescent="0.25">
      <c r="A71" s="8">
        <f t="shared" si="57"/>
        <v>69</v>
      </c>
      <c r="B71" s="28">
        <f t="shared" si="46"/>
        <v>503.0657748049054</v>
      </c>
      <c r="C71" s="28">
        <f t="shared" si="47"/>
        <v>688.40579710144959</v>
      </c>
      <c r="D71" s="28">
        <f t="shared" si="48"/>
        <v>871.9806763285028</v>
      </c>
      <c r="E71" s="28">
        <f t="shared" si="49"/>
        <v>1046.3768115942034</v>
      </c>
      <c r="F71" s="28">
        <f t="shared" si="50"/>
        <v>1307.9710144927542</v>
      </c>
      <c r="G71" s="28">
        <f t="shared" si="51"/>
        <v>1743.9613526570056</v>
      </c>
      <c r="H71" s="28">
        <f t="shared" si="52"/>
        <v>2179.9516908212568</v>
      </c>
      <c r="I71" s="2">
        <f>SLOPE(Taulukkotiedot!$D$4:$D$10*A71,Laskenta!B71:H71)</f>
        <v>796.89878353547226</v>
      </c>
      <c r="J71">
        <f t="shared" si="53"/>
        <v>239.99468155830348</v>
      </c>
      <c r="K71">
        <f t="shared" si="54"/>
        <v>368.4425392937336</v>
      </c>
      <c r="L71">
        <f t="shared" si="55"/>
        <v>556.58341042244854</v>
      </c>
      <c r="M71">
        <f t="shared" si="56"/>
        <v>1006.1315496098108</v>
      </c>
      <c r="N71" s="2">
        <f>SLOPE((Taulukkotiedot!$D$13:$D$16)*A71,Laskenta!J71:M71)</f>
        <v>756.73170928296884</v>
      </c>
      <c r="P71">
        <f t="shared" si="44"/>
        <v>12.313886703589286</v>
      </c>
      <c r="Q71">
        <f t="shared" si="45"/>
        <v>8.8321495753857739</v>
      </c>
      <c r="R71">
        <f>AVERAGE($I$2:$I71)</f>
        <v>268.17906333777518</v>
      </c>
      <c r="S71">
        <f>AVERAGE($N$2:$N71)</f>
        <v>254.11323975695407</v>
      </c>
      <c r="U71" s="6">
        <f>R71*Taulukkotiedot!$I$2+(1-Taulukkotiedot!$I$2)*Laskenta!S71+Laskenta!Q71</f>
        <v>267.86842758562722</v>
      </c>
      <c r="V71" s="6">
        <f>R71*Taulukkotiedot!$I$2+(1-Taulukkotiedot!$I$2)*Laskenta!S71+Laskenta!Q71+P71</f>
        <v>280.18231428921649</v>
      </c>
      <c r="X71" s="4"/>
      <c r="Y71" s="4"/>
    </row>
    <row r="72" spans="1:25" s="4" customFormat="1" x14ac:dyDescent="0.25">
      <c r="A72" s="11">
        <f t="shared" si="57"/>
        <v>70</v>
      </c>
      <c r="B72" s="28">
        <f t="shared" si="46"/>
        <v>495.8791208791211</v>
      </c>
      <c r="C72" s="28">
        <f t="shared" si="47"/>
        <v>678.5714285714289</v>
      </c>
      <c r="D72" s="28">
        <f t="shared" si="48"/>
        <v>859.52380952380997</v>
      </c>
      <c r="E72" s="28">
        <f t="shared" si="49"/>
        <v>1031.4285714285718</v>
      </c>
      <c r="F72" s="28">
        <f t="shared" si="50"/>
        <v>1289.2857142857147</v>
      </c>
      <c r="G72" s="28">
        <f t="shared" si="51"/>
        <v>1719.0476190476199</v>
      </c>
      <c r="H72" s="28">
        <f t="shared" si="52"/>
        <v>2148.8095238095248</v>
      </c>
      <c r="I72" s="2">
        <f>SLOPE(Taulukkotiedot!$D$4:$D$10*A72,Laskenta!B72:H72)</f>
        <v>820.16467954711459</v>
      </c>
      <c r="J72" s="4">
        <f t="shared" si="53"/>
        <v>236.56618610747057</v>
      </c>
      <c r="K72" s="4">
        <f t="shared" si="54"/>
        <v>363.17907444668026</v>
      </c>
      <c r="L72" s="4">
        <f t="shared" si="55"/>
        <v>548.632218844985</v>
      </c>
      <c r="M72" s="4">
        <f t="shared" si="56"/>
        <v>991.75824175824221</v>
      </c>
      <c r="N72" s="2">
        <f>SLOPE((Taulukkotiedot!$D$13:$D$16)*A72,Laskenta!J72:M72)</f>
        <v>778.82490558423581</v>
      </c>
      <c r="P72" s="4">
        <f t="shared" si="44"/>
        <v>12.313886703589286</v>
      </c>
      <c r="Q72" s="4">
        <f t="shared" si="45"/>
        <v>8.8321495753857739</v>
      </c>
      <c r="R72" s="4">
        <f>AVERAGE($I$2:$I72)</f>
        <v>275.95350863649821</v>
      </c>
      <c r="S72" s="4">
        <f>AVERAGE($N$2:$N72)</f>
        <v>261.50354490945102</v>
      </c>
      <c r="U72" s="6">
        <f>R72*Taulukkotiedot!$I$2+(1-Taulukkotiedot!$I$2)*Laskenta!S72+Laskenta!Q72</f>
        <v>275.3931817893033</v>
      </c>
      <c r="V72" s="6">
        <f>R72*Taulukkotiedot!$I$2+(1-Taulukkotiedot!$I$2)*Laskenta!S72+Laskenta!Q72+P72</f>
        <v>287.70706849289257</v>
      </c>
      <c r="X72" s="28"/>
      <c r="Y72" s="28"/>
    </row>
    <row r="73" spans="1:25" x14ac:dyDescent="0.25">
      <c r="A73" s="8">
        <f t="shared" si="57"/>
        <v>71</v>
      </c>
      <c r="B73" s="28">
        <f t="shared" si="46"/>
        <v>488.89490790899259</v>
      </c>
      <c r="C73" s="28">
        <f t="shared" si="47"/>
        <v>669.01408450704253</v>
      </c>
      <c r="D73" s="28">
        <f t="shared" si="48"/>
        <v>847.41784037558728</v>
      </c>
      <c r="E73" s="28">
        <f t="shared" si="49"/>
        <v>1016.9014084507046</v>
      </c>
      <c r="F73" s="28">
        <f t="shared" si="50"/>
        <v>1271.1267605633807</v>
      </c>
      <c r="G73" s="28">
        <f t="shared" si="51"/>
        <v>1694.8356807511746</v>
      </c>
      <c r="H73" s="28">
        <f t="shared" si="52"/>
        <v>2118.544600938968</v>
      </c>
      <c r="I73" s="2">
        <f>SLOPE(Taulukkotiedot!$D$4:$D$10*A73,Laskenta!B73:H73)</f>
        <v>843.76533665245006</v>
      </c>
      <c r="J73">
        <f t="shared" si="53"/>
        <v>233.23426799328087</v>
      </c>
      <c r="K73">
        <f t="shared" si="54"/>
        <v>358.06387621503683</v>
      </c>
      <c r="L73">
        <f t="shared" si="55"/>
        <v>540.90500449505566</v>
      </c>
      <c r="M73">
        <f t="shared" si="56"/>
        <v>977.78981581798519</v>
      </c>
      <c r="N73" s="2">
        <f>SLOPE((Taulukkotiedot!$D$13:$D$16)*A73,Laskenta!J73:M73)</f>
        <v>801.235989602068</v>
      </c>
      <c r="P73">
        <f t="shared" si="44"/>
        <v>12.313886703589286</v>
      </c>
      <c r="Q73">
        <f t="shared" si="45"/>
        <v>8.8321495753857739</v>
      </c>
      <c r="R73">
        <f>AVERAGE($I$2:$I73)</f>
        <v>283.83978402560865</v>
      </c>
      <c r="S73">
        <f>AVERAGE($N$2:$N73)</f>
        <v>268.99982886351512</v>
      </c>
      <c r="U73" s="6">
        <f>R73*Taulukkotiedot!$I$2+(1-Taulukkotiedot!$I$2)*Laskenta!S73+Laskenta!Q73</f>
        <v>283.02596274563359</v>
      </c>
      <c r="V73" s="6">
        <f>R73*Taulukkotiedot!$I$2+(1-Taulukkotiedot!$I$2)*Laskenta!S73+Laskenta!Q73+P73</f>
        <v>295.33984944922287</v>
      </c>
      <c r="X73" s="3"/>
      <c r="Y73" s="3"/>
    </row>
    <row r="74" spans="1:25" s="3" customFormat="1" x14ac:dyDescent="0.25">
      <c r="A74" s="9">
        <f t="shared" si="57"/>
        <v>72</v>
      </c>
      <c r="B74" s="28">
        <f t="shared" si="46"/>
        <v>482.10470085470109</v>
      </c>
      <c r="C74" s="28">
        <f t="shared" si="47"/>
        <v>659.72222222222251</v>
      </c>
      <c r="D74" s="28">
        <f t="shared" si="48"/>
        <v>835.64814814814861</v>
      </c>
      <c r="E74" s="28">
        <f t="shared" si="49"/>
        <v>1002.7777777777782</v>
      </c>
      <c r="F74" s="28">
        <f t="shared" si="50"/>
        <v>1253.4722222222226</v>
      </c>
      <c r="G74" s="28">
        <f t="shared" si="51"/>
        <v>1671.2962962962972</v>
      </c>
      <c r="H74" s="28">
        <f t="shared" si="52"/>
        <v>2089.1203703703709</v>
      </c>
      <c r="I74" s="2">
        <f>SLOPE(Taulukkotiedot!$D$4:$D$10*A74,Laskenta!B74:H74)</f>
        <v>867.70075485147834</v>
      </c>
      <c r="J74" s="3">
        <f t="shared" si="53"/>
        <v>229.99490316004085</v>
      </c>
      <c r="K74" s="3">
        <f t="shared" si="54"/>
        <v>353.09076682316135</v>
      </c>
      <c r="L74" s="3">
        <f t="shared" si="55"/>
        <v>533.39243498817996</v>
      </c>
      <c r="M74" s="3">
        <f t="shared" si="56"/>
        <v>964.20940170940219</v>
      </c>
      <c r="N74" s="2">
        <f>SLOPE((Taulukkotiedot!$D$13:$D$16)*A74,Laskenta!J74:M74)</f>
        <v>823.96496133646485</v>
      </c>
      <c r="P74" s="3">
        <f t="shared" si="44"/>
        <v>12.313886703589286</v>
      </c>
      <c r="Q74" s="3">
        <f t="shared" si="45"/>
        <v>8.8321495753857739</v>
      </c>
      <c r="R74" s="3">
        <f>AVERAGE($I$2:$I74)</f>
        <v>291.83787951637402</v>
      </c>
      <c r="S74" s="3">
        <f>AVERAGE($N$2:$N74)</f>
        <v>276.60209095218568</v>
      </c>
      <c r="U74" s="6">
        <f>R74*Taulukkotiedot!$I$2+(1-Taulukkotiedot!$I$2)*Laskenta!S74+Laskenta!Q74</f>
        <v>290.76676652503738</v>
      </c>
      <c r="V74" s="6">
        <f>R74*Taulukkotiedot!$I$2+(1-Taulukkotiedot!$I$2)*Laskenta!S74+Laskenta!Q74+P74</f>
        <v>303.08065322862666</v>
      </c>
      <c r="X74" s="4"/>
      <c r="Y74" s="4"/>
    </row>
    <row r="75" spans="1:25" x14ac:dyDescent="0.25">
      <c r="A75" s="8">
        <f t="shared" si="57"/>
        <v>73</v>
      </c>
      <c r="B75" s="28">
        <f t="shared" si="46"/>
        <v>475.50052687039005</v>
      </c>
      <c r="C75" s="28">
        <f t="shared" si="47"/>
        <v>650.68493150684958</v>
      </c>
      <c r="D75" s="28">
        <f t="shared" si="48"/>
        <v>824.20091324200951</v>
      </c>
      <c r="E75" s="28">
        <f t="shared" si="49"/>
        <v>989.04109589041138</v>
      </c>
      <c r="F75" s="28">
        <f t="shared" si="50"/>
        <v>1236.3013698630143</v>
      </c>
      <c r="G75" s="28">
        <f t="shared" si="51"/>
        <v>1648.401826484019</v>
      </c>
      <c r="H75" s="28">
        <f t="shared" si="52"/>
        <v>2060.5022831050237</v>
      </c>
      <c r="I75" s="2">
        <f>SLOPE(Taulukkotiedot!$D$4:$D$10*A75,Laskenta!B75:H75)</f>
        <v>891.97093414419885</v>
      </c>
      <c r="J75">
        <f t="shared" si="53"/>
        <v>226.84428804825947</v>
      </c>
      <c r="K75">
        <f t="shared" si="54"/>
        <v>348.25390700366597</v>
      </c>
      <c r="L75">
        <f t="shared" si="55"/>
        <v>526.08568930341039</v>
      </c>
      <c r="M75">
        <f t="shared" si="56"/>
        <v>951.00105374078009</v>
      </c>
      <c r="N75" s="2">
        <f>SLOPE((Taulukkotiedot!$D$13:$D$16)*A75,Laskenta!J75:M75)</f>
        <v>847.01182078742715</v>
      </c>
      <c r="P75">
        <f t="shared" si="44"/>
        <v>12.313886703589286</v>
      </c>
      <c r="Q75">
        <f t="shared" si="45"/>
        <v>8.8321495753857739</v>
      </c>
      <c r="R75">
        <f>AVERAGE($I$2:$I75)</f>
        <v>299.94778565999326</v>
      </c>
      <c r="S75">
        <f>AVERAGE($N$2:$N75)</f>
        <v>284.31033054455378</v>
      </c>
      <c r="U75" s="6">
        <f>R75*Taulukkotiedot!$I$2+(1-Taulukkotiedot!$I$2)*Laskenta!S75+Laskenta!Q75</f>
        <v>298.61558941034338</v>
      </c>
      <c r="V75" s="6">
        <f>R75*Taulukkotiedot!$I$2+(1-Taulukkotiedot!$I$2)*Laskenta!S75+Laskenta!Q75+P75</f>
        <v>310.92947611393265</v>
      </c>
      <c r="X75" s="28"/>
    </row>
    <row r="76" spans="1:25" s="3" customFormat="1" x14ac:dyDescent="0.25">
      <c r="A76" s="9">
        <f t="shared" si="57"/>
        <v>74</v>
      </c>
      <c r="B76" s="28">
        <f t="shared" si="46"/>
        <v>469.07484407484424</v>
      </c>
      <c r="C76" s="28">
        <f t="shared" si="47"/>
        <v>641.89189189189221</v>
      </c>
      <c r="D76" s="28">
        <f t="shared" si="48"/>
        <v>813.0630630630634</v>
      </c>
      <c r="E76" s="28">
        <f t="shared" si="49"/>
        <v>975.67567567567608</v>
      </c>
      <c r="F76" s="28">
        <f t="shared" si="50"/>
        <v>1219.594594594595</v>
      </c>
      <c r="G76" s="28">
        <f t="shared" si="51"/>
        <v>1626.1261261261268</v>
      </c>
      <c r="H76" s="28">
        <f t="shared" si="52"/>
        <v>2032.6576576576588</v>
      </c>
      <c r="I76" s="2">
        <f>SLOPE(Taulukkotiedot!$D$4:$D$10*A76,Laskenta!B76:H76)</f>
        <v>916.57587453061217</v>
      </c>
      <c r="J76" s="3">
        <f t="shared" si="53"/>
        <v>223.77882469625595</v>
      </c>
      <c r="K76" s="3">
        <f t="shared" si="54"/>
        <v>343.54777312523805</v>
      </c>
      <c r="L76" s="3">
        <f t="shared" si="55"/>
        <v>518.97642323174261</v>
      </c>
      <c r="M76" s="3">
        <f t="shared" si="56"/>
        <v>938.14968814968847</v>
      </c>
      <c r="N76" s="2">
        <f>SLOPE((Taulukkotiedot!$D$13:$D$16)*A76,Laskenta!J76:M76)</f>
        <v>870.37656795495434</v>
      </c>
      <c r="P76" s="3">
        <f t="shared" si="44"/>
        <v>12.313886703589286</v>
      </c>
      <c r="Q76" s="3">
        <f t="shared" si="45"/>
        <v>8.8321495753857739</v>
      </c>
      <c r="R76" s="3">
        <f>AVERAGE($I$2:$I76)</f>
        <v>308.1694935116015</v>
      </c>
      <c r="S76" s="3">
        <f>AVERAGE($N$2:$N76)</f>
        <v>292.12454704335909</v>
      </c>
      <c r="U76" s="6">
        <f>R76*Taulukkotiedot!$I$2+(1-Taulukkotiedot!$I$2)*Laskenta!S76+Laskenta!Q76</f>
        <v>306.57242788262965</v>
      </c>
      <c r="V76" s="6">
        <f>R76*Taulukkotiedot!$I$2+(1-Taulukkotiedot!$I$2)*Laskenta!S76+Laskenta!Q76+P76</f>
        <v>318.88631458621893</v>
      </c>
    </row>
    <row r="77" spans="1:25" s="1" customFormat="1" x14ac:dyDescent="0.25">
      <c r="A77" s="10">
        <f t="shared" si="57"/>
        <v>75</v>
      </c>
      <c r="B77" s="1">
        <f t="shared" si="46"/>
        <v>462.82051282051299</v>
      </c>
      <c r="C77" s="1">
        <f t="shared" si="47"/>
        <v>633.3333333333336</v>
      </c>
      <c r="D77" s="1">
        <f t="shared" si="48"/>
        <v>802.22222222222263</v>
      </c>
      <c r="E77" s="1">
        <f t="shared" si="49"/>
        <v>962.66666666666708</v>
      </c>
      <c r="F77" s="1">
        <f t="shared" si="50"/>
        <v>1203.3333333333337</v>
      </c>
      <c r="G77" s="1">
        <f t="shared" si="51"/>
        <v>1604.4444444444453</v>
      </c>
      <c r="H77" s="1">
        <f t="shared" si="52"/>
        <v>2005.5555555555563</v>
      </c>
      <c r="I77" s="2">
        <f>SLOPE(Taulukkotiedot!$D$4:$D$10*A77,Laskenta!B77:H77)</f>
        <v>941.51557601071852</v>
      </c>
      <c r="J77" s="1">
        <f t="shared" si="53"/>
        <v>220.79510703363925</v>
      </c>
      <c r="K77" s="1">
        <f t="shared" si="54"/>
        <v>338.96713615023492</v>
      </c>
      <c r="L77" s="1">
        <f t="shared" si="55"/>
        <v>512.05673758865271</v>
      </c>
      <c r="M77" s="1">
        <f t="shared" si="56"/>
        <v>925.64102564102598</v>
      </c>
      <c r="N77" s="2">
        <f>SLOPE((Taulukkotiedot!$D$13:$D$16)*A77,Laskenta!J77:M77)</f>
        <v>894.05920283904629</v>
      </c>
      <c r="P77" s="1">
        <f t="shared" si="44"/>
        <v>12.313886703589286</v>
      </c>
      <c r="Q77" s="1">
        <f t="shared" si="45"/>
        <v>8.8321495753857739</v>
      </c>
      <c r="R77" s="1">
        <f>AVERAGE($I$2:$I77)</f>
        <v>316.50299459711624</v>
      </c>
      <c r="S77" s="1">
        <f>AVERAGE($N$2:$N77)</f>
        <v>300.04473988277601</v>
      </c>
      <c r="U77" s="6">
        <f>R77*Taulukkotiedot!$I$2+(1-Taulukkotiedot!$I$2)*Laskenta!S77+Laskenta!Q77</f>
        <v>314.63727860818085</v>
      </c>
      <c r="V77" s="6">
        <f>R77*Taulukkotiedot!$I$2+(1-Taulukkotiedot!$I$2)*Laskenta!S77+Laskenta!Q77+P77</f>
        <v>326.95116531177013</v>
      </c>
      <c r="X77" s="4"/>
      <c r="Y77" s="4"/>
    </row>
    <row r="78" spans="1:25" s="3" customFormat="1" x14ac:dyDescent="0.25">
      <c r="A78" s="9">
        <f t="shared" si="57"/>
        <v>76</v>
      </c>
      <c r="B78" s="28">
        <f t="shared" si="46"/>
        <v>456.73076923076934</v>
      </c>
      <c r="C78" s="28">
        <f t="shared" si="47"/>
        <v>625.00000000000023</v>
      </c>
      <c r="D78" s="28">
        <f t="shared" si="48"/>
        <v>791.66666666666697</v>
      </c>
      <c r="E78" s="28">
        <f t="shared" si="49"/>
        <v>950.00000000000034</v>
      </c>
      <c r="F78" s="28">
        <f t="shared" si="50"/>
        <v>1187.5000000000005</v>
      </c>
      <c r="G78" s="28">
        <f t="shared" si="51"/>
        <v>1583.3333333333339</v>
      </c>
      <c r="H78" s="28">
        <f t="shared" si="52"/>
        <v>1979.1666666666677</v>
      </c>
      <c r="I78" s="2">
        <f>SLOPE(Taulukkotiedot!$D$4:$D$10*A78,Laskenta!B78:H78)</f>
        <v>966.79003858451711</v>
      </c>
      <c r="J78" s="3">
        <f t="shared" si="53"/>
        <v>217.88990825688083</v>
      </c>
      <c r="K78" s="3">
        <f t="shared" si="54"/>
        <v>334.50704225352132</v>
      </c>
      <c r="L78" s="3">
        <f t="shared" si="55"/>
        <v>505.31914893617045</v>
      </c>
      <c r="M78" s="3">
        <f t="shared" si="56"/>
        <v>913.46153846153868</v>
      </c>
      <c r="N78" s="2">
        <f>SLOPE((Taulukkotiedot!$D$13:$D$16)*A78,Laskenta!J78:M78)</f>
        <v>918.05972543970358</v>
      </c>
      <c r="P78" s="3">
        <f t="shared" si="44"/>
        <v>12.313886703589286</v>
      </c>
      <c r="Q78" s="3">
        <f t="shared" si="45"/>
        <v>8.8321495753857739</v>
      </c>
      <c r="R78" s="3">
        <f>AVERAGE($I$2:$I78)</f>
        <v>324.94828088266689</v>
      </c>
      <c r="S78" s="3">
        <f>AVERAGE($N$2:$N78)</f>
        <v>308.07090852637248</v>
      </c>
      <c r="U78" s="6">
        <f>R78*Taulukkotiedot!$I$2+(1-Taulukkotiedot!$I$2)*Laskenta!S78+Laskenta!Q78</f>
        <v>322.81013842646132</v>
      </c>
      <c r="V78" s="6">
        <f>R78*Taulukkotiedot!$I$2+(1-Taulukkotiedot!$I$2)*Laskenta!S78+Laskenta!Q78+P78</f>
        <v>335.1240251300506</v>
      </c>
      <c r="X78" s="28"/>
      <c r="Y78" s="28"/>
    </row>
    <row r="79" spans="1:25" x14ac:dyDescent="0.25">
      <c r="A79" s="8">
        <f t="shared" si="57"/>
        <v>77</v>
      </c>
      <c r="B79" s="28">
        <f t="shared" si="46"/>
        <v>450.799200799201</v>
      </c>
      <c r="C79" s="28">
        <f t="shared" si="47"/>
        <v>616.88311688311717</v>
      </c>
      <c r="D79" s="28">
        <f t="shared" si="48"/>
        <v>781.38528138528181</v>
      </c>
      <c r="E79" s="28">
        <f t="shared" si="49"/>
        <v>937.66233766233802</v>
      </c>
      <c r="F79" s="28">
        <f t="shared" si="50"/>
        <v>1172.0779220779227</v>
      </c>
      <c r="G79" s="28">
        <f t="shared" si="51"/>
        <v>1562.7705627705636</v>
      </c>
      <c r="H79" s="28">
        <f t="shared" si="52"/>
        <v>1953.4632034632043</v>
      </c>
      <c r="I79" s="2">
        <f>SLOPE(Taulukkotiedot!$D$4:$D$10*A79,Laskenta!B79:H79)</f>
        <v>992.39926225200884</v>
      </c>
      <c r="J79">
        <f t="shared" si="53"/>
        <v>215.06016918860965</v>
      </c>
      <c r="K79">
        <f t="shared" si="54"/>
        <v>330.16279495152747</v>
      </c>
      <c r="L79">
        <f t="shared" si="55"/>
        <v>498.75656258635007</v>
      </c>
      <c r="M79">
        <f t="shared" si="56"/>
        <v>901.59840159840201</v>
      </c>
      <c r="N79" s="2">
        <f>SLOPE((Taulukkotiedot!$D$13:$D$16)*A79,Laskenta!J79:M79)</f>
        <v>942.37813575692542</v>
      </c>
      <c r="P79">
        <f t="shared" si="44"/>
        <v>12.313886703589286</v>
      </c>
      <c r="Q79">
        <f t="shared" si="45"/>
        <v>8.8321495753857739</v>
      </c>
      <c r="R79">
        <f>AVERAGE($I$2:$I79)</f>
        <v>333.50534474637641</v>
      </c>
      <c r="S79">
        <f>AVERAGE($N$2:$N79)</f>
        <v>316.20305246522571</v>
      </c>
      <c r="U79" s="6">
        <f>R79*Taulukkotiedot!$I$2+(1-Taulukkotiedot!$I$2)*Laskenta!S79+Laskenta!Q79</f>
        <v>331.09100433901421</v>
      </c>
      <c r="V79" s="6">
        <f>R79*Taulukkotiedot!$I$2+(1-Taulukkotiedot!$I$2)*Laskenta!S79+Laskenta!Q79+P79</f>
        <v>343.40489104260348</v>
      </c>
      <c r="X79" s="3"/>
      <c r="Y79" s="3"/>
    </row>
    <row r="80" spans="1:25" s="3" customFormat="1" x14ac:dyDescent="0.25">
      <c r="A80" s="9">
        <f t="shared" si="57"/>
        <v>78</v>
      </c>
      <c r="B80" s="28">
        <f t="shared" si="46"/>
        <v>445.01972386587789</v>
      </c>
      <c r="C80" s="28">
        <f t="shared" si="47"/>
        <v>608.97435897435923</v>
      </c>
      <c r="D80" s="28">
        <f t="shared" si="48"/>
        <v>771.3675213675217</v>
      </c>
      <c r="E80" s="28">
        <f t="shared" si="49"/>
        <v>925.64102564102598</v>
      </c>
      <c r="F80" s="28">
        <f t="shared" si="50"/>
        <v>1157.0512820512824</v>
      </c>
      <c r="G80" s="28">
        <f t="shared" si="51"/>
        <v>1542.7350427350434</v>
      </c>
      <c r="H80" s="28">
        <f t="shared" si="52"/>
        <v>1928.4188034188044</v>
      </c>
      <c r="I80" s="2">
        <f>SLOPE(Taulukkotiedot!$D$4:$D$10*A80,Laskenta!B80:H80)</f>
        <v>1018.3432470131931</v>
      </c>
      <c r="J80" s="3">
        <f t="shared" si="53"/>
        <v>212.30298753234541</v>
      </c>
      <c r="K80" s="3">
        <f t="shared" si="54"/>
        <v>325.92993860599512</v>
      </c>
      <c r="L80" s="3">
        <f t="shared" si="55"/>
        <v>492.36224768139687</v>
      </c>
      <c r="M80" s="3">
        <f t="shared" si="56"/>
        <v>890.03944773175579</v>
      </c>
      <c r="N80" s="2">
        <f>SLOPE((Taulukkotiedot!$D$13:$D$16)*A80,Laskenta!J80:M80)</f>
        <v>967.01443379071259</v>
      </c>
      <c r="P80" s="3">
        <f t="shared" si="44"/>
        <v>12.313886703589286</v>
      </c>
      <c r="Q80" s="3">
        <f t="shared" si="45"/>
        <v>8.8321495753857739</v>
      </c>
      <c r="R80" s="3">
        <f>AVERAGE($I$2:$I80)</f>
        <v>342.17417895228544</v>
      </c>
      <c r="S80" s="3">
        <f>AVERAGE($N$2:$N80)</f>
        <v>324.4411712161812</v>
      </c>
      <c r="U80" s="6">
        <f>R80*Taulukkotiedot!$I$2+(1-Taulukkotiedot!$I$2)*Laskenta!S80+Laskenta!Q80</f>
        <v>339.47987349920345</v>
      </c>
      <c r="V80" s="6">
        <f>R80*Taulukkotiedot!$I$2+(1-Taulukkotiedot!$I$2)*Laskenta!S80+Laskenta!Q80+P80</f>
        <v>351.79376020279273</v>
      </c>
      <c r="X80" s="4"/>
      <c r="Y80" s="4"/>
    </row>
    <row r="81" spans="1:25" x14ac:dyDescent="0.25">
      <c r="A81" s="8">
        <f t="shared" si="57"/>
        <v>79</v>
      </c>
      <c r="B81" s="28">
        <f t="shared" si="46"/>
        <v>439.38656280428449</v>
      </c>
      <c r="C81" s="28">
        <f t="shared" si="47"/>
        <v>601.26582278481033</v>
      </c>
      <c r="D81" s="28">
        <f t="shared" si="48"/>
        <v>761.60337552742646</v>
      </c>
      <c r="E81" s="28">
        <f t="shared" si="49"/>
        <v>913.92405063291176</v>
      </c>
      <c r="F81" s="28">
        <f t="shared" si="50"/>
        <v>1142.4050632911396</v>
      </c>
      <c r="G81" s="28">
        <f t="shared" si="51"/>
        <v>1523.2067510548529</v>
      </c>
      <c r="H81" s="28">
        <f t="shared" si="52"/>
        <v>1904.008438818566</v>
      </c>
      <c r="I81" s="2">
        <f>SLOPE(Taulukkotiedot!$D$4:$D$10*A81,Laskenta!B81:H81)</f>
        <v>1044.62199286807</v>
      </c>
      <c r="J81">
        <f t="shared" si="53"/>
        <v>209.6156079433284</v>
      </c>
      <c r="K81">
        <f t="shared" si="54"/>
        <v>321.80424318060273</v>
      </c>
      <c r="L81">
        <f t="shared" si="55"/>
        <v>486.12981416644249</v>
      </c>
      <c r="M81">
        <f t="shared" si="56"/>
        <v>878.77312560856899</v>
      </c>
      <c r="N81" s="2">
        <f>SLOPE((Taulukkotiedot!$D$13:$D$16)*A81,Laskenta!J81:M81)</f>
        <v>991.96861954106453</v>
      </c>
      <c r="P81">
        <f t="shared" si="44"/>
        <v>12.313886703589286</v>
      </c>
      <c r="Q81">
        <f t="shared" si="45"/>
        <v>8.8321495753857739</v>
      </c>
      <c r="R81">
        <f>AVERAGE($I$2:$I81)</f>
        <v>350.95477662623273</v>
      </c>
      <c r="S81">
        <f>AVERAGE($N$2:$N81)</f>
        <v>332.78526432024228</v>
      </c>
      <c r="U81" s="6">
        <f>R81*Taulukkotiedot!$I$2+(1-Taulukkotiedot!$I$2)*Laskenta!S81+Laskenta!Q81</f>
        <v>347.97674320272472</v>
      </c>
      <c r="V81" s="6">
        <f>R81*Taulukkotiedot!$I$2+(1-Taulukkotiedot!$I$2)*Laskenta!S81+Laskenta!Q81+P81</f>
        <v>360.290629906314</v>
      </c>
      <c r="X81" s="28"/>
    </row>
    <row r="82" spans="1:25" s="4" customFormat="1" x14ac:dyDescent="0.25">
      <c r="A82" s="11">
        <f t="shared" si="57"/>
        <v>80</v>
      </c>
      <c r="B82" s="28">
        <f t="shared" si="46"/>
        <v>433.89423076923094</v>
      </c>
      <c r="C82" s="28">
        <f t="shared" si="47"/>
        <v>593.75000000000023</v>
      </c>
      <c r="D82" s="28">
        <f t="shared" si="48"/>
        <v>752.0833333333336</v>
      </c>
      <c r="E82" s="28">
        <f t="shared" si="49"/>
        <v>902.50000000000034</v>
      </c>
      <c r="F82" s="28">
        <f t="shared" si="50"/>
        <v>1128.1250000000005</v>
      </c>
      <c r="G82" s="28">
        <f t="shared" si="51"/>
        <v>1504.1666666666672</v>
      </c>
      <c r="H82" s="28">
        <f t="shared" si="52"/>
        <v>1880.2083333333342</v>
      </c>
      <c r="I82" s="2">
        <f>SLOPE(Taulukkotiedot!$D$4:$D$10*A82,Laskenta!B82:H82)</f>
        <v>1071.2354998166397</v>
      </c>
      <c r="J82" s="4">
        <f t="shared" si="53"/>
        <v>206.99541284403676</v>
      </c>
      <c r="K82" s="4">
        <f t="shared" si="54"/>
        <v>317.78169014084517</v>
      </c>
      <c r="L82" s="4">
        <f t="shared" si="55"/>
        <v>480.05319148936201</v>
      </c>
      <c r="M82" s="4">
        <f t="shared" si="56"/>
        <v>867.78846153846189</v>
      </c>
      <c r="N82" s="2">
        <f>SLOPE((Taulukkotiedot!$D$13:$D$16)*A82,Laskenta!J82:M82)</f>
        <v>1017.2406930079816</v>
      </c>
      <c r="P82" s="4">
        <f t="shared" si="44"/>
        <v>12.313886703589286</v>
      </c>
      <c r="Q82" s="4">
        <f t="shared" si="45"/>
        <v>8.8321495753857739</v>
      </c>
      <c r="R82" s="4">
        <f>AVERAGE($I$2:$I82)</f>
        <v>359.84713123352174</v>
      </c>
      <c r="S82" s="4">
        <f>AVERAGE($N$2:$N82)</f>
        <v>341.23533134107856</v>
      </c>
      <c r="U82" s="6">
        <f>R82*Taulukkotiedot!$I$2+(1-Taulukkotiedot!$I$2)*Laskenta!S82+Laskenta!Q82</f>
        <v>356.58161087881945</v>
      </c>
      <c r="V82" s="6">
        <f>R82*Taulukkotiedot!$I$2+(1-Taulukkotiedot!$I$2)*Laskenta!S82+Laskenta!Q82+P82</f>
        <v>368.89549758240872</v>
      </c>
      <c r="X82" s="3"/>
      <c r="Y82" s="3"/>
    </row>
    <row r="83" spans="1:25" x14ac:dyDescent="0.25">
      <c r="A83" s="8">
        <f t="shared" si="57"/>
        <v>81</v>
      </c>
      <c r="B83" s="28">
        <f t="shared" si="46"/>
        <v>428.53751187084532</v>
      </c>
      <c r="C83" s="28">
        <f t="shared" si="47"/>
        <v>586.41975308641997</v>
      </c>
      <c r="D83" s="28">
        <f t="shared" si="48"/>
        <v>742.79835390946528</v>
      </c>
      <c r="E83" s="28">
        <f t="shared" si="49"/>
        <v>891.35802469135842</v>
      </c>
      <c r="F83" s="28">
        <f t="shared" si="50"/>
        <v>1114.1975308641979</v>
      </c>
      <c r="G83" s="28">
        <f t="shared" si="51"/>
        <v>1485.5967078189306</v>
      </c>
      <c r="H83" s="28">
        <f t="shared" si="52"/>
        <v>1856.9958847736634</v>
      </c>
      <c r="I83" s="2">
        <f>SLOPE(Taulukkotiedot!$D$4:$D$10*A83,Laskenta!B83:H83)</f>
        <v>1098.183767858902</v>
      </c>
      <c r="J83">
        <f t="shared" si="53"/>
        <v>204.4399139200363</v>
      </c>
      <c r="K83">
        <f t="shared" si="54"/>
        <v>313.85845939836565</v>
      </c>
      <c r="L83">
        <f t="shared" si="55"/>
        <v>474.12660887838211</v>
      </c>
      <c r="M83">
        <f t="shared" si="56"/>
        <v>857.07502374169064</v>
      </c>
      <c r="N83" s="2">
        <f>SLOPE((Taulukkotiedot!$D$13:$D$16)*A83,Laskenta!J83:M83)</f>
        <v>1042.8306541914637</v>
      </c>
      <c r="P83">
        <f t="shared" si="44"/>
        <v>12.313886703589286</v>
      </c>
      <c r="Q83">
        <f t="shared" si="45"/>
        <v>8.8321495753857739</v>
      </c>
      <c r="R83">
        <f>AVERAGE($I$2:$I83)</f>
        <v>368.8512365582215</v>
      </c>
      <c r="S83">
        <f>AVERAGE($N$2:$N83)</f>
        <v>349.79137186364426</v>
      </c>
      <c r="U83" s="6">
        <f>R83*Taulukkotiedot!$I$2+(1-Taulukkotiedot!$I$2)*Laskenta!S83+Laskenta!Q83</f>
        <v>365.29447408213207</v>
      </c>
      <c r="V83" s="6">
        <f>R83*Taulukkotiedot!$I$2+(1-Taulukkotiedot!$I$2)*Laskenta!S83+Laskenta!Q83+P83</f>
        <v>377.60836078572135</v>
      </c>
      <c r="X83" s="4"/>
      <c r="Y83" s="4"/>
    </row>
    <row r="84" spans="1:25" s="3" customFormat="1" x14ac:dyDescent="0.25">
      <c r="A84" s="9">
        <f t="shared" si="57"/>
        <v>82</v>
      </c>
      <c r="B84" s="28">
        <f t="shared" si="46"/>
        <v>423.31144465290822</v>
      </c>
      <c r="C84" s="28">
        <f t="shared" si="47"/>
        <v>579.26829268292715</v>
      </c>
      <c r="D84" s="28">
        <f t="shared" si="48"/>
        <v>733.73983739837433</v>
      </c>
      <c r="E84" s="28">
        <f t="shared" si="49"/>
        <v>880.48780487804913</v>
      </c>
      <c r="F84" s="28">
        <f t="shared" si="50"/>
        <v>1100.6097560975611</v>
      </c>
      <c r="G84" s="28">
        <f t="shared" si="51"/>
        <v>1467.4796747967487</v>
      </c>
      <c r="H84" s="28">
        <f t="shared" si="52"/>
        <v>1834.3495934959358</v>
      </c>
      <c r="I84" s="2">
        <f>SLOPE(Taulukkotiedot!$D$4:$D$10*A84,Laskenta!B84:H84)</f>
        <v>1125.4667969948571</v>
      </c>
      <c r="J84" s="3">
        <f t="shared" si="53"/>
        <v>201.94674423808465</v>
      </c>
      <c r="K84" s="3">
        <f t="shared" si="54"/>
        <v>310.03091721058064</v>
      </c>
      <c r="L84" s="3">
        <f t="shared" si="55"/>
        <v>468.3445770627921</v>
      </c>
      <c r="M84" s="3">
        <f t="shared" si="56"/>
        <v>846.62288930581644</v>
      </c>
      <c r="N84" s="2">
        <f>SLOPE((Taulukkotiedot!$D$13:$D$16)*A84,Laskenta!J84:M84)</f>
        <v>1068.7385030915107</v>
      </c>
      <c r="P84" s="3">
        <f t="shared" si="44"/>
        <v>12.313886703589286</v>
      </c>
      <c r="Q84" s="3">
        <f t="shared" si="45"/>
        <v>8.8321495753857739</v>
      </c>
      <c r="R84" s="3">
        <f>AVERAGE($I$2:$I84)</f>
        <v>377.96708668396411</v>
      </c>
      <c r="S84" s="3">
        <f>AVERAGE($N$2:$N84)</f>
        <v>358.45338549289562</v>
      </c>
      <c r="U84" s="6">
        <f>R84*Taulukkotiedot!$I$2+(1-Taulukkotiedot!$I$2)*Laskenta!S84+Laskenta!Q84</f>
        <v>374.11533048515537</v>
      </c>
      <c r="V84" s="6">
        <f>R84*Taulukkotiedot!$I$2+(1-Taulukkotiedot!$I$2)*Laskenta!S84+Laskenta!Q84+P84</f>
        <v>386.42921718874464</v>
      </c>
      <c r="X84" s="28"/>
      <c r="Y84" s="28"/>
    </row>
    <row r="85" spans="1:25" x14ac:dyDescent="0.25">
      <c r="A85" s="8">
        <f t="shared" si="57"/>
        <v>83</v>
      </c>
      <c r="B85" s="28">
        <f t="shared" si="46"/>
        <v>418.21130676552377</v>
      </c>
      <c r="C85" s="28">
        <f t="shared" si="47"/>
        <v>572.28915662650627</v>
      </c>
      <c r="D85" s="28">
        <f t="shared" si="48"/>
        <v>724.89959839357459</v>
      </c>
      <c r="E85" s="28">
        <f t="shared" si="49"/>
        <v>869.87951807228956</v>
      </c>
      <c r="F85" s="28">
        <f t="shared" si="50"/>
        <v>1087.3493975903618</v>
      </c>
      <c r="G85" s="28">
        <f t="shared" si="51"/>
        <v>1449.7991967871492</v>
      </c>
      <c r="H85" s="28">
        <f t="shared" si="52"/>
        <v>1812.2489959839365</v>
      </c>
      <c r="I85" s="2">
        <f>SLOPE(Taulukkotiedot!$D$4:$D$10*A85,Laskenta!B85:H85)</f>
        <v>1153.0845872245047</v>
      </c>
      <c r="J85">
        <f t="shared" si="53"/>
        <v>199.51365093401134</v>
      </c>
      <c r="K85">
        <f t="shared" si="54"/>
        <v>306.29560495503154</v>
      </c>
      <c r="L85">
        <f t="shared" si="55"/>
        <v>462.70187131504758</v>
      </c>
      <c r="M85">
        <f t="shared" si="56"/>
        <v>836.42261353104755</v>
      </c>
      <c r="N85" s="2">
        <f>SLOPE((Taulukkotiedot!$D$13:$D$16)*A85,Laskenta!J85:M85)</f>
        <v>1094.9642397081227</v>
      </c>
      <c r="P85">
        <f t="shared" si="44"/>
        <v>12.313886703589286</v>
      </c>
      <c r="Q85">
        <f t="shared" si="45"/>
        <v>8.8321495753857739</v>
      </c>
      <c r="R85">
        <f>AVERAGE($I$2:$I85)</f>
        <v>387.19467597611339</v>
      </c>
      <c r="S85">
        <f>AVERAGE($N$2:$N85)</f>
        <v>367.22137185260073</v>
      </c>
      <c r="U85" s="6">
        <f>R85*Taulukkotiedot!$I$2+(1-Taulukkotiedot!$I$2)*Laskenta!S85+Laskenta!Q85</f>
        <v>383.04417787121594</v>
      </c>
      <c r="V85" s="6">
        <f>R85*Taulukkotiedot!$I$2+(1-Taulukkotiedot!$I$2)*Laskenta!S85+Laskenta!Q85+P85</f>
        <v>395.35806457480521</v>
      </c>
      <c r="X85" s="3"/>
      <c r="Y85" s="3"/>
    </row>
    <row r="86" spans="1:25" s="3" customFormat="1" x14ac:dyDescent="0.25">
      <c r="A86" s="9">
        <f t="shared" si="57"/>
        <v>84</v>
      </c>
      <c r="B86" s="28">
        <f t="shared" si="46"/>
        <v>413.23260073260087</v>
      </c>
      <c r="C86" s="28">
        <f t="shared" si="47"/>
        <v>565.4761904761906</v>
      </c>
      <c r="D86" s="28">
        <f t="shared" si="48"/>
        <v>716.26984126984155</v>
      </c>
      <c r="E86" s="28">
        <f t="shared" si="49"/>
        <v>859.52380952380997</v>
      </c>
      <c r="F86" s="28">
        <f t="shared" si="50"/>
        <v>1074.4047619047624</v>
      </c>
      <c r="G86" s="28">
        <f t="shared" si="51"/>
        <v>1432.5396825396831</v>
      </c>
      <c r="H86" s="28">
        <f t="shared" si="52"/>
        <v>1790.674603174604</v>
      </c>
      <c r="I86" s="2">
        <f>SLOPE(Taulukkotiedot!$D$4:$D$10*A86,Laskenta!B86:H86)</f>
        <v>1181.0371385478452</v>
      </c>
      <c r="J86" s="3">
        <f t="shared" si="53"/>
        <v>197.13848842289218</v>
      </c>
      <c r="K86" s="3">
        <f t="shared" si="54"/>
        <v>302.64922870556683</v>
      </c>
      <c r="L86" s="3">
        <f t="shared" si="55"/>
        <v>457.19351570415421</v>
      </c>
      <c r="M86" s="3">
        <f t="shared" si="56"/>
        <v>826.46520146520174</v>
      </c>
      <c r="N86" s="2">
        <f>SLOPE((Taulukkotiedot!$D$13:$D$16)*A86,Laskenta!J86:M86)</f>
        <v>1121.5078640412999</v>
      </c>
      <c r="P86" s="3">
        <f t="shared" si="44"/>
        <v>12.313886703589286</v>
      </c>
      <c r="Q86" s="3">
        <f t="shared" si="45"/>
        <v>8.8321495753857739</v>
      </c>
      <c r="R86" s="3">
        <f>AVERAGE($I$2:$I86)</f>
        <v>396.53399906519257</v>
      </c>
      <c r="S86" s="3">
        <f>AVERAGE($N$2:$N86)</f>
        <v>376.0953305842325</v>
      </c>
      <c r="U86" s="6">
        <f>R86*Taulukkotiedot!$I$2+(1-Taulukkotiedot!$I$2)*Laskenta!S86+Laskenta!Q86</f>
        <v>392.08101412795429</v>
      </c>
      <c r="V86" s="6">
        <f>R86*Taulukkotiedot!$I$2+(1-Taulukkotiedot!$I$2)*Laskenta!S86+Laskenta!Q86+P86</f>
        <v>404.39490083154357</v>
      </c>
      <c r="X86" s="4"/>
      <c r="Y86" s="4"/>
    </row>
    <row r="87" spans="1:25" s="1" customFormat="1" x14ac:dyDescent="0.25">
      <c r="A87" s="10">
        <f t="shared" si="57"/>
        <v>85</v>
      </c>
      <c r="B87" s="1">
        <f t="shared" si="46"/>
        <v>408.37104072398205</v>
      </c>
      <c r="C87" s="1">
        <f t="shared" si="47"/>
        <v>558.82352941176498</v>
      </c>
      <c r="D87" s="1">
        <f t="shared" si="48"/>
        <v>707.84313725490233</v>
      </c>
      <c r="E87" s="1">
        <f t="shared" si="49"/>
        <v>849.41176470588277</v>
      </c>
      <c r="F87" s="1">
        <f t="shared" si="50"/>
        <v>1061.7647058823534</v>
      </c>
      <c r="G87" s="1">
        <f t="shared" si="51"/>
        <v>1415.6862745098047</v>
      </c>
      <c r="H87" s="1">
        <f t="shared" si="52"/>
        <v>1769.6078431372559</v>
      </c>
      <c r="I87" s="2">
        <f>SLOPE(Taulukkotiedot!$D$4:$D$10*A87,Laskenta!B87:H87)</f>
        <v>1209.324450964878</v>
      </c>
      <c r="J87" s="1">
        <f t="shared" si="53"/>
        <v>194.8192120885052</v>
      </c>
      <c r="K87" s="1">
        <f t="shared" si="54"/>
        <v>299.08864954432488</v>
      </c>
      <c r="L87" s="1">
        <f t="shared" si="55"/>
        <v>451.81476846057598</v>
      </c>
      <c r="M87" s="1">
        <f t="shared" si="56"/>
        <v>816.7420814479641</v>
      </c>
      <c r="N87" s="2">
        <f>SLOPE((Taulukkotiedot!$D$13:$D$16)*A87,Laskenta!J87:M87)</f>
        <v>1148.3693760910417</v>
      </c>
      <c r="P87" s="1">
        <f t="shared" si="44"/>
        <v>12.313886703589286</v>
      </c>
      <c r="Q87" s="1">
        <f t="shared" si="45"/>
        <v>8.8321495753857739</v>
      </c>
      <c r="R87" s="1">
        <f>AVERAGE($I$2:$I87)</f>
        <v>405.98505083146802</v>
      </c>
      <c r="S87" s="1">
        <f>AVERAGE($N$2:$N87)</f>
        <v>385.07526134593957</v>
      </c>
      <c r="U87" s="6">
        <f>R87*Taulukkotiedot!$I$2+(1-Taulukkotiedot!$I$2)*Laskenta!S87+Laskenta!Q87</f>
        <v>401.22583724126025</v>
      </c>
      <c r="V87" s="6">
        <f>R87*Taulukkotiedot!$I$2+(1-Taulukkotiedot!$I$2)*Laskenta!S87+Laskenta!Q87+P87</f>
        <v>413.53972394484953</v>
      </c>
      <c r="X87" s="28"/>
      <c r="Y87" s="28"/>
    </row>
    <row r="88" spans="1:25" s="3" customFormat="1" x14ac:dyDescent="0.25">
      <c r="A88" s="9">
        <f t="shared" si="57"/>
        <v>86</v>
      </c>
      <c r="B88" s="28">
        <f t="shared" si="46"/>
        <v>403.6225402504474</v>
      </c>
      <c r="C88" s="28">
        <f t="shared" si="47"/>
        <v>552.3255813953491</v>
      </c>
      <c r="D88" s="28">
        <f t="shared" si="48"/>
        <v>699.6124031007754</v>
      </c>
      <c r="E88" s="28">
        <f t="shared" si="49"/>
        <v>839.53488372093057</v>
      </c>
      <c r="F88" s="28">
        <f t="shared" si="50"/>
        <v>1049.4186046511634</v>
      </c>
      <c r="G88" s="28">
        <f t="shared" si="51"/>
        <v>1399.2248062015508</v>
      </c>
      <c r="H88" s="28">
        <f t="shared" si="52"/>
        <v>1749.0310077519387</v>
      </c>
      <c r="I88" s="2">
        <f>SLOPE(Taulukkotiedot!$D$4:$D$10*A88,Laskenta!B88:H88)</f>
        <v>1237.9465244756043</v>
      </c>
      <c r="J88" s="3">
        <f t="shared" si="53"/>
        <v>192.55387241305746</v>
      </c>
      <c r="K88" s="3">
        <f t="shared" si="54"/>
        <v>295.61087454962347</v>
      </c>
      <c r="L88" s="3">
        <f t="shared" si="55"/>
        <v>446.56110836219716</v>
      </c>
      <c r="M88" s="3">
        <f t="shared" si="56"/>
        <v>807.2450805008948</v>
      </c>
      <c r="N88" s="2">
        <f>SLOPE((Taulukkotiedot!$D$13:$D$16)*A88,Laskenta!J88:M88)</f>
        <v>1175.5487758573486</v>
      </c>
      <c r="P88" s="3">
        <f t="shared" si="44"/>
        <v>12.313886703589286</v>
      </c>
      <c r="Q88" s="3">
        <f t="shared" si="45"/>
        <v>8.8321495753857739</v>
      </c>
      <c r="R88" s="3">
        <f>AVERAGE($I$2:$I88)</f>
        <v>415.54782639059601</v>
      </c>
      <c r="S88" s="3">
        <f>AVERAGE($N$2:$N88)</f>
        <v>394.16116381158793</v>
      </c>
      <c r="U88" s="6">
        <f>R88*Taulukkotiedot!$I$2+(1-Taulukkotiedot!$I$2)*Laskenta!S88+Laskenta!Q88</f>
        <v>410.47864528962651</v>
      </c>
      <c r="V88" s="6">
        <f>R88*Taulukkotiedot!$I$2+(1-Taulukkotiedot!$I$2)*Laskenta!S88+Laskenta!Q88+P88</f>
        <v>422.79253199321579</v>
      </c>
    </row>
    <row r="89" spans="1:25" x14ac:dyDescent="0.25">
      <c r="A89" s="8">
        <f t="shared" si="57"/>
        <v>87</v>
      </c>
      <c r="B89" s="28">
        <f t="shared" si="46"/>
        <v>398.98320070733882</v>
      </c>
      <c r="C89" s="28">
        <f t="shared" si="47"/>
        <v>545.97701149425302</v>
      </c>
      <c r="D89" s="28">
        <f t="shared" si="48"/>
        <v>691.57088122605387</v>
      </c>
      <c r="E89" s="28">
        <f t="shared" si="49"/>
        <v>829.88505747126476</v>
      </c>
      <c r="F89" s="28">
        <f t="shared" si="50"/>
        <v>1037.3563218390807</v>
      </c>
      <c r="G89" s="28">
        <f t="shared" si="51"/>
        <v>1383.1417624521077</v>
      </c>
      <c r="H89" s="28">
        <f t="shared" si="52"/>
        <v>1728.9272030651348</v>
      </c>
      <c r="I89" s="2">
        <f>SLOPE(Taulukkotiedot!$D$4:$D$10*A89,Laskenta!B89:H89)</f>
        <v>1266.9033590800229</v>
      </c>
      <c r="J89">
        <f t="shared" si="53"/>
        <v>190.34060951175795</v>
      </c>
      <c r="K89">
        <f t="shared" si="54"/>
        <v>292.21304840537493</v>
      </c>
      <c r="L89">
        <f t="shared" si="55"/>
        <v>441.42822205918333</v>
      </c>
      <c r="M89">
        <f t="shared" si="56"/>
        <v>797.96640141467765</v>
      </c>
      <c r="N89" s="2">
        <f>SLOPE((Taulukkotiedot!$D$13:$D$16)*A89,Laskenta!J89:M89)</f>
        <v>1203.0460633402206</v>
      </c>
      <c r="P89">
        <f t="shared" si="44"/>
        <v>12.313886703589286</v>
      </c>
      <c r="Q89">
        <f t="shared" si="45"/>
        <v>8.8321495753857739</v>
      </c>
      <c r="R89">
        <f>AVERAGE($I$2:$I89)</f>
        <v>425.22232108024861</v>
      </c>
      <c r="S89">
        <f>AVERAGE($N$2:$N89)</f>
        <v>403.35303766986783</v>
      </c>
      <c r="U89" s="6">
        <f>R89*Taulukkotiedot!$I$2+(1-Taulukkotiedot!$I$2)*Laskenta!S89+Laskenta!Q89</f>
        <v>419.83943643888688</v>
      </c>
      <c r="V89" s="6">
        <f>R89*Taulukkotiedot!$I$2+(1-Taulukkotiedot!$I$2)*Laskenta!S89+Laskenta!Q89+P89</f>
        <v>432.15332314247615</v>
      </c>
      <c r="X89" s="4"/>
      <c r="Y89" s="4"/>
    </row>
    <row r="90" spans="1:25" s="3" customFormat="1" x14ac:dyDescent="0.25">
      <c r="A90" s="9">
        <f t="shared" si="57"/>
        <v>88</v>
      </c>
      <c r="B90" s="28">
        <f t="shared" si="46"/>
        <v>394.44930069930081</v>
      </c>
      <c r="C90" s="28">
        <f t="shared" si="47"/>
        <v>539.77272727272748</v>
      </c>
      <c r="D90" s="28">
        <f t="shared" si="48"/>
        <v>683.71212121212159</v>
      </c>
      <c r="E90" s="28">
        <f t="shared" si="49"/>
        <v>820.45454545454572</v>
      </c>
      <c r="F90" s="28">
        <f t="shared" si="50"/>
        <v>1025.5681818181822</v>
      </c>
      <c r="G90" s="28">
        <f t="shared" si="51"/>
        <v>1367.4242424242432</v>
      </c>
      <c r="H90" s="28">
        <f t="shared" si="52"/>
        <v>1709.2803030303039</v>
      </c>
      <c r="I90" s="2">
        <f>SLOPE(Taulukkotiedot!$D$4:$D$10*A90,Laskenta!B90:H90)</f>
        <v>1296.1949547781337</v>
      </c>
      <c r="J90" s="3">
        <f t="shared" si="53"/>
        <v>188.17764804003343</v>
      </c>
      <c r="K90" s="3">
        <f t="shared" si="54"/>
        <v>288.89244558258656</v>
      </c>
      <c r="L90" s="3">
        <f t="shared" si="55"/>
        <v>436.41199226305628</v>
      </c>
      <c r="M90" s="3">
        <f t="shared" si="56"/>
        <v>788.89860139860161</v>
      </c>
      <c r="N90" s="2">
        <f>SLOPE((Taulukkotiedot!$D$13:$D$16)*A90,Laskenta!J90:M90)</f>
        <v>1230.861238539658</v>
      </c>
      <c r="P90" s="3">
        <f t="shared" si="44"/>
        <v>12.313886703589286</v>
      </c>
      <c r="Q90" s="3">
        <f t="shared" si="45"/>
        <v>8.8321495753857739</v>
      </c>
      <c r="R90" s="3">
        <f>AVERAGE($I$2:$I90)</f>
        <v>435.00853044764057</v>
      </c>
      <c r="S90" s="3">
        <f>AVERAGE($N$2:$N90)</f>
        <v>412.65088262346097</v>
      </c>
      <c r="U90" s="6">
        <f>R90*Taulukkotiedot!$I$2+(1-Taulukkotiedot!$I$2)*Laskenta!S90+Laskenta!Q90</f>
        <v>429.30820893730959</v>
      </c>
      <c r="V90" s="6">
        <f>R90*Taulukkotiedot!$I$2+(1-Taulukkotiedot!$I$2)*Laskenta!S90+Laskenta!Q90+P90</f>
        <v>441.62209564089886</v>
      </c>
      <c r="X90" s="28"/>
      <c r="Y90" s="28"/>
    </row>
    <row r="91" spans="1:25" x14ac:dyDescent="0.25">
      <c r="A91" s="8">
        <f t="shared" si="57"/>
        <v>89</v>
      </c>
      <c r="B91" s="28">
        <f t="shared" si="46"/>
        <v>390.01728608470194</v>
      </c>
      <c r="C91" s="28">
        <f t="shared" si="47"/>
        <v>533.70786516853957</v>
      </c>
      <c r="D91" s="28">
        <f t="shared" si="48"/>
        <v>676.02996254681682</v>
      </c>
      <c r="E91" s="28">
        <f t="shared" si="49"/>
        <v>811.23595505618016</v>
      </c>
      <c r="F91" s="28">
        <f t="shared" si="50"/>
        <v>1014.0449438202251</v>
      </c>
      <c r="G91" s="28">
        <f t="shared" si="51"/>
        <v>1352.0599250936336</v>
      </c>
      <c r="H91" s="28">
        <f t="shared" si="52"/>
        <v>1690.0749063670419</v>
      </c>
      <c r="I91" s="2">
        <f>SLOPE(Taulukkotiedot!$D$4:$D$10*A91,Laskenta!B91:H91)</f>
        <v>1325.821311569938</v>
      </c>
      <c r="J91">
        <f t="shared" si="53"/>
        <v>186.063292444078</v>
      </c>
      <c r="K91">
        <f t="shared" si="54"/>
        <v>285.64646304795076</v>
      </c>
      <c r="L91">
        <f t="shared" si="55"/>
        <v>431.50848673201074</v>
      </c>
      <c r="M91">
        <f t="shared" si="56"/>
        <v>780.03457216940387</v>
      </c>
      <c r="N91" s="2">
        <f>SLOPE((Taulukkotiedot!$D$13:$D$16)*A91,Laskenta!J91:M91)</f>
        <v>1258.9943014556598</v>
      </c>
      <c r="P91">
        <f t="shared" si="44"/>
        <v>12.313886703589286</v>
      </c>
      <c r="Q91">
        <f t="shared" si="45"/>
        <v>8.8321495753857739</v>
      </c>
      <c r="R91">
        <f>AVERAGE($I$2:$I91)</f>
        <v>444.90645023788835</v>
      </c>
      <c r="S91">
        <f>AVERAGE($N$2:$N91)</f>
        <v>422.0546983882632</v>
      </c>
      <c r="U91" s="6">
        <f>R91*Taulukkotiedot!$I$2+(1-Taulukkotiedot!$I$2)*Laskenta!S91+Laskenta!Q91</f>
        <v>438.88496111101773</v>
      </c>
      <c r="V91" s="6">
        <f>R91*Taulukkotiedot!$I$2+(1-Taulukkotiedot!$I$2)*Laskenta!S91+Laskenta!Q91+P91</f>
        <v>451.19884781460701</v>
      </c>
      <c r="X91" s="3"/>
      <c r="Y91" s="3"/>
    </row>
    <row r="92" spans="1:25" x14ac:dyDescent="0.25">
      <c r="A92" s="8">
        <f t="shared" si="57"/>
        <v>90</v>
      </c>
      <c r="B92" s="28">
        <f t="shared" si="46"/>
        <v>385.6837606837608</v>
      </c>
      <c r="C92" s="28">
        <f t="shared" si="47"/>
        <v>527.77777777777794</v>
      </c>
      <c r="D92" s="28">
        <f t="shared" si="48"/>
        <v>668.51851851851882</v>
      </c>
      <c r="E92" s="28">
        <f t="shared" si="49"/>
        <v>802.22222222222263</v>
      </c>
      <c r="F92" s="28">
        <f t="shared" si="50"/>
        <v>1002.7777777777782</v>
      </c>
      <c r="G92" s="28">
        <f t="shared" si="51"/>
        <v>1337.0370370370376</v>
      </c>
      <c r="H92" s="28">
        <f t="shared" si="52"/>
        <v>1671.2962962962972</v>
      </c>
      <c r="I92" s="2">
        <f>SLOPE(Taulukkotiedot!$D$4:$D$10*A92,Laskenta!B92:H92)</f>
        <v>1355.7824294554348</v>
      </c>
      <c r="J92">
        <f t="shared" si="53"/>
        <v>183.99592252803268</v>
      </c>
      <c r="K92">
        <f t="shared" si="54"/>
        <v>282.47261345852905</v>
      </c>
      <c r="L92">
        <f t="shared" si="55"/>
        <v>426.71394799054394</v>
      </c>
      <c r="M92">
        <f t="shared" si="56"/>
        <v>771.36752136752159</v>
      </c>
      <c r="N92" s="2">
        <f>SLOPE((Taulukkotiedot!$D$13:$D$16)*A92,Laskenta!J92:M92)</f>
        <v>1287.4452520882269</v>
      </c>
      <c r="P92">
        <f t="shared" si="44"/>
        <v>12.313886703589286</v>
      </c>
      <c r="Q92">
        <f t="shared" si="45"/>
        <v>8.8321495753857739</v>
      </c>
      <c r="R92">
        <f>AVERAGE($I$2:$I92)</f>
        <v>454.91607638313616</v>
      </c>
      <c r="S92">
        <f>AVERAGE($N$2:$N92)</f>
        <v>431.56448469265843</v>
      </c>
      <c r="U92" s="6">
        <f>R92*Taulukkotiedot!$I$2+(1-Taulukkotiedot!$I$2)*Laskenta!S92+Laskenta!Q92</f>
        <v>448.56969135971133</v>
      </c>
      <c r="V92" s="6">
        <f>R92*Taulukkotiedot!$I$2+(1-Taulukkotiedot!$I$2)*Laskenta!S92+Laskenta!Q92+P92</f>
        <v>460.8835780633006</v>
      </c>
      <c r="X92" s="4"/>
      <c r="Y92" s="4"/>
    </row>
    <row r="93" spans="1:25" x14ac:dyDescent="0.25">
      <c r="A93" s="8">
        <f t="shared" si="57"/>
        <v>91</v>
      </c>
      <c r="B93" s="28">
        <f t="shared" si="46"/>
        <v>381.44547759932391</v>
      </c>
      <c r="C93" s="28">
        <f t="shared" si="47"/>
        <v>521.97802197802218</v>
      </c>
      <c r="D93" s="28">
        <f t="shared" si="48"/>
        <v>661.17216117216151</v>
      </c>
      <c r="E93" s="28">
        <f t="shared" si="49"/>
        <v>793.40659340659374</v>
      </c>
      <c r="F93" s="28">
        <f t="shared" si="50"/>
        <v>991.75824175824221</v>
      </c>
      <c r="G93" s="28">
        <f t="shared" si="51"/>
        <v>1322.344322344323</v>
      </c>
      <c r="H93" s="28">
        <f t="shared" si="52"/>
        <v>1652.9304029304035</v>
      </c>
      <c r="I93" s="2">
        <f>SLOPE(Taulukkotiedot!$D$4:$D$10*A93,Laskenta!B93:H93)</f>
        <v>1386.078308434624</v>
      </c>
      <c r="J93">
        <f t="shared" si="53"/>
        <v>181.97398931343892</v>
      </c>
      <c r="K93">
        <f t="shared" si="54"/>
        <v>279.36851880513865</v>
      </c>
      <c r="L93">
        <f t="shared" si="55"/>
        <v>422.02478372691161</v>
      </c>
      <c r="M93">
        <f t="shared" si="56"/>
        <v>762.89095519864782</v>
      </c>
      <c r="N93" s="2">
        <f>SLOPE((Taulukkotiedot!$D$13:$D$16)*A93,Laskenta!J93:M93)</f>
        <v>1316.2140904373584</v>
      </c>
      <c r="P93">
        <f t="shared" si="44"/>
        <v>12.313886703589286</v>
      </c>
      <c r="Q93">
        <f t="shared" si="45"/>
        <v>8.8321495753857739</v>
      </c>
      <c r="R93">
        <f>AVERAGE($I$2:$I93)</f>
        <v>465.03740499239149</v>
      </c>
      <c r="S93">
        <f>AVERAGE($N$2:$N93)</f>
        <v>441.18024127683992</v>
      </c>
      <c r="U93" s="6">
        <f>R93*Taulukkotiedot!$I$2+(1-Taulukkotiedot!$I$2)*Laskenta!S93+Laskenta!Q93</f>
        <v>458.36239815266873</v>
      </c>
      <c r="V93" s="6">
        <f>R93*Taulukkotiedot!$I$2+(1-Taulukkotiedot!$I$2)*Laskenta!S93+Laskenta!Q93+P93</f>
        <v>470.67628485625801</v>
      </c>
      <c r="X93" s="28"/>
    </row>
    <row r="94" spans="1:25" x14ac:dyDescent="0.25">
      <c r="A94" s="8">
        <f t="shared" si="57"/>
        <v>92</v>
      </c>
      <c r="B94" s="28">
        <f t="shared" si="46"/>
        <v>377.29933110367909</v>
      </c>
      <c r="C94" s="28">
        <f t="shared" si="47"/>
        <v>516.30434782608711</v>
      </c>
      <c r="D94" s="28">
        <f t="shared" si="48"/>
        <v>653.98550724637721</v>
      </c>
      <c r="E94" s="28">
        <f t="shared" si="49"/>
        <v>784.78260869565247</v>
      </c>
      <c r="F94" s="28">
        <f t="shared" si="50"/>
        <v>980.97826086956559</v>
      </c>
      <c r="G94" s="28">
        <f t="shared" si="51"/>
        <v>1307.9710144927544</v>
      </c>
      <c r="H94" s="28">
        <f t="shared" si="52"/>
        <v>1634.9637681159429</v>
      </c>
      <c r="I94" s="2">
        <f>SLOPE(Taulukkotiedot!$D$4:$D$10*A94,Laskenta!B94:H94)</f>
        <v>1416.7089485075057</v>
      </c>
      <c r="J94">
        <f t="shared" si="53"/>
        <v>179.99601116872762</v>
      </c>
      <c r="K94">
        <f t="shared" si="54"/>
        <v>276.33190447030017</v>
      </c>
      <c r="L94">
        <f t="shared" si="55"/>
        <v>417.43755781683643</v>
      </c>
      <c r="M94">
        <f t="shared" si="56"/>
        <v>754.59866220735819</v>
      </c>
      <c r="N94" s="2">
        <f>SLOPE((Taulukkotiedot!$D$13:$D$16)*A94,Laskenta!J94:M94)</f>
        <v>1345.3008165030553</v>
      </c>
      <c r="P94">
        <f t="shared" si="44"/>
        <v>12.313886703589286</v>
      </c>
      <c r="Q94">
        <f t="shared" si="45"/>
        <v>8.8321495753857739</v>
      </c>
      <c r="R94">
        <f>AVERAGE($I$2:$I94)</f>
        <v>475.27043234201636</v>
      </c>
      <c r="S94">
        <f>AVERAGE($N$2:$N94)</f>
        <v>450.90196789217555</v>
      </c>
      <c r="U94" s="6">
        <f>R94*Taulukkotiedot!$I$2+(1-Taulukkotiedot!$I$2)*Laskenta!S94+Laskenta!Q94</f>
        <v>468.26308002500559</v>
      </c>
      <c r="V94" s="6">
        <f>R94*Taulukkotiedot!$I$2+(1-Taulukkotiedot!$I$2)*Laskenta!S94+Laskenta!Q94+P94</f>
        <v>480.57696672859487</v>
      </c>
      <c r="X94" s="3"/>
      <c r="Y94" s="3"/>
    </row>
    <row r="95" spans="1:25" x14ac:dyDescent="0.25">
      <c r="A95" s="8">
        <f t="shared" si="57"/>
        <v>93</v>
      </c>
      <c r="B95" s="28">
        <f t="shared" si="46"/>
        <v>373.2423490488008</v>
      </c>
      <c r="C95" s="28">
        <f t="shared" si="47"/>
        <v>510.75268817204318</v>
      </c>
      <c r="D95" s="28">
        <f t="shared" si="48"/>
        <v>646.95340501792145</v>
      </c>
      <c r="E95" s="28">
        <f t="shared" si="49"/>
        <v>776.34408602150563</v>
      </c>
      <c r="F95" s="28">
        <f t="shared" si="50"/>
        <v>970.43010752688213</v>
      </c>
      <c r="G95" s="28">
        <f t="shared" si="51"/>
        <v>1293.9068100358429</v>
      </c>
      <c r="H95" s="28">
        <f t="shared" si="52"/>
        <v>1617.3835125448036</v>
      </c>
      <c r="I95" s="2">
        <f>SLOPE(Taulukkotiedot!$D$4:$D$10*A95,Laskenta!B95:H95)</f>
        <v>1447.674349674081</v>
      </c>
      <c r="J95">
        <f t="shared" si="53"/>
        <v>178.06057018841872</v>
      </c>
      <c r="K95">
        <f t="shared" si="54"/>
        <v>273.36059366954424</v>
      </c>
      <c r="L95">
        <f t="shared" si="55"/>
        <v>412.94898192633281</v>
      </c>
      <c r="M95">
        <f t="shared" si="56"/>
        <v>746.48469809760161</v>
      </c>
      <c r="N95" s="2">
        <f>SLOPE((Taulukkotiedot!$D$13:$D$16)*A95,Laskenta!J95:M95)</f>
        <v>1374.7054302853173</v>
      </c>
      <c r="P95">
        <f t="shared" si="44"/>
        <v>12.313886703589286</v>
      </c>
      <c r="Q95">
        <f t="shared" si="45"/>
        <v>8.8321495753857739</v>
      </c>
      <c r="R95">
        <f>AVERAGE($I$2:$I95)</f>
        <v>485.61515486682555</v>
      </c>
      <c r="S95">
        <f>AVERAGE($N$2:$N95)</f>
        <v>460.72966430061319</v>
      </c>
      <c r="U95" s="6">
        <f>R95*Taulukkotiedot!$I$2+(1-Taulukkotiedot!$I$2)*Laskenta!S95+Laskenta!Q95</f>
        <v>478.27173557417331</v>
      </c>
      <c r="V95" s="6">
        <f>R95*Taulukkotiedot!$I$2+(1-Taulukkotiedot!$I$2)*Laskenta!S95+Laskenta!Q95+P95</f>
        <v>490.58562227776258</v>
      </c>
      <c r="X95" s="4"/>
      <c r="Y95" s="4"/>
    </row>
    <row r="96" spans="1:25" x14ac:dyDescent="0.25">
      <c r="A96" s="8">
        <f t="shared" si="57"/>
        <v>94</v>
      </c>
      <c r="B96" s="28">
        <f t="shared" si="46"/>
        <v>369.27168576104759</v>
      </c>
      <c r="C96" s="28">
        <f t="shared" si="47"/>
        <v>505.31914893617045</v>
      </c>
      <c r="D96" s="28">
        <f t="shared" si="48"/>
        <v>640.07092198581586</v>
      </c>
      <c r="E96" s="28">
        <f t="shared" si="49"/>
        <v>768.08510638297912</v>
      </c>
      <c r="F96" s="28">
        <f t="shared" si="50"/>
        <v>960.10638297872379</v>
      </c>
      <c r="G96" s="28">
        <f t="shared" si="51"/>
        <v>1280.1418439716317</v>
      </c>
      <c r="H96" s="28">
        <f t="shared" si="52"/>
        <v>1600.1773049645399</v>
      </c>
      <c r="I96" s="2">
        <f>SLOPE(Taulukkotiedot!$D$4:$D$10*A96,Laskenta!B96:H96)</f>
        <v>1478.9745119343479</v>
      </c>
      <c r="J96">
        <f t="shared" si="53"/>
        <v>176.16630880343556</v>
      </c>
      <c r="K96">
        <f t="shared" si="54"/>
        <v>270.45250224752783</v>
      </c>
      <c r="L96">
        <f t="shared" si="55"/>
        <v>408.55590765052079</v>
      </c>
      <c r="M96">
        <f t="shared" si="56"/>
        <v>738.54337152209519</v>
      </c>
      <c r="N96" s="2">
        <f>SLOPE((Taulukkotiedot!$D$13:$D$16)*A96,Laskenta!J96:M96)</f>
        <v>1404.4279317841447</v>
      </c>
      <c r="P96">
        <f t="shared" si="44"/>
        <v>12.313886703589286</v>
      </c>
      <c r="Q96">
        <f t="shared" si="45"/>
        <v>8.8321495753857739</v>
      </c>
      <c r="R96">
        <f>AVERAGE($I$2:$I96)</f>
        <v>496.07156915174687</v>
      </c>
      <c r="S96">
        <f>AVERAGE($N$2:$N96)</f>
        <v>470.66333027412406</v>
      </c>
      <c r="U96" s="6">
        <f>R96*Taulukkotiedot!$I$2+(1-Taulukkotiedot!$I$2)*Laskenta!S96+Laskenta!Q96</f>
        <v>488.38836345667778</v>
      </c>
      <c r="V96" s="6">
        <f>R96*Taulukkotiedot!$I$2+(1-Taulukkotiedot!$I$2)*Laskenta!S96+Laskenta!Q96+P96</f>
        <v>500.70225016026706</v>
      </c>
      <c r="X96" s="28"/>
    </row>
    <row r="97" spans="1:25" x14ac:dyDescent="0.25">
      <c r="A97" s="8">
        <f t="shared" si="57"/>
        <v>95</v>
      </c>
      <c r="B97" s="28">
        <f t="shared" si="46"/>
        <v>365.38461538461553</v>
      </c>
      <c r="C97" s="28">
        <f t="shared" si="47"/>
        <v>500.00000000000017</v>
      </c>
      <c r="D97" s="28">
        <f t="shared" si="48"/>
        <v>633.3333333333336</v>
      </c>
      <c r="E97" s="28">
        <f t="shared" si="49"/>
        <v>760.00000000000034</v>
      </c>
      <c r="F97" s="28">
        <f t="shared" si="50"/>
        <v>950.00000000000034</v>
      </c>
      <c r="G97" s="28">
        <f t="shared" si="51"/>
        <v>1266.6666666666672</v>
      </c>
      <c r="H97" s="28">
        <f t="shared" si="52"/>
        <v>1583.3333333333339</v>
      </c>
      <c r="I97" s="2">
        <f>SLOPE(Taulukkotiedot!$D$4:$D$10*A97,Laskenta!B97:H97)</f>
        <v>1510.6094352883083</v>
      </c>
      <c r="J97">
        <f t="shared" si="53"/>
        <v>174.31192660550465</v>
      </c>
      <c r="K97">
        <f t="shared" si="54"/>
        <v>267.60563380281701</v>
      </c>
      <c r="L97">
        <f t="shared" si="55"/>
        <v>404.25531914893639</v>
      </c>
      <c r="M97">
        <f t="shared" si="56"/>
        <v>730.76923076923106</v>
      </c>
      <c r="N97" s="2">
        <f>SLOPE((Taulukkotiedot!$D$13:$D$16)*A97,Laskenta!J97:M97)</f>
        <v>1434.4683209995367</v>
      </c>
      <c r="P97">
        <f t="shared" si="44"/>
        <v>12.313886703589286</v>
      </c>
      <c r="Q97">
        <f t="shared" si="45"/>
        <v>8.8321495753857739</v>
      </c>
      <c r="R97">
        <f>AVERAGE($I$2:$I97)</f>
        <v>506.6396719240027</v>
      </c>
      <c r="S97">
        <f>AVERAGE($N$2:$N97)</f>
        <v>480.7029655941804</v>
      </c>
      <c r="U97" s="6">
        <f>R97*Taulukkotiedot!$I$2+(1-Taulukkotiedot!$I$2)*Laskenta!S97+Laskenta!Q97</f>
        <v>498.61296238500393</v>
      </c>
      <c r="V97" s="6">
        <f>R97*Taulukkotiedot!$I$2+(1-Taulukkotiedot!$I$2)*Laskenta!S97+Laskenta!Q97+P97</f>
        <v>510.9268490885932</v>
      </c>
      <c r="X97" s="3"/>
      <c r="Y97" s="3"/>
    </row>
    <row r="98" spans="1:25" x14ac:dyDescent="0.25">
      <c r="A98" s="8">
        <f t="shared" si="57"/>
        <v>96</v>
      </c>
      <c r="B98" s="28">
        <f t="shared" si="46"/>
        <v>361.57852564102581</v>
      </c>
      <c r="C98" s="28">
        <f t="shared" si="47"/>
        <v>494.7916666666668</v>
      </c>
      <c r="D98" s="28">
        <f t="shared" si="48"/>
        <v>626.73611111111143</v>
      </c>
      <c r="E98" s="28">
        <f t="shared" si="49"/>
        <v>752.0833333333336</v>
      </c>
      <c r="F98" s="28">
        <f t="shared" si="50"/>
        <v>940.10416666666686</v>
      </c>
      <c r="G98" s="28">
        <f t="shared" si="51"/>
        <v>1253.4722222222229</v>
      </c>
      <c r="H98" s="28">
        <f t="shared" si="52"/>
        <v>1566.8402777777785</v>
      </c>
      <c r="I98" s="2">
        <f>SLOPE(Taulukkotiedot!$D$4:$D$10*A98,Laskenta!B98:H98)</f>
        <v>1542.5791197359608</v>
      </c>
      <c r="J98">
        <f t="shared" si="53"/>
        <v>172.49617737003064</v>
      </c>
      <c r="K98">
        <f t="shared" si="54"/>
        <v>264.818075117371</v>
      </c>
      <c r="L98">
        <f t="shared" si="55"/>
        <v>400.04432624113497</v>
      </c>
      <c r="M98">
        <f t="shared" si="56"/>
        <v>723.15705128205161</v>
      </c>
      <c r="N98" s="2">
        <f>SLOPE((Taulukkotiedot!$D$13:$D$16)*A98,Laskenta!J98:M98)</f>
        <v>1464.8265979314933</v>
      </c>
      <c r="P98">
        <f t="shared" si="44"/>
        <v>12.313886703589286</v>
      </c>
      <c r="Q98">
        <f t="shared" si="45"/>
        <v>8.8321495753857739</v>
      </c>
      <c r="R98">
        <f>AVERAGE($I$2:$I98)</f>
        <v>517.31946004577549</v>
      </c>
      <c r="S98">
        <f>AVERAGE($N$2:$N98)</f>
        <v>490.84857005126617</v>
      </c>
      <c r="U98" s="6">
        <f>R98*Taulukkotiedot!$I$2+(1-Taulukkotiedot!$I$2)*Laskenta!S98+Laskenta!Q98</f>
        <v>508.94553112473017</v>
      </c>
      <c r="V98" s="6">
        <f>R98*Taulukkotiedot!$I$2+(1-Taulukkotiedot!$I$2)*Laskenta!S98+Laskenta!Q98+P98</f>
        <v>521.25941782831944</v>
      </c>
      <c r="X98" s="4"/>
      <c r="Y98" s="4"/>
    </row>
    <row r="99" spans="1:25" x14ac:dyDescent="0.25">
      <c r="A99" s="8">
        <f t="shared" si="57"/>
        <v>97</v>
      </c>
      <c r="B99" s="28">
        <f t="shared" si="46"/>
        <v>357.85091197462344</v>
      </c>
      <c r="C99" s="28">
        <f t="shared" si="47"/>
        <v>489.69072164948477</v>
      </c>
      <c r="D99" s="28">
        <f t="shared" si="48"/>
        <v>620.27491408934736</v>
      </c>
      <c r="E99" s="28">
        <f t="shared" si="49"/>
        <v>744.32989690721672</v>
      </c>
      <c r="F99" s="28">
        <f t="shared" si="50"/>
        <v>930.41237113402087</v>
      </c>
      <c r="G99" s="28">
        <f t="shared" si="51"/>
        <v>1240.5498281786947</v>
      </c>
      <c r="H99" s="28">
        <f t="shared" si="52"/>
        <v>1550.6872852233685</v>
      </c>
      <c r="I99" s="2">
        <f>SLOPE(Taulukkotiedot!$D$4:$D$10*A99,Laskenta!B99:H99)</f>
        <v>1574.8835652773066</v>
      </c>
      <c r="J99">
        <f t="shared" si="53"/>
        <v>170.71786626312311</v>
      </c>
      <c r="K99">
        <f t="shared" si="54"/>
        <v>262.08799186873836</v>
      </c>
      <c r="L99">
        <f t="shared" si="55"/>
        <v>395.92015792937065</v>
      </c>
      <c r="M99">
        <f t="shared" si="56"/>
        <v>715.70182394924689</v>
      </c>
      <c r="N99" s="2">
        <f>SLOPE((Taulukkotiedot!$D$13:$D$16)*A99,Laskenta!J99:M99)</f>
        <v>1495.5027625800155</v>
      </c>
      <c r="P99">
        <f t="shared" si="44"/>
        <v>12.313886703589286</v>
      </c>
      <c r="Q99">
        <f t="shared" si="45"/>
        <v>8.8321495753857739</v>
      </c>
      <c r="R99">
        <f>AVERAGE($I$2:$I99)</f>
        <v>528.11093050732165</v>
      </c>
      <c r="S99">
        <f>AVERAGE($N$2:$N99)</f>
        <v>501.10014344441663</v>
      </c>
      <c r="U99" s="6">
        <f>R99*Taulukkotiedot!$I$2+(1-Taulukkotiedot!$I$2)*Laskenta!S99+Laskenta!Q99</f>
        <v>519.38606849181917</v>
      </c>
      <c r="V99" s="6">
        <f>R99*Taulukkotiedot!$I$2+(1-Taulukkotiedot!$I$2)*Laskenta!S99+Laskenta!Q99+P99</f>
        <v>531.69995519540851</v>
      </c>
    </row>
    <row r="100" spans="1:25" x14ac:dyDescent="0.25">
      <c r="A100" s="8">
        <f t="shared" si="57"/>
        <v>98</v>
      </c>
      <c r="B100" s="28">
        <f t="shared" si="46"/>
        <v>354.19937205651507</v>
      </c>
      <c r="C100" s="28">
        <f t="shared" si="47"/>
        <v>484.69387755102059</v>
      </c>
      <c r="D100" s="28">
        <f t="shared" si="48"/>
        <v>613.94557823129276</v>
      </c>
      <c r="E100" s="28">
        <f t="shared" si="49"/>
        <v>736.73469387755131</v>
      </c>
      <c r="F100" s="28">
        <f t="shared" si="50"/>
        <v>920.91836734693902</v>
      </c>
      <c r="G100" s="28">
        <f t="shared" si="51"/>
        <v>1227.8911564625855</v>
      </c>
      <c r="H100" s="28">
        <f t="shared" si="52"/>
        <v>1534.863945578232</v>
      </c>
      <c r="I100" s="2">
        <f>SLOPE(Taulukkotiedot!$D$4:$D$10*A100,Laskenta!B100:H100)</f>
        <v>1607.522771912345</v>
      </c>
      <c r="J100">
        <f t="shared" si="53"/>
        <v>168.97584721962184</v>
      </c>
      <c r="K100">
        <f t="shared" si="54"/>
        <v>259.4136246047716</v>
      </c>
      <c r="L100">
        <f t="shared" si="55"/>
        <v>391.88015631784651</v>
      </c>
      <c r="M100">
        <f t="shared" si="56"/>
        <v>708.39874411303015</v>
      </c>
      <c r="N100" s="2">
        <f>SLOPE((Taulukkotiedot!$D$13:$D$16)*A100,Laskenta!J100:M100)</f>
        <v>1526.4968149451022</v>
      </c>
      <c r="P100">
        <f t="shared" si="44"/>
        <v>12.313886703589286</v>
      </c>
      <c r="Q100">
        <f t="shared" si="45"/>
        <v>8.8321495753857739</v>
      </c>
      <c r="R100">
        <f>AVERAGE($I$2:$I100)</f>
        <v>539.01408042050366</v>
      </c>
      <c r="S100">
        <f>AVERAGE($N$2:$N100)</f>
        <v>511.4576855807872</v>
      </c>
      <c r="U100" s="6">
        <f>R100*Taulukkotiedot!$I$2+(1-Taulukkotiedot!$I$2)*Laskenta!S100+Laskenta!Q100</f>
        <v>529.93457335007372</v>
      </c>
      <c r="V100" s="6">
        <f>R100*Taulukkotiedot!$I$2+(1-Taulukkotiedot!$I$2)*Laskenta!S100+Laskenta!Q100+P100</f>
        <v>542.24846005366305</v>
      </c>
    </row>
    <row r="101" spans="1:25" x14ac:dyDescent="0.25">
      <c r="A101" s="8">
        <f t="shared" si="57"/>
        <v>99</v>
      </c>
      <c r="B101" s="28">
        <f t="shared" si="46"/>
        <v>350.62160062160075</v>
      </c>
      <c r="C101" s="28">
        <f t="shared" si="47"/>
        <v>479.79797979798008</v>
      </c>
      <c r="D101" s="28">
        <f t="shared" si="48"/>
        <v>607.74410774410796</v>
      </c>
      <c r="E101" s="28">
        <f t="shared" si="49"/>
        <v>729.29292929292956</v>
      </c>
      <c r="F101" s="28">
        <f t="shared" si="50"/>
        <v>911.61616161616189</v>
      </c>
      <c r="G101" s="28">
        <f t="shared" si="51"/>
        <v>1215.4882154882159</v>
      </c>
      <c r="H101" s="28">
        <f t="shared" si="52"/>
        <v>1519.3602693602702</v>
      </c>
      <c r="I101" s="2">
        <f>SLOPE(Taulukkotiedot!$D$4:$D$10*A101,Laskenta!B101:H101)</f>
        <v>1640.4967396410757</v>
      </c>
      <c r="J101">
        <f t="shared" si="53"/>
        <v>167.2690204800297</v>
      </c>
      <c r="K101">
        <f t="shared" si="54"/>
        <v>256.7932849622992</v>
      </c>
      <c r="L101">
        <f t="shared" si="55"/>
        <v>387.92177090049455</v>
      </c>
      <c r="M101">
        <f t="shared" si="56"/>
        <v>701.2432012432015</v>
      </c>
      <c r="N101" s="2">
        <f>SLOPE((Taulukkotiedot!$D$13:$D$16)*A101,Laskenta!J101:M101)</f>
        <v>1557.8087550267546</v>
      </c>
      <c r="P101">
        <f t="shared" si="44"/>
        <v>12.313886703589286</v>
      </c>
      <c r="Q101">
        <f t="shared" si="45"/>
        <v>8.8321495753857739</v>
      </c>
      <c r="R101">
        <f>AVERAGE($I$2:$I101)</f>
        <v>550.0289070127094</v>
      </c>
      <c r="S101">
        <f>AVERAGE($N$2:$N101)</f>
        <v>521.92119627524687</v>
      </c>
      <c r="U101" s="6">
        <f>R101*Taulukkotiedot!$I$2+(1-Taulukkotiedot!$I$2)*Laskenta!S101+Laskenta!Q101</f>
        <v>540.5910446087446</v>
      </c>
      <c r="V101" s="6">
        <f>R101*Taulukkotiedot!$I$2+(1-Taulukkotiedot!$I$2)*Laskenta!S101+Laskenta!Q101+P101</f>
        <v>552.90493131233393</v>
      </c>
    </row>
    <row r="102" spans="1:25" x14ac:dyDescent="0.25">
      <c r="A102" s="8">
        <f t="shared" si="57"/>
        <v>100</v>
      </c>
      <c r="B102" s="28">
        <f t="shared" si="46"/>
        <v>347.11538461538476</v>
      </c>
      <c r="C102" s="28">
        <f t="shared" si="47"/>
        <v>475.00000000000017</v>
      </c>
      <c r="D102" s="28">
        <f t="shared" si="48"/>
        <v>601.66666666666686</v>
      </c>
      <c r="E102" s="28">
        <f t="shared" si="49"/>
        <v>722.00000000000034</v>
      </c>
      <c r="F102" s="28">
        <f t="shared" si="50"/>
        <v>902.50000000000034</v>
      </c>
      <c r="G102" s="28">
        <f t="shared" si="51"/>
        <v>1203.3333333333337</v>
      </c>
      <c r="H102" s="28">
        <f t="shared" si="52"/>
        <v>1504.1666666666672</v>
      </c>
      <c r="I102" s="2">
        <f>SLOPE(Taulukkotiedot!$D$4:$D$10*A102,Laskenta!B102:H102)</f>
        <v>1673.8054684634997</v>
      </c>
      <c r="J102">
        <f t="shared" si="53"/>
        <v>165.59633027522941</v>
      </c>
      <c r="K102">
        <f t="shared" si="54"/>
        <v>254.22535211267615</v>
      </c>
      <c r="L102">
        <f t="shared" si="55"/>
        <v>384.04255319148956</v>
      </c>
      <c r="M102">
        <f t="shared" si="56"/>
        <v>694.23076923076951</v>
      </c>
      <c r="N102" s="2">
        <f>SLOPE((Taulukkotiedot!$D$13:$D$16)*A102,Laskenta!J102:M102)</f>
        <v>1589.4385828249713</v>
      </c>
      <c r="P102">
        <f t="shared" si="44"/>
        <v>12.313886703589286</v>
      </c>
      <c r="Q102">
        <f t="shared" si="45"/>
        <v>8.8321495753857739</v>
      </c>
      <c r="R102">
        <f>AVERAGE($I$2:$I102)</f>
        <v>561.15540762113301</v>
      </c>
      <c r="S102">
        <f>AVERAGE($N$2:$N102)</f>
        <v>532.49067534999665</v>
      </c>
      <c r="U102" s="6">
        <f>R102*Taulukkotiedot!$I$2+(1-Taulukkotiedot!$I$2)*Laskenta!S102+Laskenta!Q102</f>
        <v>551.35548122028013</v>
      </c>
      <c r="V102" s="6">
        <f>R102*Taulukkotiedot!$I$2+(1-Taulukkotiedot!$I$2)*Laskenta!S102+Laskenta!Q102+P102</f>
        <v>563.66936792386946</v>
      </c>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3" sqref="E33"/>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298ac1c-8781-457c-836a-c94febb0ef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1" ma:contentTypeDescription="Luo uusi asiakirja." ma:contentTypeScope="" ma:versionID="c0fa9791ac878469c0efcec9f4942a68">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f1f72a05be1fc5dbd90d5cfe20c8637e"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Kuittauksen tila"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B5BB4-D556-4834-B114-FBEFDEFD503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298ac1c-8781-457c-836a-c94febb0efd7"/>
    <ds:schemaRef ds:uri="http://purl.org/dc/dcmitype/"/>
    <ds:schemaRef ds:uri="492ee864-9a00-4053-8292-33da4057805d"/>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F67892A-EC7C-4D57-8748-421B18A79982}">
  <ds:schemaRefs>
    <ds:schemaRef ds:uri="http://schemas.microsoft.com/sharepoint/v3/contenttype/forms"/>
  </ds:schemaRefs>
</ds:datastoreItem>
</file>

<file path=customXml/itemProps3.xml><?xml version="1.0" encoding="utf-8"?>
<ds:datastoreItem xmlns:ds="http://schemas.openxmlformats.org/officeDocument/2006/customXml" ds:itemID="{391A064B-9EE7-4733-99AF-9563C3559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87</vt:i4>
      </vt:variant>
    </vt:vector>
  </HeadingPairs>
  <TitlesOfParts>
    <vt:vector size="91" baseType="lpstr">
      <vt:lpstr>Lähtötiedot</vt:lpstr>
      <vt:lpstr>Taulukkotiedot</vt:lpstr>
      <vt:lpstr>Laskenta</vt:lpstr>
      <vt:lpstr>Taul3</vt:lpstr>
      <vt:lpstr>cosfii</vt:lpstr>
      <vt:lpstr>hinta120</vt:lpstr>
      <vt:lpstr>hinta150</vt:lpstr>
      <vt:lpstr>hinta185</vt:lpstr>
      <vt:lpstr>hinta240</vt:lpstr>
      <vt:lpstr>hinta300</vt:lpstr>
      <vt:lpstr>hinta70</vt:lpstr>
      <vt:lpstr>hinta95</vt:lpstr>
      <vt:lpstr>jmrajakustannus</vt:lpstr>
      <vt:lpstr>jän.ale</vt:lpstr>
      <vt:lpstr>kuorma120</vt:lpstr>
      <vt:lpstr>kuorma150</vt:lpstr>
      <vt:lpstr>kuorma185</vt:lpstr>
      <vt:lpstr>kuorma240</vt:lpstr>
      <vt:lpstr>kuorma300</vt:lpstr>
      <vt:lpstr>kuorma70</vt:lpstr>
      <vt:lpstr>kuorma95</vt:lpstr>
      <vt:lpstr>lähdonpituus</vt:lpstr>
      <vt:lpstr>maxkuorm.i1</vt:lpstr>
      <vt:lpstr>maxkuorm.i2</vt:lpstr>
      <vt:lpstr>maxkuorm.i3</vt:lpstr>
      <vt:lpstr>maxkuorm.i4</vt:lpstr>
      <vt:lpstr>maxkuorm.k1</vt:lpstr>
      <vt:lpstr>maxkuorm.k2</vt:lpstr>
      <vt:lpstr>maxkuorm.k3</vt:lpstr>
      <vt:lpstr>maxkuorm.k4</vt:lpstr>
      <vt:lpstr>maxkuorm.k5</vt:lpstr>
      <vt:lpstr>maxkuorm.k6</vt:lpstr>
      <vt:lpstr>maxkuormk7</vt:lpstr>
      <vt:lpstr>mk70.kuorma</vt:lpstr>
      <vt:lpstr>pjaxkuor120</vt:lpstr>
      <vt:lpstr>pjaxkuor150</vt:lpstr>
      <vt:lpstr>pjaxkuor185</vt:lpstr>
      <vt:lpstr>pjaxkuor240</vt:lpstr>
      <vt:lpstr>pjaxkuor25</vt:lpstr>
      <vt:lpstr>pjaxkuor300</vt:lpstr>
      <vt:lpstr>pjaxkuor35</vt:lpstr>
      <vt:lpstr>pjaxkuor50</vt:lpstr>
      <vt:lpstr>pjaxkuor70</vt:lpstr>
      <vt:lpstr>pjaxkuor95</vt:lpstr>
      <vt:lpstr>pjjänale</vt:lpstr>
      <vt:lpstr>pjjännite</vt:lpstr>
      <vt:lpstr>pjkuorma120</vt:lpstr>
      <vt:lpstr>pjkuorma25</vt:lpstr>
      <vt:lpstr>pjkuorma50</vt:lpstr>
      <vt:lpstr>pjkuorma70</vt:lpstr>
      <vt:lpstr>pjres120</vt:lpstr>
      <vt:lpstr>pjres25</vt:lpstr>
      <vt:lpstr>pjres50</vt:lpstr>
      <vt:lpstr>pjres70</vt:lpstr>
      <vt:lpstr>pjresax120</vt:lpstr>
      <vt:lpstr>pjresax150</vt:lpstr>
      <vt:lpstr>pjresax185</vt:lpstr>
      <vt:lpstr>pjresax240</vt:lpstr>
      <vt:lpstr>pjresax25</vt:lpstr>
      <vt:lpstr>pjresax300</vt:lpstr>
      <vt:lpstr>pjresax35</vt:lpstr>
      <vt:lpstr>pjresax50</vt:lpstr>
      <vt:lpstr>pjresax70</vt:lpstr>
      <vt:lpstr>pjresax95</vt:lpstr>
      <vt:lpstr>pjvaihejän</vt:lpstr>
      <vt:lpstr>pjvaihejännite</vt:lpstr>
      <vt:lpstr>pmrajakust</vt:lpstr>
      <vt:lpstr>res.120</vt:lpstr>
      <vt:lpstr>res.150</vt:lpstr>
      <vt:lpstr>res.185</vt:lpstr>
      <vt:lpstr>res.240</vt:lpstr>
      <vt:lpstr>res.300</vt:lpstr>
      <vt:lpstr>res.70</vt:lpstr>
      <vt:lpstr>res.95</vt:lpstr>
      <vt:lpstr>res.Al</vt:lpstr>
      <vt:lpstr>res.kaap.120</vt:lpstr>
      <vt:lpstr>res.kaap.185</vt:lpstr>
      <vt:lpstr>res.kaap.300</vt:lpstr>
      <vt:lpstr>res.kaap.70</vt:lpstr>
      <vt:lpstr>res.pig</vt:lpstr>
      <vt:lpstr>res.rav</vt:lpstr>
      <vt:lpstr>res.spar</vt:lpstr>
      <vt:lpstr>vaihejännite</vt:lpstr>
      <vt:lpstr>yksikköhinta.120kaap</vt:lpstr>
      <vt:lpstr>yksikköhinta.185kaap</vt:lpstr>
      <vt:lpstr>yksikköhinta.300kaap</vt:lpstr>
      <vt:lpstr>yksikköhinta.70kaap</vt:lpstr>
      <vt:lpstr>yksikköhinta.Al</vt:lpstr>
      <vt:lpstr>yksikköhinta.pig</vt:lpstr>
      <vt:lpstr>yksikköhinta.rav</vt:lpstr>
      <vt:lpstr>yksikköhinta.spar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lsimola</dc:creator>
  <cp:lastModifiedBy>Simola Lasse</cp:lastModifiedBy>
  <cp:lastPrinted>2016-01-05T08:53:37Z</cp:lastPrinted>
  <dcterms:created xsi:type="dcterms:W3CDTF">2010-09-30T10:01:27Z</dcterms:created>
  <dcterms:modified xsi:type="dcterms:W3CDTF">2019-12-10T07:27:01Z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Asiaryhmä">
    <vt:lpwstr>6;#4 Sähkömarkkinat|77cd4c01-15e2-4157-933a-bd4aa13641b2</vt:lpwstr>
  </property>
</Properties>
</file>