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imola\Desktop\"/>
    </mc:Choice>
  </mc:AlternateContent>
  <bookViews>
    <workbookView xWindow="0" yWindow="0" windowWidth="23040" windowHeight="7968"/>
  </bookViews>
  <sheets>
    <sheet name="Lähtötiedot" sheetId="1" r:id="rId1"/>
    <sheet name="Taulukkotiedot" sheetId="2" r:id="rId2"/>
    <sheet name="Laskenta" sheetId="4" r:id="rId3"/>
    <sheet name="Taul3" sheetId="3" r:id="rId4"/>
  </sheets>
  <externalReferences>
    <externalReference r:id="rId5"/>
  </externalReferences>
  <definedNames>
    <definedName name="cosfii">Taulukkotiedot!$D$2</definedName>
    <definedName name="etäisyys">[1]Taul1!$D$3</definedName>
    <definedName name="hinta120">Taulukkotiedot!$D$6</definedName>
    <definedName name="hinta150">Taulukkotiedot!$D$7</definedName>
    <definedName name="hinta185">Taulukkotiedot!$D$8</definedName>
    <definedName name="hinta240">Taulukkotiedot!$D$9</definedName>
    <definedName name="hinta300">Taulukkotiedot!$D$10</definedName>
    <definedName name="hinta70">Taulukkotiedot!$D$4</definedName>
    <definedName name="hinta95">Taulukkotiedot!$D$5</definedName>
    <definedName name="jmrajakustannus">Taulukkotiedot!$F$35</definedName>
    <definedName name="jän.ale">Taulukkotiedot!$G$1</definedName>
    <definedName name="jännite">[1]Taul1!$D$4</definedName>
    <definedName name="jännitteenalenema">[1]Taul1!$D$2</definedName>
    <definedName name="kuorma120">Taulukkotiedot!$F$6</definedName>
    <definedName name="kuorma150">Taulukkotiedot!$F$7</definedName>
    <definedName name="kuorma185">Taulukkotiedot!$F$8</definedName>
    <definedName name="kuorma240">Taulukkotiedot!$F$9</definedName>
    <definedName name="kuorma300">Taulukkotiedot!$F$10</definedName>
    <definedName name="kuorma70">Taulukkotiedot!$F$4</definedName>
    <definedName name="kuorma95">Taulukkotiedot!$F$5</definedName>
    <definedName name="lähdonpituus">Taulukkotiedot!$G$2</definedName>
    <definedName name="maxkuorm.i1">Taulukkotiedot!$F$13</definedName>
    <definedName name="maxkuorm.i2">Taulukkotiedot!$F$14</definedName>
    <definedName name="maxkuorm.i3">Taulukkotiedot!$F$15</definedName>
    <definedName name="maxkuorm.i4">Taulukkotiedot!$F$16</definedName>
    <definedName name="maxkuorm.k1">Taulukkotiedot!$F$4</definedName>
    <definedName name="maxkuorm.k2">Taulukkotiedot!$F$5</definedName>
    <definedName name="maxkuorm.k3">Taulukkotiedot!$F$6</definedName>
    <definedName name="maxkuorm.k4">Taulukkotiedot!$F$7</definedName>
    <definedName name="maxkuorm.k5">Taulukkotiedot!$F$8</definedName>
    <definedName name="maxkuorm.k6">Taulukkotiedot!$F$9</definedName>
    <definedName name="maxkuormk7">Taulukkotiedot!$F$10</definedName>
    <definedName name="mk70.kuorma">Taulukkotiedot!$F$4</definedName>
    <definedName name="pmrajakust">Taulukkotiedot!$F$23</definedName>
    <definedName name="res.120">Taulukkotiedot!$B$6</definedName>
    <definedName name="res.150">Taulukkotiedot!$B$7</definedName>
    <definedName name="res.185">Taulukkotiedot!$B$8</definedName>
    <definedName name="res.240">Taulukkotiedot!$B$9</definedName>
    <definedName name="res.300">Taulukkotiedot!$B$10</definedName>
    <definedName name="res.70">Taulukkotiedot!$B$4</definedName>
    <definedName name="res.95">Taulukkotiedot!$B$5</definedName>
    <definedName name="res.Al">Taulukkotiedot!$B$16</definedName>
    <definedName name="res.kaap.120">Taulukkotiedot!$B$5</definedName>
    <definedName name="res.kaap.185">Taulukkotiedot!$B$6</definedName>
    <definedName name="res.kaap.300">Taulukkotiedot!$B$7</definedName>
    <definedName name="res.kaap.70">Taulukkotiedot!$B$4</definedName>
    <definedName name="res.pig">Taulukkotiedot!$B$15</definedName>
    <definedName name="res.rav">Taulukkotiedot!$B$14</definedName>
    <definedName name="res.spar">Taulukkotiedot!$B$13</definedName>
    <definedName name="tehokulma">[1]Taul1!$D$1</definedName>
    <definedName name="vaihejännite">Taulukkotiedot!$I$1</definedName>
    <definedName name="yksikköhinta.120kaap">Taulukkotiedot!$D$5</definedName>
    <definedName name="yksikköhinta.185kaap">Taulukkotiedot!$D$6</definedName>
    <definedName name="yksikköhinta.300kaap">Taulukkotiedot!$D$7</definedName>
    <definedName name="yksikköhinta.70kaap">Taulukkotiedot!$D$4</definedName>
    <definedName name="yksikköhinta.Al">Taulukkotiedot!$D$16</definedName>
    <definedName name="yksikköhinta.pig">Taulukkotiedot!$D$15</definedName>
    <definedName name="yksikköhinta.rav">Taulukkotiedot!$D$14</definedName>
    <definedName name="yksikköhinta.spar">Taulukkotiedot!$D$13</definedName>
  </definedNames>
  <calcPr calcId="152511"/>
</workbook>
</file>

<file path=xl/calcChain.xml><?xml version="1.0" encoding="utf-8"?>
<calcChain xmlns="http://schemas.openxmlformats.org/spreadsheetml/2006/main">
  <c r="C14" i="1" l="1"/>
  <c r="C12" i="1"/>
  <c r="I4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3" i="4"/>
  <c r="B17" i="4"/>
  <c r="C17" i="4"/>
  <c r="D17" i="4"/>
  <c r="E17" i="4"/>
  <c r="F17" i="4"/>
  <c r="G17" i="4"/>
  <c r="H17" i="4"/>
  <c r="H102" i="4"/>
  <c r="G102" i="4"/>
  <c r="F102" i="4"/>
  <c r="H101" i="4"/>
  <c r="G101" i="4"/>
  <c r="F101" i="4"/>
  <c r="H100" i="4"/>
  <c r="G100" i="4"/>
  <c r="F100" i="4"/>
  <c r="H99" i="4"/>
  <c r="G99" i="4"/>
  <c r="F99" i="4"/>
  <c r="H98" i="4"/>
  <c r="G98" i="4"/>
  <c r="F98" i="4"/>
  <c r="H97" i="4"/>
  <c r="G97" i="4"/>
  <c r="F97" i="4"/>
  <c r="H96" i="4"/>
  <c r="G96" i="4"/>
  <c r="F96" i="4"/>
  <c r="H95" i="4"/>
  <c r="G95" i="4"/>
  <c r="F95" i="4"/>
  <c r="H94" i="4"/>
  <c r="G94" i="4"/>
  <c r="F94" i="4"/>
  <c r="H93" i="4"/>
  <c r="G93" i="4"/>
  <c r="F93" i="4"/>
  <c r="H92" i="4"/>
  <c r="G92" i="4"/>
  <c r="F92" i="4"/>
  <c r="H91" i="4"/>
  <c r="G91" i="4"/>
  <c r="F91" i="4"/>
  <c r="H90" i="4"/>
  <c r="G90" i="4"/>
  <c r="F90" i="4"/>
  <c r="H89" i="4"/>
  <c r="G89" i="4"/>
  <c r="F89" i="4"/>
  <c r="H88" i="4"/>
  <c r="G88" i="4"/>
  <c r="F88" i="4"/>
  <c r="H87" i="4"/>
  <c r="G87" i="4"/>
  <c r="F87" i="4"/>
  <c r="H86" i="4"/>
  <c r="G86" i="4"/>
  <c r="F86" i="4"/>
  <c r="H85" i="4"/>
  <c r="G85" i="4"/>
  <c r="F85" i="4"/>
  <c r="H84" i="4"/>
  <c r="G84" i="4"/>
  <c r="F84" i="4"/>
  <c r="H83" i="4"/>
  <c r="G83" i="4"/>
  <c r="F83" i="4"/>
  <c r="H82" i="4"/>
  <c r="G82" i="4"/>
  <c r="F82" i="4"/>
  <c r="H81" i="4"/>
  <c r="G81" i="4"/>
  <c r="F81" i="4"/>
  <c r="H80" i="4"/>
  <c r="G80" i="4"/>
  <c r="F80" i="4"/>
  <c r="H79" i="4"/>
  <c r="G79" i="4"/>
  <c r="F79" i="4"/>
  <c r="H78" i="4"/>
  <c r="G78" i="4"/>
  <c r="F78" i="4"/>
  <c r="H77" i="4"/>
  <c r="G77" i="4"/>
  <c r="F77" i="4"/>
  <c r="H76" i="4"/>
  <c r="G76" i="4"/>
  <c r="F76" i="4"/>
  <c r="H75" i="4"/>
  <c r="G75" i="4"/>
  <c r="F75" i="4"/>
  <c r="H74" i="4"/>
  <c r="G74" i="4"/>
  <c r="F74" i="4"/>
  <c r="H73" i="4"/>
  <c r="G73" i="4"/>
  <c r="F73" i="4"/>
  <c r="H72" i="4"/>
  <c r="G72" i="4"/>
  <c r="F72" i="4"/>
  <c r="H71" i="4"/>
  <c r="G71" i="4"/>
  <c r="F71" i="4"/>
  <c r="H70" i="4"/>
  <c r="G70" i="4"/>
  <c r="F70" i="4"/>
  <c r="H69" i="4"/>
  <c r="G69" i="4"/>
  <c r="F69" i="4"/>
  <c r="H68" i="4"/>
  <c r="G68" i="4"/>
  <c r="F68" i="4"/>
  <c r="H67" i="4"/>
  <c r="G67" i="4"/>
  <c r="F67" i="4"/>
  <c r="H66" i="4"/>
  <c r="G66" i="4"/>
  <c r="F66" i="4"/>
  <c r="H65" i="4"/>
  <c r="G65" i="4"/>
  <c r="F65" i="4"/>
  <c r="H64" i="4"/>
  <c r="G64" i="4"/>
  <c r="F64" i="4"/>
  <c r="H63" i="4"/>
  <c r="G63" i="4"/>
  <c r="F63" i="4"/>
  <c r="H62" i="4"/>
  <c r="G62" i="4"/>
  <c r="F62" i="4"/>
  <c r="H61" i="4"/>
  <c r="G61" i="4"/>
  <c r="F61" i="4"/>
  <c r="H60" i="4"/>
  <c r="G60" i="4"/>
  <c r="F60" i="4"/>
  <c r="H59" i="4"/>
  <c r="G59" i="4"/>
  <c r="F59" i="4"/>
  <c r="H58" i="4"/>
  <c r="G58" i="4"/>
  <c r="F58" i="4"/>
  <c r="H57" i="4"/>
  <c r="G57" i="4"/>
  <c r="F57" i="4"/>
  <c r="H56" i="4"/>
  <c r="G56" i="4"/>
  <c r="F56" i="4"/>
  <c r="H55" i="4"/>
  <c r="G55" i="4"/>
  <c r="F55" i="4"/>
  <c r="H54" i="4"/>
  <c r="G54" i="4"/>
  <c r="F54" i="4"/>
  <c r="H53" i="4"/>
  <c r="G53" i="4"/>
  <c r="F53" i="4"/>
  <c r="H52" i="4"/>
  <c r="G52" i="4"/>
  <c r="F52" i="4"/>
  <c r="H51" i="4"/>
  <c r="G51" i="4"/>
  <c r="F51" i="4"/>
  <c r="H50" i="4"/>
  <c r="G50" i="4"/>
  <c r="F50" i="4"/>
  <c r="H49" i="4"/>
  <c r="G49" i="4"/>
  <c r="F49" i="4"/>
  <c r="H48" i="4"/>
  <c r="G48" i="4"/>
  <c r="F48" i="4"/>
  <c r="H47" i="4"/>
  <c r="G47" i="4"/>
  <c r="F47" i="4"/>
  <c r="H46" i="4"/>
  <c r="G46" i="4"/>
  <c r="F46" i="4"/>
  <c r="H45" i="4"/>
  <c r="G45" i="4"/>
  <c r="F45" i="4"/>
  <c r="H44" i="4"/>
  <c r="G44" i="4"/>
  <c r="F44" i="4"/>
  <c r="H43" i="4"/>
  <c r="G43" i="4"/>
  <c r="F43" i="4"/>
  <c r="H42" i="4"/>
  <c r="G42" i="4"/>
  <c r="F42" i="4"/>
  <c r="H41" i="4"/>
  <c r="G41" i="4"/>
  <c r="F41" i="4"/>
  <c r="H40" i="4"/>
  <c r="G40" i="4"/>
  <c r="F40" i="4"/>
  <c r="H39" i="4"/>
  <c r="G39" i="4"/>
  <c r="F39" i="4"/>
  <c r="H38" i="4"/>
  <c r="G38" i="4"/>
  <c r="F38" i="4"/>
  <c r="H37" i="4"/>
  <c r="G37" i="4"/>
  <c r="F37" i="4"/>
  <c r="H36" i="4"/>
  <c r="G36" i="4"/>
  <c r="F36" i="4"/>
  <c r="H35" i="4"/>
  <c r="G35" i="4"/>
  <c r="F35" i="4"/>
  <c r="H34" i="4"/>
  <c r="G34" i="4"/>
  <c r="F34" i="4"/>
  <c r="H33" i="4"/>
  <c r="G33" i="4"/>
  <c r="F33" i="4"/>
  <c r="H32" i="4"/>
  <c r="G32" i="4"/>
  <c r="F32" i="4"/>
  <c r="H31" i="4"/>
  <c r="G31" i="4"/>
  <c r="F31" i="4"/>
  <c r="H30" i="4"/>
  <c r="G30" i="4"/>
  <c r="F30" i="4"/>
  <c r="H29" i="4"/>
  <c r="G29" i="4"/>
  <c r="F29" i="4"/>
  <c r="H28" i="4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H4" i="4"/>
  <c r="G4" i="4"/>
  <c r="F4" i="4"/>
  <c r="H3" i="4"/>
  <c r="G3" i="4"/>
  <c r="F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H2" i="4"/>
  <c r="G2" i="4"/>
  <c r="F2" i="4"/>
  <c r="E2" i="4"/>
  <c r="D2" i="4"/>
  <c r="C2" i="4"/>
  <c r="B2" i="4"/>
  <c r="G2" i="2" l="1"/>
  <c r="B1" i="2"/>
  <c r="G21" i="2" s="1"/>
  <c r="I2" i="2"/>
  <c r="G1" i="2"/>
  <c r="D2" i="2"/>
  <c r="D1" i="2"/>
  <c r="S2" i="4"/>
  <c r="R2" i="4"/>
  <c r="A4" i="4"/>
  <c r="A5" i="4" s="1"/>
  <c r="F13" i="2"/>
  <c r="F32" i="2"/>
  <c r="F35" i="2" s="1"/>
  <c r="F19" i="2"/>
  <c r="I1" i="2" l="1"/>
  <c r="F9" i="2"/>
  <c r="F10" i="2"/>
  <c r="F8" i="2"/>
  <c r="F23" i="2"/>
  <c r="Q18" i="4" s="1"/>
  <c r="F4" i="2"/>
  <c r="F6" i="2"/>
  <c r="P4" i="4"/>
  <c r="P6" i="4"/>
  <c r="P8" i="4"/>
  <c r="P10" i="4"/>
  <c r="P12" i="4"/>
  <c r="P14" i="4"/>
  <c r="P16" i="4"/>
  <c r="P18" i="4"/>
  <c r="P20" i="4"/>
  <c r="P22" i="4"/>
  <c r="P24" i="4"/>
  <c r="P26" i="4"/>
  <c r="P28" i="4"/>
  <c r="P30" i="4"/>
  <c r="P32" i="4"/>
  <c r="P34" i="4"/>
  <c r="P36" i="4"/>
  <c r="P38" i="4"/>
  <c r="P40" i="4"/>
  <c r="P42" i="4"/>
  <c r="P44" i="4"/>
  <c r="P46" i="4"/>
  <c r="P48" i="4"/>
  <c r="P50" i="4"/>
  <c r="P52" i="4"/>
  <c r="P54" i="4"/>
  <c r="P56" i="4"/>
  <c r="P58" i="4"/>
  <c r="P60" i="4"/>
  <c r="P62" i="4"/>
  <c r="P64" i="4"/>
  <c r="P66" i="4"/>
  <c r="P68" i="4"/>
  <c r="P70" i="4"/>
  <c r="P72" i="4"/>
  <c r="P74" i="4"/>
  <c r="P76" i="4"/>
  <c r="P78" i="4"/>
  <c r="P80" i="4"/>
  <c r="P82" i="4"/>
  <c r="P84" i="4"/>
  <c r="P86" i="4"/>
  <c r="P88" i="4"/>
  <c r="P90" i="4"/>
  <c r="P92" i="4"/>
  <c r="P94" i="4"/>
  <c r="P96" i="4"/>
  <c r="P98" i="4"/>
  <c r="P100" i="4"/>
  <c r="P102" i="4"/>
  <c r="P3" i="4"/>
  <c r="P5" i="4"/>
  <c r="P7" i="4"/>
  <c r="P9" i="4"/>
  <c r="P11" i="4"/>
  <c r="P13" i="4"/>
  <c r="P15" i="4"/>
  <c r="P17" i="4"/>
  <c r="P19" i="4"/>
  <c r="P21" i="4"/>
  <c r="P23" i="4"/>
  <c r="P25" i="4"/>
  <c r="P27" i="4"/>
  <c r="P29" i="4"/>
  <c r="P31" i="4"/>
  <c r="P33" i="4"/>
  <c r="P35" i="4"/>
  <c r="P37" i="4"/>
  <c r="P39" i="4"/>
  <c r="P41" i="4"/>
  <c r="P43" i="4"/>
  <c r="P45" i="4"/>
  <c r="P47" i="4"/>
  <c r="P49" i="4"/>
  <c r="P51" i="4"/>
  <c r="P53" i="4"/>
  <c r="P55" i="4"/>
  <c r="P57" i="4"/>
  <c r="P59" i="4"/>
  <c r="P61" i="4"/>
  <c r="P63" i="4"/>
  <c r="P65" i="4"/>
  <c r="P67" i="4"/>
  <c r="P69" i="4"/>
  <c r="P71" i="4"/>
  <c r="P73" i="4"/>
  <c r="P75" i="4"/>
  <c r="P77" i="4"/>
  <c r="P79" i="4"/>
  <c r="P81" i="4"/>
  <c r="P83" i="4"/>
  <c r="P85" i="4"/>
  <c r="P87" i="4"/>
  <c r="P89" i="4"/>
  <c r="P91" i="4"/>
  <c r="P93" i="4"/>
  <c r="P95" i="4"/>
  <c r="P97" i="4"/>
  <c r="P99" i="4"/>
  <c r="P101" i="4"/>
  <c r="P2" i="4"/>
  <c r="F15" i="2"/>
  <c r="L4" i="4" s="1"/>
  <c r="F5" i="2"/>
  <c r="F7" i="2"/>
  <c r="F14" i="2"/>
  <c r="F16" i="2"/>
  <c r="M3" i="4" s="1"/>
  <c r="J3" i="4"/>
  <c r="J5" i="4"/>
  <c r="A6" i="4"/>
  <c r="J4" i="4" l="1"/>
  <c r="K3" i="4"/>
  <c r="Q16" i="4"/>
  <c r="Q89" i="4"/>
  <c r="Q8" i="4"/>
  <c r="Q73" i="4"/>
  <c r="Q11" i="4"/>
  <c r="Q98" i="4"/>
  <c r="Q29" i="4"/>
  <c r="Q4" i="4"/>
  <c r="Q12" i="4"/>
  <c r="Q97" i="4"/>
  <c r="Q81" i="4"/>
  <c r="Q100" i="4"/>
  <c r="Q84" i="4"/>
  <c r="Q69" i="4"/>
  <c r="Q60" i="4"/>
  <c r="Q52" i="4"/>
  <c r="Q44" i="4"/>
  <c r="Q36" i="4"/>
  <c r="Q28" i="4"/>
  <c r="Q20" i="4"/>
  <c r="Q92" i="4"/>
  <c r="Q76" i="4"/>
  <c r="Q65" i="4"/>
  <c r="Q56" i="4"/>
  <c r="Q48" i="4"/>
  <c r="Q40" i="4"/>
  <c r="Q32" i="4"/>
  <c r="Q24" i="4"/>
  <c r="Q3" i="4"/>
  <c r="Q83" i="4"/>
  <c r="Q102" i="4"/>
  <c r="Q86" i="4"/>
  <c r="Q70" i="4"/>
  <c r="Q61" i="4"/>
  <c r="Q53" i="4"/>
  <c r="Q45" i="4"/>
  <c r="Q37" i="4"/>
  <c r="Q21" i="4"/>
  <c r="Q7" i="4"/>
  <c r="Q15" i="4"/>
  <c r="Q91" i="4"/>
  <c r="Q75" i="4"/>
  <c r="Q94" i="4"/>
  <c r="Q78" i="4"/>
  <c r="Q66" i="4"/>
  <c r="Q57" i="4"/>
  <c r="Q49" i="4"/>
  <c r="Q41" i="4"/>
  <c r="Q33" i="4"/>
  <c r="Q25" i="4"/>
  <c r="Q2" i="4"/>
  <c r="U2" i="4" s="1"/>
  <c r="Q5" i="4"/>
  <c r="Q9" i="4"/>
  <c r="Q13" i="4"/>
  <c r="Q17" i="4"/>
  <c r="Q95" i="4"/>
  <c r="Q87" i="4"/>
  <c r="Q79" i="4"/>
  <c r="Q71" i="4"/>
  <c r="Q99" i="4"/>
  <c r="Q90" i="4"/>
  <c r="Q82" i="4"/>
  <c r="Q74" i="4"/>
  <c r="Q68" i="4"/>
  <c r="Q64" i="4"/>
  <c r="Q59" i="4"/>
  <c r="Q55" i="4"/>
  <c r="Q51" i="4"/>
  <c r="Q47" i="4"/>
  <c r="Q43" i="4"/>
  <c r="Q39" i="4"/>
  <c r="Q35" i="4"/>
  <c r="Q31" i="4"/>
  <c r="Q27" i="4"/>
  <c r="Q23" i="4"/>
  <c r="Q19" i="4"/>
  <c r="L3" i="4"/>
  <c r="Q6" i="4"/>
  <c r="Q10" i="4"/>
  <c r="Q14" i="4"/>
  <c r="Q101" i="4"/>
  <c r="Q93" i="4"/>
  <c r="Q85" i="4"/>
  <c r="Q77" i="4"/>
  <c r="Q63" i="4"/>
  <c r="Q96" i="4"/>
  <c r="Q88" i="4"/>
  <c r="Q80" i="4"/>
  <c r="Q72" i="4"/>
  <c r="Q67" i="4"/>
  <c r="Q62" i="4"/>
  <c r="Q58" i="4"/>
  <c r="Q54" i="4"/>
  <c r="Q50" i="4"/>
  <c r="Q46" i="4"/>
  <c r="Q42" i="4"/>
  <c r="Q38" i="4"/>
  <c r="Q34" i="4"/>
  <c r="Q30" i="4"/>
  <c r="Q26" i="4"/>
  <c r="Q22" i="4"/>
  <c r="M5" i="4"/>
  <c r="K5" i="4"/>
  <c r="M4" i="4"/>
  <c r="K4" i="4"/>
  <c r="K6" i="4"/>
  <c r="M6" i="4"/>
  <c r="J6" i="4"/>
  <c r="L6" i="4"/>
  <c r="L5" i="4"/>
  <c r="A7" i="4"/>
  <c r="N3" i="4" l="1"/>
  <c r="V2" i="4"/>
  <c r="N5" i="4"/>
  <c r="N4" i="4"/>
  <c r="N6" i="4"/>
  <c r="K7" i="4"/>
  <c r="M7" i="4"/>
  <c r="J7" i="4"/>
  <c r="L7" i="4"/>
  <c r="A8" i="4"/>
  <c r="N7" i="4" l="1"/>
  <c r="K8" i="4"/>
  <c r="M8" i="4"/>
  <c r="J8" i="4"/>
  <c r="L8" i="4"/>
  <c r="A9" i="4"/>
  <c r="K9" i="4" l="1"/>
  <c r="M9" i="4"/>
  <c r="J9" i="4"/>
  <c r="L9" i="4"/>
  <c r="N8" i="4"/>
  <c r="A10" i="4"/>
  <c r="N9" i="4" l="1"/>
  <c r="K10" i="4"/>
  <c r="M10" i="4"/>
  <c r="J10" i="4"/>
  <c r="L10" i="4"/>
  <c r="A11" i="4"/>
  <c r="K11" i="4" l="1"/>
  <c r="M11" i="4"/>
  <c r="J11" i="4"/>
  <c r="L11" i="4"/>
  <c r="N10" i="4"/>
  <c r="A12" i="4"/>
  <c r="N11" i="4" l="1"/>
  <c r="K12" i="4"/>
  <c r="M12" i="4"/>
  <c r="J12" i="4"/>
  <c r="L12" i="4"/>
  <c r="A13" i="4"/>
  <c r="N12" i="4" l="1"/>
  <c r="K13" i="4"/>
  <c r="M13" i="4"/>
  <c r="J13" i="4"/>
  <c r="L13" i="4"/>
  <c r="A14" i="4"/>
  <c r="N13" i="4" l="1"/>
  <c r="K14" i="4"/>
  <c r="M14" i="4"/>
  <c r="J14" i="4"/>
  <c r="L14" i="4"/>
  <c r="A15" i="4"/>
  <c r="N14" i="4" l="1"/>
  <c r="K15" i="4"/>
  <c r="M15" i="4"/>
  <c r="J15" i="4"/>
  <c r="L15" i="4"/>
  <c r="A16" i="4"/>
  <c r="N15" i="4" l="1"/>
  <c r="K16" i="4"/>
  <c r="M16" i="4"/>
  <c r="J16" i="4"/>
  <c r="L16" i="4"/>
  <c r="A17" i="4"/>
  <c r="N16" i="4" l="1"/>
  <c r="K17" i="4"/>
  <c r="M17" i="4"/>
  <c r="J17" i="4"/>
  <c r="L17" i="4"/>
  <c r="A18" i="4"/>
  <c r="N17" i="4" l="1"/>
  <c r="K18" i="4"/>
  <c r="M18" i="4"/>
  <c r="J18" i="4"/>
  <c r="L18" i="4"/>
  <c r="A19" i="4"/>
  <c r="N18" i="4" l="1"/>
  <c r="K19" i="4"/>
  <c r="M19" i="4"/>
  <c r="J19" i="4"/>
  <c r="L19" i="4"/>
  <c r="A20" i="4"/>
  <c r="N19" i="4" l="1"/>
  <c r="K20" i="4"/>
  <c r="M20" i="4"/>
  <c r="J20" i="4"/>
  <c r="L20" i="4"/>
  <c r="A21" i="4"/>
  <c r="N20" i="4" l="1"/>
  <c r="K21" i="4"/>
  <c r="M21" i="4"/>
  <c r="J21" i="4"/>
  <c r="L21" i="4"/>
  <c r="A22" i="4"/>
  <c r="N21" i="4" l="1"/>
  <c r="K22" i="4"/>
  <c r="M22" i="4"/>
  <c r="J22" i="4"/>
  <c r="L22" i="4"/>
  <c r="A23" i="4"/>
  <c r="N22" i="4" l="1"/>
  <c r="K23" i="4"/>
  <c r="M23" i="4"/>
  <c r="J23" i="4"/>
  <c r="L23" i="4"/>
  <c r="A24" i="4"/>
  <c r="N23" i="4" l="1"/>
  <c r="K24" i="4"/>
  <c r="M24" i="4"/>
  <c r="J24" i="4"/>
  <c r="L24" i="4"/>
  <c r="A25" i="4"/>
  <c r="N24" i="4" l="1"/>
  <c r="K25" i="4"/>
  <c r="M25" i="4"/>
  <c r="J25" i="4"/>
  <c r="L25" i="4"/>
  <c r="A26" i="4"/>
  <c r="N25" i="4" l="1"/>
  <c r="K26" i="4"/>
  <c r="M26" i="4"/>
  <c r="J26" i="4"/>
  <c r="L26" i="4"/>
  <c r="A27" i="4"/>
  <c r="N26" i="4" l="1"/>
  <c r="K27" i="4"/>
  <c r="M27" i="4"/>
  <c r="J27" i="4"/>
  <c r="L27" i="4"/>
  <c r="A28" i="4"/>
  <c r="N27" i="4" l="1"/>
  <c r="K28" i="4"/>
  <c r="M28" i="4"/>
  <c r="J28" i="4"/>
  <c r="L28" i="4"/>
  <c r="A29" i="4"/>
  <c r="N28" i="4" l="1"/>
  <c r="K29" i="4"/>
  <c r="M29" i="4"/>
  <c r="J29" i="4"/>
  <c r="L29" i="4"/>
  <c r="A30" i="4"/>
  <c r="N29" i="4" l="1"/>
  <c r="K30" i="4"/>
  <c r="M30" i="4"/>
  <c r="J30" i="4"/>
  <c r="L30" i="4"/>
  <c r="A31" i="4"/>
  <c r="N30" i="4" l="1"/>
  <c r="K31" i="4"/>
  <c r="M31" i="4"/>
  <c r="J31" i="4"/>
  <c r="L31" i="4"/>
  <c r="A32" i="4"/>
  <c r="N31" i="4" l="1"/>
  <c r="K32" i="4"/>
  <c r="M32" i="4"/>
  <c r="J32" i="4"/>
  <c r="L32" i="4"/>
  <c r="A33" i="4"/>
  <c r="N32" i="4" l="1"/>
  <c r="K33" i="4"/>
  <c r="M33" i="4"/>
  <c r="J33" i="4"/>
  <c r="L33" i="4"/>
  <c r="A34" i="4"/>
  <c r="N33" i="4" l="1"/>
  <c r="K34" i="4"/>
  <c r="M34" i="4"/>
  <c r="J34" i="4"/>
  <c r="L34" i="4"/>
  <c r="A35" i="4"/>
  <c r="N34" i="4" l="1"/>
  <c r="K35" i="4"/>
  <c r="M35" i="4"/>
  <c r="J35" i="4"/>
  <c r="L35" i="4"/>
  <c r="A36" i="4"/>
  <c r="N35" i="4" l="1"/>
  <c r="K36" i="4"/>
  <c r="M36" i="4"/>
  <c r="J36" i="4"/>
  <c r="L36" i="4"/>
  <c r="A37" i="4"/>
  <c r="N36" i="4" l="1"/>
  <c r="K37" i="4"/>
  <c r="M37" i="4"/>
  <c r="J37" i="4"/>
  <c r="L37" i="4"/>
  <c r="A38" i="4"/>
  <c r="N37" i="4" l="1"/>
  <c r="K38" i="4"/>
  <c r="M38" i="4"/>
  <c r="J38" i="4"/>
  <c r="L38" i="4"/>
  <c r="A39" i="4"/>
  <c r="N38" i="4" l="1"/>
  <c r="K39" i="4"/>
  <c r="M39" i="4"/>
  <c r="J39" i="4"/>
  <c r="L39" i="4"/>
  <c r="A40" i="4"/>
  <c r="K40" i="4" l="1"/>
  <c r="M40" i="4"/>
  <c r="J40" i="4"/>
  <c r="L40" i="4"/>
  <c r="N39" i="4"/>
  <c r="A41" i="4"/>
  <c r="N40" i="4" l="1"/>
  <c r="K41" i="4"/>
  <c r="M41" i="4"/>
  <c r="J41" i="4"/>
  <c r="L41" i="4"/>
  <c r="A42" i="4"/>
  <c r="N41" i="4" l="1"/>
  <c r="K42" i="4"/>
  <c r="M42" i="4"/>
  <c r="J42" i="4"/>
  <c r="L42" i="4"/>
  <c r="A43" i="4"/>
  <c r="N42" i="4" l="1"/>
  <c r="K43" i="4"/>
  <c r="M43" i="4"/>
  <c r="J43" i="4"/>
  <c r="L43" i="4"/>
  <c r="A44" i="4"/>
  <c r="N43" i="4" l="1"/>
  <c r="K44" i="4"/>
  <c r="M44" i="4"/>
  <c r="J44" i="4"/>
  <c r="L44" i="4"/>
  <c r="A45" i="4"/>
  <c r="N44" i="4" l="1"/>
  <c r="K45" i="4"/>
  <c r="M45" i="4"/>
  <c r="J45" i="4"/>
  <c r="L45" i="4"/>
  <c r="A46" i="4"/>
  <c r="N45" i="4" l="1"/>
  <c r="K46" i="4"/>
  <c r="M46" i="4"/>
  <c r="J46" i="4"/>
  <c r="L46" i="4"/>
  <c r="A47" i="4"/>
  <c r="N46" i="4" l="1"/>
  <c r="K47" i="4"/>
  <c r="M47" i="4"/>
  <c r="J47" i="4"/>
  <c r="L47" i="4"/>
  <c r="A48" i="4"/>
  <c r="N47" i="4" l="1"/>
  <c r="K48" i="4"/>
  <c r="M48" i="4"/>
  <c r="J48" i="4"/>
  <c r="L48" i="4"/>
  <c r="A49" i="4"/>
  <c r="N48" i="4" l="1"/>
  <c r="K49" i="4"/>
  <c r="M49" i="4"/>
  <c r="J49" i="4"/>
  <c r="L49" i="4"/>
  <c r="A50" i="4"/>
  <c r="N49" i="4" l="1"/>
  <c r="K50" i="4"/>
  <c r="M50" i="4"/>
  <c r="J50" i="4"/>
  <c r="L50" i="4"/>
  <c r="A51" i="4"/>
  <c r="N50" i="4" l="1"/>
  <c r="K51" i="4"/>
  <c r="M51" i="4"/>
  <c r="J51" i="4"/>
  <c r="L51" i="4"/>
  <c r="A52" i="4"/>
  <c r="N51" i="4" l="1"/>
  <c r="K52" i="4"/>
  <c r="M52" i="4"/>
  <c r="J52" i="4"/>
  <c r="L52" i="4"/>
  <c r="A53" i="4"/>
  <c r="N52" i="4" l="1"/>
  <c r="K53" i="4"/>
  <c r="M53" i="4"/>
  <c r="J53" i="4"/>
  <c r="L53" i="4"/>
  <c r="A54" i="4"/>
  <c r="N53" i="4" l="1"/>
  <c r="K54" i="4"/>
  <c r="M54" i="4"/>
  <c r="J54" i="4"/>
  <c r="L54" i="4"/>
  <c r="A55" i="4"/>
  <c r="N54" i="4" l="1"/>
  <c r="K55" i="4"/>
  <c r="M55" i="4"/>
  <c r="J55" i="4"/>
  <c r="L55" i="4"/>
  <c r="A56" i="4"/>
  <c r="N55" i="4" l="1"/>
  <c r="K56" i="4"/>
  <c r="M56" i="4"/>
  <c r="J56" i="4"/>
  <c r="L56" i="4"/>
  <c r="A57" i="4"/>
  <c r="N56" i="4" l="1"/>
  <c r="K57" i="4"/>
  <c r="M57" i="4"/>
  <c r="J57" i="4"/>
  <c r="L57" i="4"/>
  <c r="A58" i="4"/>
  <c r="N57" i="4" l="1"/>
  <c r="K58" i="4"/>
  <c r="M58" i="4"/>
  <c r="J58" i="4"/>
  <c r="L58" i="4"/>
  <c r="A59" i="4"/>
  <c r="N58" i="4" l="1"/>
  <c r="K59" i="4"/>
  <c r="M59" i="4"/>
  <c r="J59" i="4"/>
  <c r="L59" i="4"/>
  <c r="A60" i="4"/>
  <c r="N59" i="4" l="1"/>
  <c r="K60" i="4"/>
  <c r="M60" i="4"/>
  <c r="J60" i="4"/>
  <c r="L60" i="4"/>
  <c r="A61" i="4"/>
  <c r="K61" i="4" l="1"/>
  <c r="M61" i="4"/>
  <c r="J61" i="4"/>
  <c r="L61" i="4"/>
  <c r="N60" i="4"/>
  <c r="A62" i="4"/>
  <c r="N61" i="4" l="1"/>
  <c r="K62" i="4"/>
  <c r="M62" i="4"/>
  <c r="J62" i="4"/>
  <c r="L62" i="4"/>
  <c r="A63" i="4"/>
  <c r="N62" i="4" l="1"/>
  <c r="K63" i="4"/>
  <c r="M63" i="4"/>
  <c r="J63" i="4"/>
  <c r="L63" i="4"/>
  <c r="A64" i="4"/>
  <c r="N63" i="4" l="1"/>
  <c r="K64" i="4"/>
  <c r="M64" i="4"/>
  <c r="J64" i="4"/>
  <c r="L64" i="4"/>
  <c r="A65" i="4"/>
  <c r="K65" i="4" l="1"/>
  <c r="M65" i="4"/>
  <c r="J65" i="4"/>
  <c r="L65" i="4"/>
  <c r="N64" i="4"/>
  <c r="A66" i="4"/>
  <c r="N65" i="4" l="1"/>
  <c r="K66" i="4"/>
  <c r="M66" i="4"/>
  <c r="J66" i="4"/>
  <c r="L66" i="4"/>
  <c r="A67" i="4"/>
  <c r="N66" i="4" l="1"/>
  <c r="K67" i="4"/>
  <c r="M67" i="4"/>
  <c r="J67" i="4"/>
  <c r="L67" i="4"/>
  <c r="A68" i="4"/>
  <c r="N67" i="4" l="1"/>
  <c r="K68" i="4"/>
  <c r="M68" i="4"/>
  <c r="J68" i="4"/>
  <c r="L68" i="4"/>
  <c r="A69" i="4"/>
  <c r="N68" i="4" l="1"/>
  <c r="K69" i="4"/>
  <c r="M69" i="4"/>
  <c r="J69" i="4"/>
  <c r="L69" i="4"/>
  <c r="A70" i="4"/>
  <c r="N69" i="4" l="1"/>
  <c r="K70" i="4"/>
  <c r="M70" i="4"/>
  <c r="J70" i="4"/>
  <c r="L70" i="4"/>
  <c r="A71" i="4"/>
  <c r="K71" i="4" l="1"/>
  <c r="M71" i="4"/>
  <c r="J71" i="4"/>
  <c r="L71" i="4"/>
  <c r="N70" i="4"/>
  <c r="A72" i="4"/>
  <c r="N71" i="4" l="1"/>
  <c r="K72" i="4"/>
  <c r="M72" i="4"/>
  <c r="J72" i="4"/>
  <c r="L72" i="4"/>
  <c r="A73" i="4"/>
  <c r="N72" i="4" l="1"/>
  <c r="K73" i="4"/>
  <c r="M73" i="4"/>
  <c r="J73" i="4"/>
  <c r="L73" i="4"/>
  <c r="A74" i="4"/>
  <c r="N73" i="4" l="1"/>
  <c r="K74" i="4"/>
  <c r="M74" i="4"/>
  <c r="J74" i="4"/>
  <c r="L74" i="4"/>
  <c r="A75" i="4"/>
  <c r="N74" i="4" l="1"/>
  <c r="K75" i="4"/>
  <c r="M75" i="4"/>
  <c r="J75" i="4"/>
  <c r="L75" i="4"/>
  <c r="A76" i="4"/>
  <c r="N75" i="4" l="1"/>
  <c r="K76" i="4"/>
  <c r="M76" i="4"/>
  <c r="J76" i="4"/>
  <c r="L76" i="4"/>
  <c r="A77" i="4"/>
  <c r="K77" i="4" l="1"/>
  <c r="M77" i="4"/>
  <c r="J77" i="4"/>
  <c r="L77" i="4"/>
  <c r="N76" i="4"/>
  <c r="A78" i="4"/>
  <c r="N77" i="4" l="1"/>
  <c r="K78" i="4"/>
  <c r="M78" i="4"/>
  <c r="J78" i="4"/>
  <c r="L78" i="4"/>
  <c r="A79" i="4"/>
  <c r="N78" i="4" l="1"/>
  <c r="K79" i="4"/>
  <c r="M79" i="4"/>
  <c r="J79" i="4"/>
  <c r="L79" i="4"/>
  <c r="A80" i="4"/>
  <c r="K80" i="4" l="1"/>
  <c r="M80" i="4"/>
  <c r="J80" i="4"/>
  <c r="L80" i="4"/>
  <c r="N79" i="4"/>
  <c r="A81" i="4"/>
  <c r="N80" i="4" l="1"/>
  <c r="K81" i="4"/>
  <c r="M81" i="4"/>
  <c r="J81" i="4"/>
  <c r="L81" i="4"/>
  <c r="A82" i="4"/>
  <c r="N81" i="4" l="1"/>
  <c r="K82" i="4"/>
  <c r="M82" i="4"/>
  <c r="J82" i="4"/>
  <c r="L82" i="4"/>
  <c r="A83" i="4"/>
  <c r="N82" i="4" l="1"/>
  <c r="K83" i="4"/>
  <c r="M83" i="4"/>
  <c r="J83" i="4"/>
  <c r="L83" i="4"/>
  <c r="A84" i="4"/>
  <c r="N83" i="4" l="1"/>
  <c r="K84" i="4"/>
  <c r="M84" i="4"/>
  <c r="J84" i="4"/>
  <c r="L84" i="4"/>
  <c r="A85" i="4"/>
  <c r="N84" i="4" l="1"/>
  <c r="K85" i="4"/>
  <c r="M85" i="4"/>
  <c r="J85" i="4"/>
  <c r="L85" i="4"/>
  <c r="A86" i="4"/>
  <c r="K86" i="4" l="1"/>
  <c r="M86" i="4"/>
  <c r="J86" i="4"/>
  <c r="L86" i="4"/>
  <c r="N85" i="4"/>
  <c r="A87" i="4"/>
  <c r="N86" i="4" l="1"/>
  <c r="K87" i="4"/>
  <c r="M87" i="4"/>
  <c r="J87" i="4"/>
  <c r="L87" i="4"/>
  <c r="A88" i="4"/>
  <c r="N87" i="4" l="1"/>
  <c r="K88" i="4"/>
  <c r="M88" i="4"/>
  <c r="J88" i="4"/>
  <c r="L88" i="4"/>
  <c r="A89" i="4"/>
  <c r="N88" i="4" l="1"/>
  <c r="K89" i="4"/>
  <c r="M89" i="4"/>
  <c r="J89" i="4"/>
  <c r="L89" i="4"/>
  <c r="A90" i="4"/>
  <c r="N89" i="4" l="1"/>
  <c r="K90" i="4"/>
  <c r="J90" i="4"/>
  <c r="M90" i="4"/>
  <c r="L90" i="4"/>
  <c r="A91" i="4"/>
  <c r="N90" i="4" l="1"/>
  <c r="K91" i="4"/>
  <c r="M91" i="4"/>
  <c r="J91" i="4"/>
  <c r="L91" i="4"/>
  <c r="A92" i="4"/>
  <c r="N91" i="4" l="1"/>
  <c r="K92" i="4"/>
  <c r="J92" i="4"/>
  <c r="M92" i="4"/>
  <c r="L92" i="4"/>
  <c r="A93" i="4"/>
  <c r="N92" i="4" l="1"/>
  <c r="K93" i="4"/>
  <c r="M93" i="4"/>
  <c r="J93" i="4"/>
  <c r="L93" i="4"/>
  <c r="A94" i="4"/>
  <c r="K94" i="4" l="1"/>
  <c r="J94" i="4"/>
  <c r="M94" i="4"/>
  <c r="L94" i="4"/>
  <c r="N93" i="4"/>
  <c r="A95" i="4"/>
  <c r="N94" i="4" l="1"/>
  <c r="K95" i="4"/>
  <c r="M95" i="4"/>
  <c r="J95" i="4"/>
  <c r="L95" i="4"/>
  <c r="A96" i="4"/>
  <c r="N95" i="4" l="1"/>
  <c r="K96" i="4"/>
  <c r="J96" i="4"/>
  <c r="M96" i="4"/>
  <c r="L96" i="4"/>
  <c r="A97" i="4"/>
  <c r="K97" i="4" l="1"/>
  <c r="M97" i="4"/>
  <c r="J97" i="4"/>
  <c r="L97" i="4"/>
  <c r="N96" i="4"/>
  <c r="A98" i="4"/>
  <c r="N97" i="4" l="1"/>
  <c r="K98" i="4"/>
  <c r="M98" i="4"/>
  <c r="J98" i="4"/>
  <c r="L98" i="4"/>
  <c r="A99" i="4"/>
  <c r="N98" i="4" l="1"/>
  <c r="K99" i="4"/>
  <c r="M99" i="4"/>
  <c r="J99" i="4"/>
  <c r="L99" i="4"/>
  <c r="A100" i="4"/>
  <c r="N99" i="4" l="1"/>
  <c r="K100" i="4"/>
  <c r="M100" i="4"/>
  <c r="J100" i="4"/>
  <c r="L100" i="4"/>
  <c r="A101" i="4"/>
  <c r="N100" i="4" l="1"/>
  <c r="K101" i="4"/>
  <c r="M101" i="4"/>
  <c r="J101" i="4"/>
  <c r="L101" i="4"/>
  <c r="A102" i="4"/>
  <c r="R101" i="4" l="1"/>
  <c r="K102" i="4"/>
  <c r="M102" i="4"/>
  <c r="J102" i="4"/>
  <c r="L102" i="4"/>
  <c r="N101" i="4"/>
  <c r="S101" i="4" s="1"/>
  <c r="R22" i="4"/>
  <c r="S80" i="4"/>
  <c r="S16" i="4"/>
  <c r="R21" i="4"/>
  <c r="R3" i="4"/>
  <c r="R5" i="4"/>
  <c r="R4" i="4"/>
  <c r="R6" i="4"/>
  <c r="R7" i="4"/>
  <c r="R8" i="4"/>
  <c r="R32" i="4"/>
  <c r="S17" i="4"/>
  <c r="S18" i="4"/>
  <c r="S20" i="4"/>
  <c r="S22" i="4"/>
  <c r="S24" i="4"/>
  <c r="S26" i="4"/>
  <c r="S28" i="4"/>
  <c r="S30" i="4"/>
  <c r="R33" i="4"/>
  <c r="S35" i="4"/>
  <c r="S37" i="4"/>
  <c r="R39" i="4"/>
  <c r="S42" i="4"/>
  <c r="S44" i="4"/>
  <c r="S46" i="4"/>
  <c r="S48" i="4"/>
  <c r="S50" i="4"/>
  <c r="R52" i="4"/>
  <c r="S54" i="4"/>
  <c r="S56" i="4"/>
  <c r="S58" i="4"/>
  <c r="S60" i="4"/>
  <c r="S62" i="4"/>
  <c r="S64" i="4"/>
  <c r="S66" i="4"/>
  <c r="R68" i="4"/>
  <c r="S70" i="4"/>
  <c r="S72" i="4"/>
  <c r="S74" i="4"/>
  <c r="S76" i="4"/>
  <c r="S78" i="4"/>
  <c r="R79" i="4"/>
  <c r="S81" i="4"/>
  <c r="S83" i="4"/>
  <c r="S85" i="4"/>
  <c r="S87" i="4"/>
  <c r="S89" i="4"/>
  <c r="S91" i="4"/>
  <c r="S93" i="4"/>
  <c r="S95" i="4"/>
  <c r="R96" i="4"/>
  <c r="R98" i="4"/>
  <c r="S100" i="4"/>
  <c r="R100" i="4"/>
  <c r="S9" i="4"/>
  <c r="R10" i="4"/>
  <c r="R11" i="4"/>
  <c r="S12" i="4"/>
  <c r="R13" i="4"/>
  <c r="R14" i="4"/>
  <c r="S15" i="4"/>
  <c r="S19" i="4"/>
  <c r="S21" i="4"/>
  <c r="R23" i="4"/>
  <c r="R25" i="4"/>
  <c r="R27" i="4"/>
  <c r="R29" i="4"/>
  <c r="R31" i="4"/>
  <c r="S34" i="4"/>
  <c r="R36" i="4"/>
  <c r="R38" i="4"/>
  <c r="R40" i="4"/>
  <c r="R41" i="4"/>
  <c r="R43" i="4"/>
  <c r="R45" i="4"/>
  <c r="R47" i="4"/>
  <c r="R49" i="4"/>
  <c r="R51" i="4"/>
  <c r="R53" i="4"/>
  <c r="S55" i="4"/>
  <c r="R57" i="4"/>
  <c r="R59" i="4"/>
  <c r="R61" i="4"/>
  <c r="R63" i="4"/>
  <c r="R65" i="4"/>
  <c r="R67" i="4"/>
  <c r="S69" i="4"/>
  <c r="R71" i="4"/>
  <c r="R73" i="4"/>
  <c r="R75" i="4"/>
  <c r="R77" i="4"/>
  <c r="R82" i="4"/>
  <c r="R84" i="4"/>
  <c r="R86" i="4"/>
  <c r="R88" i="4"/>
  <c r="R90" i="4"/>
  <c r="R92" i="4"/>
  <c r="R94" i="4"/>
  <c r="R97" i="4"/>
  <c r="R99" i="4"/>
  <c r="S3" i="4"/>
  <c r="S5" i="4"/>
  <c r="S4" i="4"/>
  <c r="S6" i="4"/>
  <c r="S7" i="4"/>
  <c r="S8" i="4"/>
  <c r="S32" i="4"/>
  <c r="S13" i="4"/>
  <c r="R16" i="4"/>
  <c r="R17" i="4"/>
  <c r="R18" i="4"/>
  <c r="S23" i="4"/>
  <c r="S25" i="4"/>
  <c r="S27" i="4"/>
  <c r="S29" i="4"/>
  <c r="S31" i="4"/>
  <c r="S33" i="4"/>
  <c r="R34" i="4"/>
  <c r="S36" i="4"/>
  <c r="S38" i="4"/>
  <c r="S41" i="4"/>
  <c r="S43" i="4"/>
  <c r="S45" i="4"/>
  <c r="S47" i="4"/>
  <c r="S49" i="4"/>
  <c r="S51" i="4"/>
  <c r="S53" i="4"/>
  <c r="R55" i="4"/>
  <c r="S57" i="4"/>
  <c r="S59" i="4"/>
  <c r="S61" i="4"/>
  <c r="S63" i="4"/>
  <c r="S65" i="4"/>
  <c r="S67" i="4"/>
  <c r="R69" i="4"/>
  <c r="S71" i="4"/>
  <c r="S73" i="4"/>
  <c r="S75" i="4"/>
  <c r="S77" i="4"/>
  <c r="S79" i="4"/>
  <c r="R80" i="4"/>
  <c r="S82" i="4"/>
  <c r="S84" i="4"/>
  <c r="S86" i="4"/>
  <c r="S88" i="4"/>
  <c r="S90" i="4"/>
  <c r="S92" i="4"/>
  <c r="S94" i="4"/>
  <c r="S96" i="4"/>
  <c r="S97" i="4"/>
  <c r="S99" i="4"/>
  <c r="R9" i="4"/>
  <c r="S10" i="4"/>
  <c r="S11" i="4"/>
  <c r="R12" i="4"/>
  <c r="S14" i="4"/>
  <c r="R15" i="4"/>
  <c r="R19" i="4"/>
  <c r="R20" i="4"/>
  <c r="R24" i="4"/>
  <c r="R26" i="4"/>
  <c r="R28" i="4"/>
  <c r="R30" i="4"/>
  <c r="R35" i="4"/>
  <c r="R37" i="4"/>
  <c r="S39" i="4"/>
  <c r="S40" i="4"/>
  <c r="R42" i="4"/>
  <c r="R44" i="4"/>
  <c r="R46" i="4"/>
  <c r="R48" i="4"/>
  <c r="R50" i="4"/>
  <c r="S52" i="4"/>
  <c r="R54" i="4"/>
  <c r="R56" i="4"/>
  <c r="R58" i="4"/>
  <c r="R60" i="4"/>
  <c r="R62" i="4"/>
  <c r="R64" i="4"/>
  <c r="R66" i="4"/>
  <c r="S68" i="4"/>
  <c r="R70" i="4"/>
  <c r="R72" i="4"/>
  <c r="R74" i="4"/>
  <c r="R76" i="4"/>
  <c r="R78" i="4"/>
  <c r="R81" i="4"/>
  <c r="R83" i="4"/>
  <c r="R85" i="4"/>
  <c r="R87" i="4"/>
  <c r="R89" i="4"/>
  <c r="R91" i="4"/>
  <c r="R93" i="4"/>
  <c r="R95" i="4"/>
  <c r="S98" i="4"/>
  <c r="R102" i="4" l="1"/>
  <c r="N102" i="4"/>
  <c r="S102" i="4" s="1"/>
  <c r="U93" i="4"/>
  <c r="V93" i="4"/>
  <c r="U89" i="4"/>
  <c r="V89" i="4"/>
  <c r="U85" i="4"/>
  <c r="V85" i="4"/>
  <c r="U81" i="4"/>
  <c r="V81" i="4"/>
  <c r="V76" i="4"/>
  <c r="U76" i="4"/>
  <c r="V72" i="4"/>
  <c r="U72" i="4"/>
  <c r="V64" i="4"/>
  <c r="U64" i="4"/>
  <c r="V60" i="4"/>
  <c r="U60" i="4"/>
  <c r="V56" i="4"/>
  <c r="U56" i="4"/>
  <c r="V48" i="4"/>
  <c r="U48" i="4"/>
  <c r="V44" i="4"/>
  <c r="U44" i="4"/>
  <c r="U37" i="4"/>
  <c r="V37" i="4"/>
  <c r="V30" i="4"/>
  <c r="U30" i="4"/>
  <c r="V26" i="4"/>
  <c r="U26" i="4"/>
  <c r="V22" i="4"/>
  <c r="U22" i="4"/>
  <c r="U19" i="4"/>
  <c r="V19" i="4"/>
  <c r="U9" i="4"/>
  <c r="V9" i="4"/>
  <c r="U55" i="4"/>
  <c r="V55" i="4"/>
  <c r="V34" i="4"/>
  <c r="U34" i="4"/>
  <c r="U17" i="4"/>
  <c r="V17" i="4"/>
  <c r="U97" i="4"/>
  <c r="V97" i="4"/>
  <c r="V92" i="4"/>
  <c r="U92" i="4"/>
  <c r="V88" i="4"/>
  <c r="U88" i="4"/>
  <c r="V84" i="4"/>
  <c r="U84" i="4"/>
  <c r="U77" i="4"/>
  <c r="V77" i="4"/>
  <c r="U73" i="4"/>
  <c r="V73" i="4"/>
  <c r="U65" i="4"/>
  <c r="V65" i="4"/>
  <c r="U61" i="4"/>
  <c r="V61" i="4"/>
  <c r="U57" i="4"/>
  <c r="V57" i="4"/>
  <c r="U53" i="4"/>
  <c r="V53" i="4"/>
  <c r="U49" i="4"/>
  <c r="V49" i="4"/>
  <c r="U45" i="4"/>
  <c r="V45" i="4"/>
  <c r="U41" i="4"/>
  <c r="V41" i="4"/>
  <c r="V38" i="4"/>
  <c r="U38" i="4"/>
  <c r="U29" i="4"/>
  <c r="V29" i="4"/>
  <c r="U25" i="4"/>
  <c r="V25" i="4"/>
  <c r="U13" i="4"/>
  <c r="V13" i="4"/>
  <c r="U11" i="4"/>
  <c r="V11" i="4"/>
  <c r="V96" i="4"/>
  <c r="U96" i="4"/>
  <c r="U33" i="4"/>
  <c r="V33" i="4"/>
  <c r="V8" i="4"/>
  <c r="U8" i="4"/>
  <c r="V6" i="4"/>
  <c r="U6" i="4"/>
  <c r="U5" i="4"/>
  <c r="V5" i="4"/>
  <c r="U21" i="4"/>
  <c r="V21" i="4"/>
  <c r="U101" i="4"/>
  <c r="V101" i="4"/>
  <c r="U95" i="4"/>
  <c r="V95" i="4"/>
  <c r="U91" i="4"/>
  <c r="V91" i="4"/>
  <c r="U87" i="4"/>
  <c r="V87" i="4"/>
  <c r="U83" i="4"/>
  <c r="V83" i="4"/>
  <c r="V78" i="4"/>
  <c r="U78" i="4"/>
  <c r="V74" i="4"/>
  <c r="U74" i="4"/>
  <c r="V70" i="4"/>
  <c r="U70" i="4"/>
  <c r="V66" i="4"/>
  <c r="U66" i="4"/>
  <c r="V62" i="4"/>
  <c r="U62" i="4"/>
  <c r="V58" i="4"/>
  <c r="U58" i="4"/>
  <c r="V54" i="4"/>
  <c r="U54" i="4"/>
  <c r="V50" i="4"/>
  <c r="U50" i="4"/>
  <c r="V46" i="4"/>
  <c r="U46" i="4"/>
  <c r="V42" i="4"/>
  <c r="U42" i="4"/>
  <c r="U35" i="4"/>
  <c r="V35" i="4"/>
  <c r="V28" i="4"/>
  <c r="U28" i="4"/>
  <c r="V24" i="4"/>
  <c r="U24" i="4"/>
  <c r="V20" i="4"/>
  <c r="U20" i="4"/>
  <c r="U15" i="4"/>
  <c r="V15" i="4"/>
  <c r="V12" i="4"/>
  <c r="U12" i="4"/>
  <c r="V80" i="4"/>
  <c r="U80" i="4"/>
  <c r="U69" i="4"/>
  <c r="V69" i="4"/>
  <c r="V18" i="4"/>
  <c r="U18" i="4"/>
  <c r="V16" i="4"/>
  <c r="U16" i="4"/>
  <c r="U99" i="4"/>
  <c r="V99" i="4"/>
  <c r="V94" i="4"/>
  <c r="U94" i="4"/>
  <c r="V90" i="4"/>
  <c r="U90" i="4"/>
  <c r="V86" i="4"/>
  <c r="U86" i="4"/>
  <c r="V82" i="4"/>
  <c r="U82" i="4"/>
  <c r="U75" i="4"/>
  <c r="V75" i="4"/>
  <c r="U71" i="4"/>
  <c r="V71" i="4"/>
  <c r="U67" i="4"/>
  <c r="V67" i="4"/>
  <c r="U63" i="4"/>
  <c r="V63" i="4"/>
  <c r="U59" i="4"/>
  <c r="V59" i="4"/>
  <c r="U51" i="4"/>
  <c r="V51" i="4"/>
  <c r="U47" i="4"/>
  <c r="V47" i="4"/>
  <c r="U43" i="4"/>
  <c r="V43" i="4"/>
  <c r="V40" i="4"/>
  <c r="U40" i="4"/>
  <c r="V36" i="4"/>
  <c r="U36" i="4"/>
  <c r="U31" i="4"/>
  <c r="V31" i="4"/>
  <c r="U27" i="4"/>
  <c r="V27" i="4"/>
  <c r="U23" i="4"/>
  <c r="V23" i="4"/>
  <c r="V14" i="4"/>
  <c r="U14" i="4"/>
  <c r="V10" i="4"/>
  <c r="U10" i="4"/>
  <c r="V100" i="4"/>
  <c r="U100" i="4"/>
  <c r="V98" i="4"/>
  <c r="U98" i="4"/>
  <c r="U79" i="4"/>
  <c r="V79" i="4"/>
  <c r="V68" i="4"/>
  <c r="U68" i="4"/>
  <c r="V52" i="4"/>
  <c r="U52" i="4"/>
  <c r="U39" i="4"/>
  <c r="V39" i="4"/>
  <c r="V32" i="4"/>
  <c r="U32" i="4"/>
  <c r="U7" i="4"/>
  <c r="V7" i="4"/>
  <c r="V4" i="4"/>
  <c r="U4" i="4"/>
  <c r="U3" i="4"/>
  <c r="V3" i="4"/>
  <c r="V102" i="4" l="1"/>
  <c r="U102" i="4"/>
</calcChain>
</file>

<file path=xl/sharedStrings.xml><?xml version="1.0" encoding="utf-8"?>
<sst xmlns="http://schemas.openxmlformats.org/spreadsheetml/2006/main" count="101" uniqueCount="93">
  <si>
    <t>Tarvittavat tiedot laskentaan:</t>
  </si>
  <si>
    <t>Tehokulma cos(fii):</t>
  </si>
  <si>
    <t>Jännitteenalenema:</t>
  </si>
  <si>
    <t>KJ-maakaapelointiaste:</t>
  </si>
  <si>
    <t>Varasyötön huomioiminen (Päämuuntajan sallittu normaali käyttöaste):</t>
  </si>
  <si>
    <t>KAPASITEETTIVARAUSMAKSU</t>
  </si>
  <si>
    <t>Pienjänniteteholiittymä</t>
  </si>
  <si>
    <t>Keskijänniteliittymä</t>
  </si>
  <si>
    <t>Maakaapelit</t>
  </si>
  <si>
    <t>Ilmajohto</t>
  </si>
  <si>
    <t xml:space="preserve">   Sparrow tai pienempi</t>
  </si>
  <si>
    <t xml:space="preserve">   Raven</t>
  </si>
  <si>
    <t xml:space="preserve">   Pigeon</t>
  </si>
  <si>
    <t xml:space="preserve">   Al 132 tai suurempi</t>
  </si>
  <si>
    <t>€/km</t>
  </si>
  <si>
    <t>Päämuuntajat</t>
  </si>
  <si>
    <t>€/kpl</t>
  </si>
  <si>
    <t>Jakelumuuntajat</t>
  </si>
  <si>
    <t>Varasyötön huomioiminen</t>
  </si>
  <si>
    <t>normaalitilanteen kuormitusaste</t>
  </si>
  <si>
    <t>kulmakerroin</t>
  </si>
  <si>
    <t>vaihejohtimen vaihtovirtaresistanssi 65 celcius asteessa 1 km kohti</t>
  </si>
  <si>
    <t>vaihejohtimen vaihtovirtaresistanssi 75 celcius asteessa 1 km kohti</t>
  </si>
  <si>
    <t>jännite</t>
  </si>
  <si>
    <t>kv</t>
  </si>
  <si>
    <t>tehokulma</t>
  </si>
  <si>
    <t>kVA</t>
  </si>
  <si>
    <t>jännitteenalenema</t>
  </si>
  <si>
    <t>keskimääräinen lähdön pituus</t>
  </si>
  <si>
    <t>vaihejännite</t>
  </si>
  <si>
    <t>--&gt;Max. kuormitus (P = 3 * U(v)*I) [kVA]</t>
  </si>
  <si>
    <t>V</t>
  </si>
  <si>
    <t>Keskijänniteverkon kapasiteettivarausmaksu</t>
  </si>
  <si>
    <t>Pienjänniteverkon teholiittymän kapasiteettivarausmaksu</t>
  </si>
  <si>
    <t>maakaapelointiaste</t>
  </si>
  <si>
    <t>lähdön pituus (km)</t>
  </si>
  <si>
    <t>Sparrow tai pienempi (kVA)</t>
  </si>
  <si>
    <t>Raven (kVA)</t>
  </si>
  <si>
    <t>Pigeon (kVA)</t>
  </si>
  <si>
    <t>Al 132 tai suurempi (kVA)</t>
  </si>
  <si>
    <t>Jännitetaso (kV):</t>
  </si>
  <si>
    <t>Keskimääräinen lähdön pituus (km):</t>
  </si>
  <si>
    <t>Päämuuntajan sallittu normaali käyttöaste</t>
  </si>
  <si>
    <t>Suurin sallittu tehonsiirtokyky johtimella etäisyydellä l jännitteenalenemalla x</t>
  </si>
  <si>
    <t>-Tämä excel laskee uusien keskijännite- ja teholiittymien aiheuttaman vahvistuskustannuksen, eli kuinka paljon yhden kVA:n liittäminen verkkoon aiheuttaa vahvistuskustannuksia. Vahvistuskustannukseksi lasketaan uuden vahvistetun verkon JHA ja vanhan vahvistettavan verkon JHA:n erotus. Näin ylläpitokustannukset tulee rahoitettua siirtomaksuilla ja vahvistusosa kapasiteettivarausmaksulla. Kustannuksien laskennassa huomioidaan vain tehonsiirtokykyyn vaikuttavat pääkomponentin: ilmajohdot, maakaapelit, päämuuntajat sekä jakelumuuntajat teholiittymien tapauksessa. Laskenta perustuu keskimääräisiin marginaalikustannuksiin jotka muodostuvat uusien liittymien liittyessä keskimääräiselle lähdölle.</t>
  </si>
  <si>
    <t>-Taulukkotiedot välilehdellä näkyy komponenttien lähtötiedot ja laskentavälilehdellä tapahtuu itse laskeminen.</t>
  </si>
  <si>
    <t>Marginaalikustannus</t>
  </si>
  <si>
    <t>Marginaalikustannus maakaapeli [euroa/kVA]</t>
  </si>
  <si>
    <t>Marginaalikustannus ilmajohto [euroa/kVA]</t>
  </si>
  <si>
    <t>Jakelumuuntajan marginaalikustannus</t>
  </si>
  <si>
    <t>Päämuuntajan marginaalikustannus</t>
  </si>
  <si>
    <t>Marginaalikustannus maakaapeli [euroa/kVA] keskiarvo</t>
  </si>
  <si>
    <t>Marginaalikustannus ilmajohto [euroa/kVA] keskiarvo</t>
  </si>
  <si>
    <t>6 MVA</t>
  </si>
  <si>
    <t>10 MVA</t>
  </si>
  <si>
    <t>16 MVA</t>
  </si>
  <si>
    <t>20 MVA</t>
  </si>
  <si>
    <t>25 MVA</t>
  </si>
  <si>
    <t>31,5 MVA</t>
  </si>
  <si>
    <t>40 MVA</t>
  </si>
  <si>
    <t>50 MVA</t>
  </si>
  <si>
    <t>63 MVA</t>
  </si>
  <si>
    <t>80 MVA</t>
  </si>
  <si>
    <t>100 MVA</t>
  </si>
  <si>
    <t>Nimellisteho (kVA)</t>
  </si>
  <si>
    <t>kuormitusvirta (A)</t>
  </si>
  <si>
    <t>30 kVA</t>
  </si>
  <si>
    <t>50 kVA</t>
  </si>
  <si>
    <t>200 kVA</t>
  </si>
  <si>
    <t>800 kVA</t>
  </si>
  <si>
    <t>1000 kVA</t>
  </si>
  <si>
    <t>1250 kVA</t>
  </si>
  <si>
    <r>
      <t>Maakaapeli 70 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tai alle</t>
    </r>
  </si>
  <si>
    <r>
      <t>Maakaapeli 95 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</si>
  <si>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Maakaapeli 120 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</si>
  <si>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Maakaapeli 150 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</si>
  <si>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Maakaapeli 185 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</si>
  <si>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Maakaapeli 240 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</si>
  <si>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Maakaapeli 300 mm</t>
    </r>
    <r>
      <rPr>
        <vertAlign val="superscript"/>
        <sz val="11"/>
        <color theme="1"/>
        <rFont val="Calibri"/>
        <family val="2"/>
        <scheme val="minor"/>
      </rPr>
      <t>2</t>
    </r>
  </si>
  <si>
    <t>=muokattavissa</t>
  </si>
  <si>
    <t>100 kVA</t>
  </si>
  <si>
    <t>315 kVA</t>
  </si>
  <si>
    <t>400 kVA</t>
  </si>
  <si>
    <t>500 kVA</t>
  </si>
  <si>
    <t>630 kVA</t>
  </si>
  <si>
    <t>1600 kVA</t>
  </si>
  <si>
    <r>
      <t>Maakaapeli 70 mm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tai alle</t>
    </r>
  </si>
  <si>
    <r>
      <t>Maakaapeli 95 mm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</si>
  <si>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Maakaapeli 120 mm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</si>
  <si>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Maakaapeli 150 mm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</si>
  <si>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Maakaapeli 185 mm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</si>
  <si>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Maakaapeli 240 mm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</si>
  <si>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Maakaapeli 300 mm</t>
    </r>
    <r>
      <rPr>
        <b/>
        <vertAlign val="superscript"/>
        <sz val="12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</si>
</sst>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\ &quot;€&quot;"/>
    <numFmt numFmtId="166" formatCode="#,##0.#__&quot;€/kVA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vertAlign val="super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9" fontId="10" fillId="0" borderId="0" applyFont="0" applyFill="0" applyBorder="0" applyAlignment="0" applyProtection="0"/>
    <xf numFmtId="0" fontId="11" fillId="0" borderId="0"/>
  </cellStyleXfs>
  <cellXfs count="68">
    <xf numFmtId="0" fontId="0" fillId="0" borderId="0" xfId="0"/>
    <xf numFmtId="0" fontId="0" fillId="2" borderId="0" xfId="0" applyFill="1"/>
    <xf numFmtId="0" fontId="6" fillId="0" borderId="2" xfId="1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left" indent="2"/>
    </xf>
    <xf numFmtId="164" fontId="0" fillId="4" borderId="0" xfId="0" applyNumberFormat="1" applyFill="1" applyAlignment="1">
      <alignment horizontal="left" indent="4"/>
    </xf>
    <xf numFmtId="0" fontId="0" fillId="4" borderId="9" xfId="0" applyFill="1" applyBorder="1"/>
    <xf numFmtId="0" fontId="0" fillId="0" borderId="3" xfId="0" applyBorder="1"/>
    <xf numFmtId="0" fontId="0" fillId="3" borderId="3" xfId="0" applyFill="1" applyBorder="1"/>
    <xf numFmtId="0" fontId="0" fillId="2" borderId="3" xfId="0" applyFill="1" applyBorder="1"/>
    <xf numFmtId="0" fontId="0" fillId="4" borderId="3" xfId="0" applyFill="1" applyBorder="1"/>
    <xf numFmtId="0" fontId="0" fillId="5" borderId="0" xfId="0" applyFill="1" applyProtection="1"/>
    <xf numFmtId="0" fontId="0" fillId="5" borderId="0" xfId="0" applyFill="1"/>
    <xf numFmtId="0" fontId="0" fillId="5" borderId="2" xfId="0" applyFill="1" applyBorder="1" applyAlignment="1" applyProtection="1">
      <alignment horizontal="left" indent="2"/>
    </xf>
    <xf numFmtId="0" fontId="3" fillId="5" borderId="11" xfId="0" applyFont="1" applyFill="1" applyBorder="1" applyAlignment="1" applyProtection="1">
      <alignment horizontal="left" vertical="top" indent="2"/>
      <protection locked="0"/>
    </xf>
    <xf numFmtId="10" fontId="3" fillId="5" borderId="2" xfId="0" applyNumberFormat="1" applyFont="1" applyFill="1" applyBorder="1" applyAlignment="1" applyProtection="1">
      <alignment horizontal="left" vertical="top" indent="2"/>
      <protection locked="0"/>
    </xf>
    <xf numFmtId="0" fontId="3" fillId="5" borderId="2" xfId="0" applyFont="1" applyFill="1" applyBorder="1" applyAlignment="1" applyProtection="1">
      <alignment horizontal="left" vertical="top" indent="2"/>
      <protection locked="0"/>
    </xf>
    <xf numFmtId="0" fontId="0" fillId="5" borderId="0" xfId="0" applyFill="1" applyProtection="1">
      <protection locked="0"/>
    </xf>
    <xf numFmtId="0" fontId="0" fillId="6" borderId="1" xfId="0" applyFill="1" applyBorder="1" applyProtection="1">
      <protection locked="0"/>
    </xf>
    <xf numFmtId="0" fontId="2" fillId="5" borderId="0" xfId="0" applyFont="1" applyFill="1" applyAlignment="1" applyProtection="1">
      <alignment wrapText="1"/>
    </xf>
    <xf numFmtId="0" fontId="3" fillId="5" borderId="10" xfId="0" applyFont="1" applyFill="1" applyBorder="1" applyProtection="1"/>
    <xf numFmtId="0" fontId="3" fillId="5" borderId="0" xfId="0" applyFont="1" applyFill="1" applyProtection="1"/>
    <xf numFmtId="0" fontId="3" fillId="5" borderId="0" xfId="0" applyFont="1" applyFill="1" applyAlignment="1" applyProtection="1">
      <alignment vertical="top" wrapText="1"/>
    </xf>
    <xf numFmtId="0" fontId="4" fillId="5" borderId="0" xfId="0" applyFont="1" applyFill="1" applyProtection="1"/>
    <xf numFmtId="0" fontId="0" fillId="5" borderId="3" xfId="0" applyFill="1" applyBorder="1" applyProtection="1"/>
    <xf numFmtId="0" fontId="7" fillId="5" borderId="0" xfId="0" applyFont="1" applyFill="1" applyProtection="1"/>
    <xf numFmtId="0" fontId="8" fillId="5" borderId="0" xfId="0" applyFont="1" applyFill="1" applyAlignment="1" applyProtection="1">
      <alignment horizontal="left" vertical="top" wrapText="1"/>
    </xf>
    <xf numFmtId="0" fontId="0" fillId="5" borderId="0" xfId="0" applyFill="1" applyAlignment="1" applyProtection="1">
      <alignment horizontal="left" vertical="top" wrapText="1"/>
    </xf>
    <xf numFmtId="166" fontId="7" fillId="5" borderId="2" xfId="0" applyNumberFormat="1" applyFont="1" applyFill="1" applyBorder="1" applyAlignment="1" applyProtection="1">
      <alignment horizontal="left" indent="2"/>
    </xf>
    <xf numFmtId="165" fontId="7" fillId="5" borderId="2" xfId="0" applyNumberFormat="1" applyFont="1" applyFill="1" applyBorder="1" applyAlignment="1" applyProtection="1">
      <alignment horizontal="left" indent="2"/>
    </xf>
    <xf numFmtId="0" fontId="0" fillId="5" borderId="2" xfId="0" applyFill="1" applyBorder="1" applyAlignment="1" applyProtection="1">
      <alignment horizontal="center"/>
    </xf>
    <xf numFmtId="0" fontId="0" fillId="5" borderId="2" xfId="0" applyFill="1" applyBorder="1" applyProtection="1"/>
    <xf numFmtId="0" fontId="1" fillId="0" borderId="0" xfId="0" applyFont="1" applyProtection="1"/>
    <xf numFmtId="0" fontId="0" fillId="0" borderId="0" xfId="0" applyProtection="1"/>
    <xf numFmtId="0" fontId="0" fillId="2" borderId="0" xfId="0" applyFill="1" applyProtection="1"/>
    <xf numFmtId="10" fontId="1" fillId="0" borderId="0" xfId="0" applyNumberFormat="1" applyFont="1" applyProtection="1"/>
    <xf numFmtId="0" fontId="0" fillId="0" borderId="0" xfId="0" quotePrefix="1" applyProtection="1"/>
    <xf numFmtId="0" fontId="0" fillId="0" borderId="4" xfId="0" applyBorder="1" applyProtection="1"/>
    <xf numFmtId="0" fontId="0" fillId="6" borderId="0" xfId="0" applyFill="1" applyProtection="1"/>
    <xf numFmtId="0" fontId="0" fillId="0" borderId="1" xfId="0" applyBorder="1"/>
    <xf numFmtId="0" fontId="1" fillId="0" borderId="1" xfId="0" applyFont="1" applyBorder="1" applyProtection="1"/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3" fontId="0" fillId="6" borderId="1" xfId="0" applyNumberFormat="1" applyFill="1" applyBorder="1" applyAlignment="1" applyProtection="1">
      <alignment horizontal="left" vertical="top" indent="1"/>
      <protection locked="0"/>
    </xf>
    <xf numFmtId="9" fontId="3" fillId="5" borderId="2" xfId="2" applyFont="1" applyFill="1" applyBorder="1" applyAlignment="1" applyProtection="1">
      <alignment horizontal="left" vertical="top" indent="2"/>
      <protection locked="0"/>
    </xf>
    <xf numFmtId="0" fontId="0" fillId="0" borderId="0" xfId="0" applyFill="1" applyBorder="1" applyProtection="1"/>
    <xf numFmtId="0" fontId="0" fillId="0" borderId="12" xfId="0" applyFont="1" applyBorder="1" applyAlignment="1">
      <alignment horizontal="left" wrapText="1" indent="1"/>
    </xf>
    <xf numFmtId="0" fontId="0" fillId="0" borderId="13" xfId="0" applyFont="1" applyBorder="1" applyAlignment="1">
      <alignment horizontal="left" wrapText="1" indent="1"/>
    </xf>
    <xf numFmtId="0" fontId="0" fillId="0" borderId="1" xfId="0" applyBorder="1" applyAlignment="1">
      <alignment horizontal="left" indent="1"/>
    </xf>
    <xf numFmtId="0" fontId="0" fillId="0" borderId="0" xfId="0"/>
    <xf numFmtId="3" fontId="14" fillId="6" borderId="1" xfId="1" applyNumberFormat="1" applyFont="1" applyFill="1" applyBorder="1" applyAlignment="1" applyProtection="1">
      <alignment horizontal="left" wrapText="1" indent="1"/>
      <protection locked="0"/>
    </xf>
    <xf numFmtId="0" fontId="13" fillId="6" borderId="1" xfId="1" applyFont="1" applyFill="1" applyBorder="1" applyAlignment="1" applyProtection="1">
      <alignment horizontal="left" vertical="top" wrapText="1" indent="1"/>
      <protection locked="0"/>
    </xf>
    <xf numFmtId="0" fontId="3" fillId="0" borderId="4" xfId="0" applyFont="1" applyBorder="1" applyAlignment="1">
      <alignment textRotation="90"/>
    </xf>
    <xf numFmtId="0" fontId="3" fillId="0" borderId="12" xfId="0" applyFont="1" applyBorder="1" applyAlignment="1">
      <alignment horizontal="left" textRotation="90" wrapText="1"/>
    </xf>
    <xf numFmtId="0" fontId="3" fillId="0" borderId="13" xfId="0" applyFont="1" applyBorder="1" applyAlignment="1">
      <alignment horizontal="left" textRotation="90" wrapText="1"/>
    </xf>
    <xf numFmtId="0" fontId="16" fillId="0" borderId="6" xfId="1" applyFont="1" applyFill="1" applyBorder="1" applyAlignment="1">
      <alignment horizontal="left" textRotation="90" wrapText="1"/>
    </xf>
    <xf numFmtId="0" fontId="16" fillId="0" borderId="5" xfId="1" applyFont="1" applyBorder="1" applyAlignment="1">
      <alignment horizontal="left" textRotation="90" wrapText="1"/>
    </xf>
    <xf numFmtId="0" fontId="16" fillId="0" borderId="7" xfId="1" applyFont="1" applyFill="1" applyBorder="1" applyAlignment="1">
      <alignment horizontal="left" textRotation="90" wrapText="1"/>
    </xf>
    <xf numFmtId="0" fontId="3" fillId="0" borderId="4" xfId="0" applyFont="1" applyBorder="1" applyAlignment="1">
      <alignment horizontal="left" textRotation="90"/>
    </xf>
    <xf numFmtId="0" fontId="16" fillId="0" borderId="8" xfId="1" applyFont="1" applyFill="1" applyBorder="1" applyAlignment="1">
      <alignment horizontal="left" textRotation="90" wrapText="1"/>
    </xf>
    <xf numFmtId="0" fontId="16" fillId="0" borderId="8" xfId="1" applyFont="1" applyFill="1" applyBorder="1" applyAlignment="1">
      <alignment vertical="top" wrapText="1"/>
    </xf>
    <xf numFmtId="49" fontId="16" fillId="0" borderId="4" xfId="1" applyNumberFormat="1" applyFont="1" applyFill="1" applyBorder="1" applyAlignment="1">
      <alignment horizontal="left" textRotation="90" wrapText="1"/>
    </xf>
    <xf numFmtId="0" fontId="3" fillId="0" borderId="4" xfId="0" applyFont="1" applyBorder="1" applyAlignment="1">
      <alignment horizontal="left" textRotation="90" wrapText="1"/>
    </xf>
    <xf numFmtId="0" fontId="9" fillId="0" borderId="0" xfId="0" quotePrefix="1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0" fillId="0" borderId="0" xfId="0" applyAlignment="1">
      <alignment horizontal="center"/>
    </xf>
  </cellXfs>
  <cellStyles count="4">
    <cellStyle name="Normaali" xfId="0" builtinId="0"/>
    <cellStyle name="Normaali 2" xfId="1"/>
    <cellStyle name="Normaali 2 2" xfId="3"/>
    <cellStyle name="Prosentt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KJ-kapasiteettivarausmaksu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kapasiteettivarausmaksu</c:v>
          </c:tx>
          <c:marker>
            <c:symbol val="none"/>
          </c:marker>
          <c:xVal>
            <c:numRef>
              <c:f>Laskenta!$A$3:$A$62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Laskenta!$U$3:$U$62</c:f>
              <c:numCache>
                <c:formatCode>#\ ##0.0</c:formatCode>
                <c:ptCount val="60"/>
                <c:pt idx="0">
                  <c:v>12.602978935095361</c:v>
                </c:pt>
                <c:pt idx="1">
                  <c:v>13.417014853507418</c:v>
                </c:pt>
                <c:pt idx="2">
                  <c:v>14.159026382099741</c:v>
                </c:pt>
                <c:pt idx="3">
                  <c:v>14.958658607739554</c:v>
                </c:pt>
                <c:pt idx="4">
                  <c:v>15.711643255419006</c:v>
                </c:pt>
                <c:pt idx="5">
                  <c:v>16.441665779367806</c:v>
                </c:pt>
                <c:pt idx="6">
                  <c:v>17.203588072205058</c:v>
                </c:pt>
                <c:pt idx="7">
                  <c:v>18.05087557962689</c:v>
                </c:pt>
                <c:pt idx="8">
                  <c:v>19.07542526601376</c:v>
                </c:pt>
                <c:pt idx="9">
                  <c:v>20.265975219503481</c:v>
                </c:pt>
                <c:pt idx="10">
                  <c:v>21.615017498854584</c:v>
                </c:pt>
                <c:pt idx="11">
                  <c:v>23.117354298592229</c:v>
                </c:pt>
                <c:pt idx="12">
                  <c:v>24.769272900520082</c:v>
                </c:pt>
                <c:pt idx="13">
                  <c:v>26.568050644627508</c:v>
                </c:pt>
                <c:pt idx="14">
                  <c:v>28.511645535906531</c:v>
                </c:pt>
                <c:pt idx="15">
                  <c:v>30.598496048762804</c:v>
                </c:pt>
                <c:pt idx="16">
                  <c:v>32.827387663289635</c:v>
                </c:pt>
                <c:pt idx="17">
                  <c:v>35.197361547981721</c:v>
                </c:pt>
                <c:pt idx="18">
                  <c:v>37.707650637634828</c:v>
                </c:pt>
                <c:pt idx="19">
                  <c:v>40.357633974702665</c:v>
                </c:pt>
                <c:pt idx="20">
                  <c:v>43.146803503011007</c:v>
                </c:pt>
                <c:pt idx="21">
                  <c:v>46.074739523981144</c:v>
                </c:pt>
                <c:pt idx="22">
                  <c:v>49.141092288797459</c:v>
                </c:pt>
                <c:pt idx="23">
                  <c:v>52.345568008454869</c:v>
                </c:pt>
                <c:pt idx="24">
                  <c:v>55.687918092256744</c:v>
                </c:pt>
                <c:pt idx="25">
                  <c:v>59.16793077775781</c:v>
                </c:pt>
                <c:pt idx="26">
                  <c:v>62.785424554290699</c:v>
                </c:pt>
                <c:pt idx="27">
                  <c:v>66.540242947142147</c:v>
                </c:pt>
                <c:pt idx="28">
                  <c:v>70.432250344894001</c:v>
                </c:pt>
                <c:pt idx="29">
                  <c:v>74.461328634375619</c:v>
                </c:pt>
                <c:pt idx="30">
                  <c:v>78.627374466562685</c:v>
                </c:pt>
                <c:pt idx="31">
                  <c:v>82.930297019585325</c:v>
                </c:pt>
                <c:pt idx="32">
                  <c:v>87.37001615649956</c:v>
                </c:pt>
                <c:pt idx="33">
                  <c:v>91.946460898869276</c:v>
                </c:pt>
                <c:pt idx="34">
                  <c:v>96.659568154751284</c:v>
                </c:pt>
                <c:pt idx="35">
                  <c:v>101.50928165295298</c:v>
                </c:pt>
                <c:pt idx="36">
                  <c:v>106.49555104556521</c:v>
                </c:pt>
                <c:pt idx="37">
                  <c:v>111.61833114856694</c:v>
                </c:pt>
                <c:pt idx="38">
                  <c:v>116.8775812963392</c:v>
                </c:pt>
                <c:pt idx="39">
                  <c:v>122.27326479064057</c:v>
                </c:pt>
                <c:pt idx="40">
                  <c:v>127.80534842830015</c:v>
                </c:pt>
                <c:pt idx="41">
                  <c:v>133.47380209481415</c:v>
                </c:pt>
                <c:pt idx="42">
                  <c:v>139.27859841336092</c:v>
                </c:pt>
                <c:pt idx="43">
                  <c:v>145.21971244061405</c:v>
                </c:pt>
                <c:pt idx="44">
                  <c:v>151.29712140223214</c:v>
                </c:pt>
                <c:pt idx="45">
                  <c:v>157.51080446211546</c:v>
                </c:pt>
                <c:pt idx="46">
                  <c:v>163.86074252050602</c:v>
                </c:pt>
                <c:pt idx="47">
                  <c:v>170.34691803680971</c:v>
                </c:pt>
                <c:pt idx="48">
                  <c:v>176.96931487367999</c:v>
                </c:pt>
                <c:pt idx="49">
                  <c:v>183.72791815944456</c:v>
                </c:pt>
                <c:pt idx="50">
                  <c:v>190.62271416640579</c:v>
                </c:pt>
                <c:pt idx="51">
                  <c:v>197.65369020291888</c:v>
                </c:pt>
                <c:pt idx="52">
                  <c:v>204.82083451746075</c:v>
                </c:pt>
                <c:pt idx="53">
                  <c:v>212.1241362131646</c:v>
                </c:pt>
                <c:pt idx="54">
                  <c:v>219.56358517151119</c:v>
                </c:pt>
                <c:pt idx="55">
                  <c:v>227.13917198405289</c:v>
                </c:pt>
                <c:pt idx="56">
                  <c:v>234.8508878912005</c:v>
                </c:pt>
                <c:pt idx="57">
                  <c:v>242.6987247272352</c:v>
                </c:pt>
                <c:pt idx="58">
                  <c:v>250.68267487081954</c:v>
                </c:pt>
                <c:pt idx="59">
                  <c:v>258.80273120037583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239744"/>
        <c:axId val="701240920"/>
      </c:scatterChart>
      <c:valAx>
        <c:axId val="70123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Lähdön keskimääräinen pituus (km)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701240920"/>
        <c:crosses val="autoZero"/>
        <c:crossBetween val="midCat"/>
      </c:valAx>
      <c:valAx>
        <c:axId val="7012409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i-FI"/>
                  <a:t>Euroa / kVA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701239744"/>
        <c:crosses val="autoZero"/>
        <c:crossBetween val="midCat"/>
        <c:minorUnit val="1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</xdr:row>
      <xdr:rowOff>9526</xdr:rowOff>
    </xdr:from>
    <xdr:to>
      <xdr:col>13</xdr:col>
      <xdr:colOff>304801</xdr:colOff>
      <xdr:row>17</xdr:row>
      <xdr:rowOff>66675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99060</xdr:rowOff>
        </xdr:from>
        <xdr:to>
          <xdr:col>11</xdr:col>
          <xdr:colOff>228600</xdr:colOff>
          <xdr:row>15</xdr:row>
          <xdr:rowOff>167640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kettu/AppData/Local/Microsoft/Windows/Temporary%20Internet%20Files/Content.Outlook/UAET8E20/Kapasiteettivarausmaksun%20lask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KENTA"/>
      <sheetName val="Taul1"/>
      <sheetName val="Taul2"/>
      <sheetName val="Taul4"/>
      <sheetName val="Taul5"/>
      <sheetName val="OHJE"/>
      <sheetName val="Taul3"/>
    </sheetNames>
    <sheetDataSet>
      <sheetData sheetId="0"/>
      <sheetData sheetId="1">
        <row r="1">
          <cell r="D1">
            <v>0.95</v>
          </cell>
        </row>
        <row r="2">
          <cell r="D2">
            <v>0.04</v>
          </cell>
        </row>
        <row r="3">
          <cell r="D3">
            <v>8</v>
          </cell>
        </row>
        <row r="4">
          <cell r="D4">
            <v>20000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C4" sqref="C4"/>
    </sheetView>
  </sheetViews>
  <sheetFormatPr defaultRowHeight="14.4" x14ac:dyDescent="0.3"/>
  <cols>
    <col min="2" max="2" width="40.33203125" customWidth="1"/>
    <col min="3" max="3" width="24.5546875" bestFit="1" customWidth="1"/>
  </cols>
  <sheetData>
    <row r="1" spans="1:14" x14ac:dyDescent="0.3">
      <c r="A1" s="13"/>
      <c r="B1" s="19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1" x14ac:dyDescent="0.4">
      <c r="A2" s="13"/>
      <c r="B2" s="21" t="s">
        <v>0</v>
      </c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6" x14ac:dyDescent="0.3">
      <c r="A3" s="13"/>
      <c r="B3" s="22" t="s">
        <v>1</v>
      </c>
      <c r="C3" s="16">
        <v>0.95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6" x14ac:dyDescent="0.3">
      <c r="A4" s="13"/>
      <c r="B4" s="23" t="s">
        <v>2</v>
      </c>
      <c r="C4" s="17">
        <v>0.04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5.6" x14ac:dyDescent="0.3">
      <c r="A5" s="13"/>
      <c r="B5" s="24" t="s">
        <v>41</v>
      </c>
      <c r="C5" s="18">
        <v>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5.6" x14ac:dyDescent="0.3">
      <c r="A6" s="13"/>
      <c r="B6" s="23" t="s">
        <v>40</v>
      </c>
      <c r="C6" s="18">
        <v>20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5.6" x14ac:dyDescent="0.3">
      <c r="A7" s="13"/>
      <c r="B7" s="23" t="s">
        <v>3</v>
      </c>
      <c r="C7" s="46">
        <v>0.5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46.8" x14ac:dyDescent="0.3">
      <c r="A8" s="13"/>
      <c r="B8" s="24" t="s">
        <v>4</v>
      </c>
      <c r="C8" s="46">
        <v>0.6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x14ac:dyDescent="0.3">
      <c r="A9" s="13"/>
      <c r="B9" s="13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8" x14ac:dyDescent="0.35">
      <c r="A10" s="13"/>
      <c r="B10" s="25" t="s">
        <v>5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3">
      <c r="A11" s="13"/>
      <c r="B11" s="2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21" x14ac:dyDescent="0.4">
      <c r="A12" s="13"/>
      <c r="B12" s="27" t="s">
        <v>6</v>
      </c>
      <c r="C12" s="30">
        <f>VLOOKUP(C5,Laskenta!$A$2:$V$102,22,FALSE)</f>
        <v>28.755552482957093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21" x14ac:dyDescent="0.4">
      <c r="A13" s="13"/>
      <c r="B13" s="28"/>
      <c r="C13" s="3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21" x14ac:dyDescent="0.4">
      <c r="A14" s="13"/>
      <c r="B14" s="27" t="s">
        <v>7</v>
      </c>
      <c r="C14" s="30">
        <f>VLOOKUP(C5,Laskenta!$A$2:$V$102,21,FALSE)</f>
        <v>16.441665779367806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x14ac:dyDescent="0.3">
      <c r="A15" s="13"/>
      <c r="B15" s="29"/>
      <c r="C15" s="3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x14ac:dyDescent="0.3">
      <c r="A16" s="19"/>
      <c r="B16" s="13"/>
      <c r="C16" s="3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3">
      <c r="A17" s="19"/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3">
      <c r="A18" s="14"/>
      <c r="B18" s="13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3">
      <c r="A19" s="14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1" spans="1:14" x14ac:dyDescent="0.3">
      <c r="A21" s="67"/>
      <c r="B21" s="65" t="s">
        <v>44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spans="1:14" ht="77.25" customHeight="1" x14ac:dyDescent="0.3">
      <c r="A22" s="67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</row>
    <row r="23" spans="1:14" ht="24.75" customHeight="1" x14ac:dyDescent="0.3">
      <c r="B23" s="65" t="s">
        <v>45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</sheetData>
  <sheetProtection algorithmName="SHA-512" hashValue="TGHZv7rVAiesqygYRBHpQ894QwgsSXG0vRLpRrhj6rsAls0Lpq3RrxK1oMeYIpD31G3qqLVy3WlttdPki9CFig==" saltValue="kltqiHZ+IYcaPBKx+gqNig==" spinCount="100000" sheet="1" objects="1" scenarios="1" selectLockedCells="1"/>
  <mergeCells count="3">
    <mergeCell ref="B21:N22"/>
    <mergeCell ref="A21:A22"/>
    <mergeCell ref="B23:N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3"/>
  <sheetViews>
    <sheetView zoomScaleNormal="100" workbookViewId="0">
      <pane xSplit="1" topLeftCell="B1" activePane="topRight" state="frozen"/>
      <selection pane="topRight" activeCell="B4" sqref="B4"/>
    </sheetView>
  </sheetViews>
  <sheetFormatPr defaultRowHeight="14.4" x14ac:dyDescent="0.3"/>
  <cols>
    <col min="1" max="1" width="39.33203125" bestFit="1" customWidth="1"/>
    <col min="2" max="2" width="20.77734375" customWidth="1"/>
    <col min="3" max="3" width="13.88671875" customWidth="1"/>
    <col min="4" max="4" width="11.88671875" customWidth="1"/>
    <col min="5" max="5" width="19.109375" customWidth="1"/>
    <col min="6" max="6" width="35.44140625" bestFit="1" customWidth="1"/>
    <col min="8" max="8" width="18.6640625" bestFit="1" customWidth="1"/>
  </cols>
  <sheetData>
    <row r="1" spans="1:18" x14ac:dyDescent="0.3">
      <c r="A1" s="34" t="s">
        <v>42</v>
      </c>
      <c r="B1" s="34">
        <f>Lähtötiedot!C8</f>
        <v>0.6</v>
      </c>
      <c r="C1" s="34" t="s">
        <v>23</v>
      </c>
      <c r="D1" s="34">
        <f>Lähtötiedot!C6</f>
        <v>20</v>
      </c>
      <c r="E1" s="34" t="s">
        <v>24</v>
      </c>
      <c r="F1" s="34" t="s">
        <v>27</v>
      </c>
      <c r="G1" s="37">
        <f>Lähtötiedot!C4</f>
        <v>0.04</v>
      </c>
      <c r="H1" s="34" t="s">
        <v>29</v>
      </c>
      <c r="I1" s="34">
        <f>D1/SQRT(3)*1000</f>
        <v>11547.005383792517</v>
      </c>
      <c r="J1" s="34" t="s">
        <v>31</v>
      </c>
      <c r="K1" s="40"/>
      <c r="L1" s="38" t="s">
        <v>79</v>
      </c>
      <c r="M1" s="35"/>
      <c r="N1" s="35"/>
      <c r="O1" s="35"/>
      <c r="P1" s="35"/>
      <c r="Q1" s="35"/>
    </row>
    <row r="2" spans="1:18" x14ac:dyDescent="0.3">
      <c r="A2" s="35"/>
      <c r="B2" s="35"/>
      <c r="C2" s="34" t="s">
        <v>25</v>
      </c>
      <c r="D2" s="34">
        <f>Lähtötiedot!C3</f>
        <v>0.95</v>
      </c>
      <c r="E2" s="34"/>
      <c r="F2" s="34" t="s">
        <v>28</v>
      </c>
      <c r="G2" s="34">
        <f>ROUND(Lähtötiedot!C5,0)</f>
        <v>6</v>
      </c>
      <c r="H2" s="34" t="s">
        <v>34</v>
      </c>
      <c r="I2" s="34">
        <f>Lähtötiedot!C7</f>
        <v>0.5</v>
      </c>
      <c r="J2" s="35"/>
      <c r="K2" s="35"/>
      <c r="L2" s="35"/>
      <c r="M2" s="35"/>
      <c r="N2" s="35"/>
      <c r="O2" s="35"/>
      <c r="P2" s="35"/>
      <c r="Q2" s="35"/>
    </row>
    <row r="3" spans="1:18" ht="121.5" customHeight="1" thickBot="1" x14ac:dyDescent="0.35">
      <c r="A3" s="42" t="s">
        <v>8</v>
      </c>
      <c r="B3" s="43" t="s">
        <v>21</v>
      </c>
      <c r="C3" s="44" t="s">
        <v>65</v>
      </c>
      <c r="D3" s="44" t="s">
        <v>14</v>
      </c>
      <c r="E3" s="35"/>
      <c r="F3" s="38" t="s">
        <v>30</v>
      </c>
      <c r="G3" s="35"/>
      <c r="H3" s="35"/>
      <c r="I3" s="35" t="s">
        <v>43</v>
      </c>
      <c r="J3" s="35"/>
      <c r="K3" s="35"/>
      <c r="L3" s="35"/>
      <c r="M3" s="35"/>
      <c r="N3" s="35"/>
      <c r="O3" s="35"/>
      <c r="P3" s="35"/>
      <c r="Q3" s="35"/>
    </row>
    <row r="4" spans="1:18" ht="16.8" thickBot="1" x14ac:dyDescent="0.35">
      <c r="A4" s="48" t="s">
        <v>72</v>
      </c>
      <c r="B4" s="20">
        <v>0.52</v>
      </c>
      <c r="C4" s="20">
        <v>200</v>
      </c>
      <c r="D4" s="45">
        <v>24300</v>
      </c>
      <c r="F4" s="35">
        <f>3*$D$1/SQRT(3)*C4</f>
        <v>6928.2032302755097</v>
      </c>
      <c r="G4" s="35" t="s">
        <v>26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6.8" thickBot="1" x14ac:dyDescent="0.35">
      <c r="A5" s="48" t="s">
        <v>73</v>
      </c>
      <c r="B5" s="20">
        <v>0.38</v>
      </c>
      <c r="C5" s="20">
        <v>235</v>
      </c>
      <c r="D5" s="45">
        <v>28300</v>
      </c>
      <c r="F5" s="35">
        <f t="shared" ref="F5:F10" si="0">3*$D$1/SQRT(3)*C5</f>
        <v>8140.6387955737237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6.8" thickBot="1" x14ac:dyDescent="0.35">
      <c r="A6" s="48" t="s">
        <v>74</v>
      </c>
      <c r="B6" s="20">
        <v>0.3</v>
      </c>
      <c r="C6" s="20">
        <v>265</v>
      </c>
      <c r="D6" s="45">
        <v>29600</v>
      </c>
      <c r="F6" s="35">
        <f t="shared" si="0"/>
        <v>9179.8692801150501</v>
      </c>
      <c r="G6" s="35"/>
      <c r="H6" s="35"/>
      <c r="I6" s="38"/>
      <c r="J6" s="35"/>
      <c r="K6" s="35"/>
      <c r="L6" s="35"/>
      <c r="M6" s="35"/>
      <c r="N6" s="35"/>
      <c r="O6" s="35"/>
      <c r="P6" s="35"/>
      <c r="Q6" s="35"/>
      <c r="R6" s="35"/>
    </row>
    <row r="7" spans="1:18" ht="16.8" thickBot="1" x14ac:dyDescent="0.35">
      <c r="A7" s="48" t="s">
        <v>75</v>
      </c>
      <c r="B7" s="20">
        <v>0.25</v>
      </c>
      <c r="C7" s="20">
        <v>300</v>
      </c>
      <c r="D7" s="45">
        <v>31000</v>
      </c>
      <c r="F7" s="35">
        <f t="shared" si="0"/>
        <v>10392.304845413264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ht="16.8" thickBot="1" x14ac:dyDescent="0.35">
      <c r="A8" s="49" t="s">
        <v>76</v>
      </c>
      <c r="B8" s="20">
        <v>0.2</v>
      </c>
      <c r="C8" s="20">
        <v>330</v>
      </c>
      <c r="D8" s="45">
        <v>36200</v>
      </c>
      <c r="F8" s="47">
        <f t="shared" si="0"/>
        <v>11431.535329954591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16.8" thickBot="1" x14ac:dyDescent="0.35">
      <c r="A9" s="49" t="s">
        <v>77</v>
      </c>
      <c r="B9" s="20">
        <v>0.15</v>
      </c>
      <c r="C9" s="20">
        <v>385</v>
      </c>
      <c r="D9" s="45">
        <v>39000</v>
      </c>
      <c r="F9" s="47">
        <f t="shared" si="0"/>
        <v>13336.791218280356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ht="16.8" thickBot="1" x14ac:dyDescent="0.35">
      <c r="A10" s="49" t="s">
        <v>78</v>
      </c>
      <c r="B10" s="20">
        <v>0.12</v>
      </c>
      <c r="C10" s="20">
        <v>435</v>
      </c>
      <c r="D10" s="45">
        <v>44500</v>
      </c>
      <c r="F10" s="47">
        <f t="shared" si="0"/>
        <v>15068.842025849233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s="1" customFormat="1" x14ac:dyDescent="0.3">
      <c r="A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57.6" x14ac:dyDescent="0.3">
      <c r="A12" s="42" t="s">
        <v>9</v>
      </c>
      <c r="B12" s="43" t="s">
        <v>22</v>
      </c>
      <c r="C12" s="44" t="s">
        <v>65</v>
      </c>
      <c r="D12" s="44" t="s">
        <v>14</v>
      </c>
      <c r="E12" s="35"/>
      <c r="F12" s="38" t="s">
        <v>30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x14ac:dyDescent="0.3">
      <c r="A13" s="44" t="s">
        <v>10</v>
      </c>
      <c r="B13" s="20">
        <v>1.0900000000000001</v>
      </c>
      <c r="C13" s="20">
        <v>210</v>
      </c>
      <c r="D13" s="45">
        <v>21800</v>
      </c>
      <c r="E13" s="35"/>
      <c r="F13" s="35">
        <f t="shared" ref="F13:F16" si="1">3*$D$1/SQRT(3)*C13</f>
        <v>7274.6133917892857</v>
      </c>
      <c r="G13" s="35" t="s">
        <v>26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x14ac:dyDescent="0.3">
      <c r="A14" s="44" t="s">
        <v>11</v>
      </c>
      <c r="B14" s="20">
        <v>0.71</v>
      </c>
      <c r="C14" s="20">
        <v>280</v>
      </c>
      <c r="D14" s="45">
        <v>25100</v>
      </c>
      <c r="E14" s="35"/>
      <c r="F14" s="35">
        <f t="shared" si="1"/>
        <v>9699.4845223857137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 x14ac:dyDescent="0.3">
      <c r="A15" s="44" t="s">
        <v>12</v>
      </c>
      <c r="B15" s="20">
        <v>0.47</v>
      </c>
      <c r="C15" s="20">
        <v>360</v>
      </c>
      <c r="D15" s="45">
        <v>29100</v>
      </c>
      <c r="E15" s="35"/>
      <c r="F15" s="35">
        <f t="shared" si="1"/>
        <v>12470.765814495917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x14ac:dyDescent="0.3">
      <c r="A16" s="44" t="s">
        <v>13</v>
      </c>
      <c r="B16" s="20">
        <v>0.26</v>
      </c>
      <c r="C16" s="20">
        <v>495</v>
      </c>
      <c r="D16" s="45">
        <v>30800</v>
      </c>
      <c r="E16" s="35"/>
      <c r="F16" s="35">
        <f t="shared" si="1"/>
        <v>17147.302994931888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1" customFormat="1" x14ac:dyDescent="0.3">
      <c r="A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x14ac:dyDescent="0.3">
      <c r="A18" s="42" t="s">
        <v>15</v>
      </c>
      <c r="B18" s="41"/>
      <c r="C18" s="44" t="s">
        <v>64</v>
      </c>
      <c r="D18" s="44" t="s">
        <v>16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x14ac:dyDescent="0.3">
      <c r="A19" s="50" t="s">
        <v>53</v>
      </c>
      <c r="B19" s="41"/>
      <c r="C19" s="53">
        <v>6000</v>
      </c>
      <c r="D19" s="52">
        <v>240700</v>
      </c>
      <c r="E19" s="35" t="s">
        <v>20</v>
      </c>
      <c r="F19" s="35">
        <f>SLOPE(D19:D29,C19:C29)</f>
        <v>7.065719660308619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x14ac:dyDescent="0.3">
      <c r="A20" s="50" t="s">
        <v>54</v>
      </c>
      <c r="B20" s="41"/>
      <c r="C20" s="53">
        <v>10000</v>
      </c>
      <c r="D20" s="52">
        <v>257800</v>
      </c>
      <c r="E20" s="35"/>
      <c r="F20" s="35" t="s">
        <v>18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x14ac:dyDescent="0.3">
      <c r="A21" s="50" t="s">
        <v>55</v>
      </c>
      <c r="B21" s="41"/>
      <c r="C21" s="53">
        <v>16000</v>
      </c>
      <c r="D21" s="52">
        <v>289000</v>
      </c>
      <c r="E21" s="35"/>
      <c r="F21" s="35" t="s">
        <v>19</v>
      </c>
      <c r="G21" s="35">
        <f>B1</f>
        <v>0.6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3">
      <c r="A22" s="50" t="s">
        <v>56</v>
      </c>
      <c r="B22" s="41"/>
      <c r="C22" s="53">
        <v>20000</v>
      </c>
      <c r="D22" s="52">
        <v>313600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ht="15" thickBot="1" x14ac:dyDescent="0.35">
      <c r="A23" s="50" t="s">
        <v>57</v>
      </c>
      <c r="B23" s="41"/>
      <c r="C23" s="53">
        <v>25000</v>
      </c>
      <c r="D23" s="52">
        <v>338100</v>
      </c>
      <c r="E23" s="39" t="s">
        <v>46</v>
      </c>
      <c r="F23" s="39">
        <f>F19/G21</f>
        <v>11.776199433847699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x14ac:dyDescent="0.3">
      <c r="A24" s="50" t="s">
        <v>58</v>
      </c>
      <c r="B24" s="41"/>
      <c r="C24" s="53">
        <v>31500</v>
      </c>
      <c r="D24" s="52">
        <v>450200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x14ac:dyDescent="0.3">
      <c r="A25" s="50" t="s">
        <v>59</v>
      </c>
      <c r="B25" s="41"/>
      <c r="C25" s="53">
        <v>40000</v>
      </c>
      <c r="D25" s="52">
        <v>538400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x14ac:dyDescent="0.3">
      <c r="A26" s="50" t="s">
        <v>60</v>
      </c>
      <c r="B26" s="41"/>
      <c r="C26" s="53">
        <v>50000</v>
      </c>
      <c r="D26" s="52">
        <v>593000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 x14ac:dyDescent="0.3">
      <c r="A27" s="50" t="s">
        <v>61</v>
      </c>
      <c r="B27" s="41"/>
      <c r="C27" s="53">
        <v>63000</v>
      </c>
      <c r="D27" s="52">
        <v>664000</v>
      </c>
      <c r="E27" s="35"/>
      <c r="F27" s="35"/>
      <c r="G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x14ac:dyDescent="0.3">
      <c r="A28" s="50" t="s">
        <v>62</v>
      </c>
      <c r="B28" s="41"/>
      <c r="C28" s="53">
        <v>80000</v>
      </c>
      <c r="D28" s="52">
        <v>756900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 x14ac:dyDescent="0.3">
      <c r="A29" s="50" t="s">
        <v>63</v>
      </c>
      <c r="B29" s="41"/>
      <c r="C29" s="53">
        <v>100000</v>
      </c>
      <c r="D29" s="52">
        <v>866300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s="1" customFormat="1" x14ac:dyDescent="0.3">
      <c r="A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3">
      <c r="A31" s="42" t="s">
        <v>17</v>
      </c>
      <c r="B31" s="41"/>
      <c r="C31" s="44" t="s">
        <v>64</v>
      </c>
      <c r="D31" s="44" t="s">
        <v>16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18" x14ac:dyDescent="0.3">
      <c r="A32" s="50" t="s">
        <v>66</v>
      </c>
      <c r="B32" s="41"/>
      <c r="C32" s="53">
        <v>30</v>
      </c>
      <c r="D32" s="45">
        <v>3600</v>
      </c>
      <c r="E32" s="35" t="s">
        <v>20</v>
      </c>
      <c r="F32" s="35">
        <f>SLOPE(D32:D43,C32:C43)</f>
        <v>12.313886703589286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x14ac:dyDescent="0.3">
      <c r="A33" s="50" t="s">
        <v>67</v>
      </c>
      <c r="B33" s="41"/>
      <c r="C33" s="53">
        <v>50</v>
      </c>
      <c r="D33" s="45">
        <v>3700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s="51" customFormat="1" x14ac:dyDescent="0.3">
      <c r="A34" s="50" t="s">
        <v>80</v>
      </c>
      <c r="B34" s="41"/>
      <c r="C34" s="53">
        <v>100</v>
      </c>
      <c r="D34" s="45">
        <v>4500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ht="15" thickBot="1" x14ac:dyDescent="0.35">
      <c r="A35" s="50" t="s">
        <v>68</v>
      </c>
      <c r="B35" s="41"/>
      <c r="C35" s="53">
        <v>200</v>
      </c>
      <c r="D35" s="45">
        <v>6100</v>
      </c>
      <c r="E35" s="39" t="s">
        <v>46</v>
      </c>
      <c r="F35" s="39">
        <f>F32</f>
        <v>12.313886703589286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 x14ac:dyDescent="0.3">
      <c r="A36" s="50" t="s">
        <v>81</v>
      </c>
      <c r="B36" s="41"/>
      <c r="C36" s="53">
        <v>315</v>
      </c>
      <c r="D36" s="45">
        <v>7800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 x14ac:dyDescent="0.3">
      <c r="A37" s="50" t="s">
        <v>82</v>
      </c>
      <c r="B37" s="41"/>
      <c r="C37" s="53">
        <v>400</v>
      </c>
      <c r="D37" s="45">
        <v>8700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x14ac:dyDescent="0.3">
      <c r="A38" s="50" t="s">
        <v>83</v>
      </c>
      <c r="B38" s="41"/>
      <c r="C38" s="53">
        <v>500</v>
      </c>
      <c r="D38" s="45">
        <v>9600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 x14ac:dyDescent="0.3">
      <c r="A39" s="50" t="s">
        <v>84</v>
      </c>
      <c r="B39" s="41"/>
      <c r="C39" s="53">
        <v>630</v>
      </c>
      <c r="D39" s="45">
        <v>11500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 x14ac:dyDescent="0.3">
      <c r="A40" s="50" t="s">
        <v>69</v>
      </c>
      <c r="B40" s="41"/>
      <c r="C40" s="53">
        <v>800</v>
      </c>
      <c r="D40" s="45">
        <v>13300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1:18" s="51" customFormat="1" x14ac:dyDescent="0.3">
      <c r="A41" s="50" t="s">
        <v>70</v>
      </c>
      <c r="B41" s="41"/>
      <c r="C41" s="53">
        <v>1000</v>
      </c>
      <c r="D41" s="45">
        <v>16000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 s="51" customFormat="1" x14ac:dyDescent="0.3">
      <c r="A42" s="50" t="s">
        <v>71</v>
      </c>
      <c r="B42" s="41"/>
      <c r="C42" s="53">
        <v>1250</v>
      </c>
      <c r="D42" s="45">
        <v>20500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1:18" x14ac:dyDescent="0.3">
      <c r="A43" s="50" t="s">
        <v>85</v>
      </c>
      <c r="B43" s="41"/>
      <c r="C43" s="53">
        <v>1600</v>
      </c>
      <c r="D43" s="45">
        <v>21800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</sheetData>
  <sheetProtection algorithmName="SHA-512" hashValue="E8OyHd7dXAYK3eo/ZnoH7kER+3oY91hFw57CP7x0UedYBN7l/RXAKsw1p5KatOGK3aQo3Zt0/ouVDMb3oV1xZw==" saltValue="5F9uI2pKUPnD0NEpZR4idQ==" spinCount="100000" sheet="1" objects="1" scenarios="1" selectLockedCells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locked="0" defaultSize="0" autoPict="0" r:id="rId5">
            <anchor moveWithCells="1">
              <from>
                <xdr:col>8</xdr:col>
                <xdr:colOff>0</xdr:colOff>
                <xdr:row>3</xdr:row>
                <xdr:rowOff>99060</xdr:rowOff>
              </from>
              <to>
                <xdr:col>11</xdr:col>
                <xdr:colOff>228600</xdr:colOff>
                <xdr:row>15</xdr:row>
                <xdr:rowOff>167640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3"/>
  <cols>
    <col min="6" max="8" width="8.88671875" style="51"/>
    <col min="9" max="9" width="18.44140625" style="3" customWidth="1"/>
    <col min="14" max="14" width="18" style="3" customWidth="1"/>
    <col min="20" max="20" width="17.88671875" customWidth="1"/>
    <col min="21" max="21" width="24" customWidth="1"/>
    <col min="22" max="22" width="15.109375" customWidth="1"/>
    <col min="23" max="23" width="13.33203125" bestFit="1" customWidth="1"/>
  </cols>
  <sheetData>
    <row r="1" spans="1:25" ht="158.25" customHeight="1" thickBot="1" x14ac:dyDescent="0.35">
      <c r="A1" s="54" t="s">
        <v>35</v>
      </c>
      <c r="B1" s="55" t="s">
        <v>86</v>
      </c>
      <c r="C1" s="55" t="s">
        <v>87</v>
      </c>
      <c r="D1" s="55" t="s">
        <v>88</v>
      </c>
      <c r="E1" s="55" t="s">
        <v>89</v>
      </c>
      <c r="F1" s="56" t="s">
        <v>90</v>
      </c>
      <c r="G1" s="56" t="s">
        <v>91</v>
      </c>
      <c r="H1" s="56" t="s">
        <v>92</v>
      </c>
      <c r="I1" s="57" t="s">
        <v>47</v>
      </c>
      <c r="J1" s="58" t="s">
        <v>36</v>
      </c>
      <c r="K1" s="58" t="s">
        <v>37</v>
      </c>
      <c r="L1" s="58" t="s">
        <v>38</v>
      </c>
      <c r="M1" s="58" t="s">
        <v>39</v>
      </c>
      <c r="N1" s="59" t="s">
        <v>48</v>
      </c>
      <c r="O1" s="60"/>
      <c r="P1" s="61" t="s">
        <v>49</v>
      </c>
      <c r="Q1" s="61" t="s">
        <v>50</v>
      </c>
      <c r="R1" s="57" t="s">
        <v>51</v>
      </c>
      <c r="S1" s="59" t="s">
        <v>52</v>
      </c>
      <c r="T1" s="62"/>
      <c r="U1" s="63" t="s">
        <v>32</v>
      </c>
      <c r="V1" s="64" t="s">
        <v>33</v>
      </c>
      <c r="Y1" s="2"/>
    </row>
    <row r="2" spans="1:25" s="5" customFormat="1" ht="16.5" customHeight="1" x14ac:dyDescent="0.3">
      <c r="A2" s="8">
        <v>0</v>
      </c>
      <c r="B2">
        <f>kuorma70</f>
        <v>6928.2032302755097</v>
      </c>
      <c r="C2">
        <f>kuorma95</f>
        <v>8140.6387955737237</v>
      </c>
      <c r="D2">
        <f>kuorma120</f>
        <v>9179.8692801150501</v>
      </c>
      <c r="E2">
        <f>kuorma150</f>
        <v>10392.304845413264</v>
      </c>
      <c r="F2" s="51">
        <f>kuorma185</f>
        <v>11431.535329954591</v>
      </c>
      <c r="G2" s="51">
        <f>kuorma240</f>
        <v>13336.791218280356</v>
      </c>
      <c r="H2" s="51">
        <f>kuorma300</f>
        <v>15068.842025849233</v>
      </c>
      <c r="I2" s="6">
        <v>0</v>
      </c>
      <c r="J2" s="5">
        <v>7274.6133917892857</v>
      </c>
      <c r="K2" s="5">
        <v>9699.4845223857137</v>
      </c>
      <c r="L2" s="5">
        <v>12470.765814495917</v>
      </c>
      <c r="M2" s="5">
        <v>17147.302994931888</v>
      </c>
      <c r="N2" s="6">
        <v>0</v>
      </c>
      <c r="P2" s="5">
        <f t="shared" ref="P2:P33" si="0">jmrajakustannus</f>
        <v>12.313886703589286</v>
      </c>
      <c r="Q2" s="5">
        <f t="shared" ref="Q2:Q33" si="1">pmrajakust</f>
        <v>11.776199433847699</v>
      </c>
      <c r="R2" s="5">
        <f>AVERAGE($I$2:$I2)</f>
        <v>0</v>
      </c>
      <c r="S2" s="5">
        <f>AVERAGE($N$2:$N2)</f>
        <v>0</v>
      </c>
      <c r="U2" s="7">
        <f>R2*Taulukkotiedot!$I$2+(1-Taulukkotiedot!$I$2)*Laskenta!S2+Laskenta!Q2</f>
        <v>11.776199433847699</v>
      </c>
      <c r="V2" s="7">
        <f>R2*Taulukkotiedot!$I$2+(1-Taulukkotiedot!$I$2)*Laskenta!S2+Laskenta!Q2+P2</f>
        <v>24.090086137436984</v>
      </c>
    </row>
    <row r="3" spans="1:25" ht="16.5" customHeight="1" x14ac:dyDescent="0.3">
      <c r="A3" s="9">
        <v>1</v>
      </c>
      <c r="B3">
        <f t="shared" ref="B3:B34" si="2">IF(((jän.ale*3*(vaihejännite*cosfii)^2)/(res.70*$A3))/1000&gt;kuorma70,kuorma70,(jän.ale*3*(vaihejännite*cosfii)^2)/(res.70*$A3)/1000)</f>
        <v>6928.2032302755097</v>
      </c>
      <c r="C3">
        <f t="shared" ref="C3:C34" si="3">IF(((jän.ale*3*(vaihejännite*cosfii)^2)/(res.95*$A3))/1000&gt;kuorma95,kuorma95,(jän.ale*3*(vaihejännite*cosfii)^2)/(res.95*$A3)/1000)</f>
        <v>8140.6387955737237</v>
      </c>
      <c r="D3">
        <f t="shared" ref="D3:D34" si="4">IF(((jän.ale*3*(vaihejännite*cosfii)^2)/(res.120*$A3))/1000&gt;kuorma120,kuorma120,(jän.ale*3*(vaihejännite*cosfii)^2)/(res.120*$A3)/1000)</f>
        <v>9179.8692801150501</v>
      </c>
      <c r="E3">
        <f t="shared" ref="E3:E34" si="5">IF(((jän.ale*3*(vaihejännite*cosfii)^2)/(res.150*$A3))/1000&gt;kuorma150,kuorma150,(jän.ale*3*(vaihejännite*cosfii)^2)/(res.150*$A3)/1000)</f>
        <v>10392.304845413264</v>
      </c>
      <c r="F3" s="51">
        <f t="shared" ref="F3:F34" si="6">IF(((jän.ale*3*(vaihejännite*cosfii)^2)/(res.185*$A3))/1000&gt;kuorma185,kuorma185,(jän.ale*3*(vaihejännite*cosfii)^2)/(res.185*$A3)/1000)</f>
        <v>11431.535329954591</v>
      </c>
      <c r="G3" s="51">
        <f t="shared" ref="G3:G34" si="7">IF(((jän.ale*3*(vaihejännite*cosfii)^2)/(res.240*$A3))/1000&gt;kuorma240,kuorma240,(jän.ale*3*(vaihejännite*cosfii)^2)/(res.240*$A3)/1000)</f>
        <v>13336.791218280356</v>
      </c>
      <c r="H3" s="51">
        <f t="shared" ref="H3:H34" si="8">IF(((jän.ale*3*(vaihejännite*cosfii)^2)/(res.300*$A3))/1000&gt;kuorma300,kuorma300,(jän.ale*3*(vaihejännite*cosfii)^2)/(res.300*$A3)/1000)</f>
        <v>15068.842025849233</v>
      </c>
      <c r="I3" s="3">
        <f>SLOPE(Taulukkotiedot!$D$4:$D$10*A3,Laskenta!B3:H3)</f>
        <v>2.395774746813069</v>
      </c>
      <c r="J3">
        <f t="shared" ref="J3:J34" si="9">IF(((jän.ale*3*(vaihejännite*cosfii)^2)/(res.spar*$A3))/1000&gt;maxkuorm.i1,maxkuorm.i1,(jän.ale*3*(vaihejännite*cosfii)^2)/(res.spar*$A3)/1000)</f>
        <v>7274.6133917892857</v>
      </c>
      <c r="K3">
        <f t="shared" ref="K3:K34" si="10">IF(((jän.ale*3*(vaihejännite*cosfii)^2)/(res.rav*$A3))/1000&gt;maxkuorm.i2,maxkuorm.i2,(jän.ale*3*(vaihejännite*cosfii)^2)/(res.rav*$A3)/1000)</f>
        <v>9699.4845223857137</v>
      </c>
      <c r="L3">
        <f t="shared" ref="L3:L34" si="11">IF(((jän.ale*3*(vaihejännite*cosfii)^2)/(res.pig*$A3))/1000&gt;maxkuorm.i3,maxkuorm.i3,(jän.ale*3*(vaihejännite*cosfii)^2)/(res.pig*$A3)/1000)</f>
        <v>12470.765814495917</v>
      </c>
      <c r="M3">
        <f t="shared" ref="M3:M34" si="12">IF(((jän.ale*3*(vaihejännite*cosfii)^2)/(res.Al*$A3))/1000&gt;maxkuorm.i4,maxkuorm.i4,(jän.ale*3*(vaihejännite*cosfii)^2)/(res.Al*$A3)/1000)</f>
        <v>17147.302994931888</v>
      </c>
      <c r="N3" s="3">
        <f>SLOPE((Taulukkotiedot!$D$13:$D$16)*A3,Laskenta!J3:M3)</f>
        <v>0.91134325817757877</v>
      </c>
      <c r="P3">
        <f t="shared" si="0"/>
        <v>12.313886703589286</v>
      </c>
      <c r="Q3">
        <f t="shared" si="1"/>
        <v>11.776199433847699</v>
      </c>
      <c r="R3">
        <f>AVERAGE($I$2:$I3)</f>
        <v>1.1978873734065345</v>
      </c>
      <c r="S3">
        <f>AVERAGE($N$2:$N3)</f>
        <v>0.45567162908878939</v>
      </c>
      <c r="U3" s="7">
        <f>R3*Taulukkotiedot!$I$2+(1-Taulukkotiedot!$I$2)*Laskenta!S3+Laskenta!Q3</f>
        <v>12.602978935095361</v>
      </c>
      <c r="V3" s="7">
        <f>R3*Taulukkotiedot!$I$2+(1-Taulukkotiedot!$I$2)*Laskenta!S3+Laskenta!Q3+P3</f>
        <v>24.916865638684648</v>
      </c>
    </row>
    <row r="4" spans="1:25" s="4" customFormat="1" ht="16.5" customHeight="1" x14ac:dyDescent="0.3">
      <c r="A4" s="10">
        <f>A3+1</f>
        <v>2</v>
      </c>
      <c r="B4" s="51">
        <f t="shared" si="2"/>
        <v>6928.2032302755097</v>
      </c>
      <c r="C4" s="51">
        <f t="shared" si="3"/>
        <v>8140.6387955737237</v>
      </c>
      <c r="D4" s="51">
        <f t="shared" si="4"/>
        <v>9179.8692801150501</v>
      </c>
      <c r="E4" s="51">
        <f t="shared" si="5"/>
        <v>10392.304845413264</v>
      </c>
      <c r="F4" s="51">
        <f t="shared" si="6"/>
        <v>11431.535329954591</v>
      </c>
      <c r="G4" s="51">
        <f t="shared" si="7"/>
        <v>13336.791218280356</v>
      </c>
      <c r="H4" s="51">
        <f t="shared" si="8"/>
        <v>15068.842025849233</v>
      </c>
      <c r="I4" s="3">
        <f>SLOPE(Taulukkotiedot!$D$4:$D$10*A4,Laskenta!B4:H4)</f>
        <v>4.791549493626138</v>
      </c>
      <c r="J4" s="4">
        <f t="shared" si="9"/>
        <v>6623.8532110091746</v>
      </c>
      <c r="K4" s="4">
        <f t="shared" si="10"/>
        <v>9699.4845223857137</v>
      </c>
      <c r="L4" s="4">
        <f t="shared" si="11"/>
        <v>12470.765814495917</v>
      </c>
      <c r="M4" s="4">
        <f t="shared" si="12"/>
        <v>17147.302994931888</v>
      </c>
      <c r="N4" s="3">
        <f>SLOPE((Taulukkotiedot!$D$13:$D$16)*A4,Laskenta!J4:M4)</f>
        <v>1.7462250193415287</v>
      </c>
      <c r="P4" s="4">
        <f t="shared" si="0"/>
        <v>12.313886703589286</v>
      </c>
      <c r="Q4" s="4">
        <f t="shared" si="1"/>
        <v>11.776199433847699</v>
      </c>
      <c r="R4" s="4">
        <f>AVERAGE($I$2:$I4)</f>
        <v>2.395774746813069</v>
      </c>
      <c r="S4" s="4">
        <f>AVERAGE($N$2:$N4)</f>
        <v>0.88585609250636921</v>
      </c>
      <c r="U4" s="7">
        <f>R4*Taulukkotiedot!$I$2+(1-Taulukkotiedot!$I$2)*Laskenta!S4+Laskenta!Q4</f>
        <v>13.417014853507418</v>
      </c>
      <c r="V4" s="7">
        <f>R4*Taulukkotiedot!$I$2+(1-Taulukkotiedot!$I$2)*Laskenta!S4+Laskenta!Q4+P4</f>
        <v>25.730901557096704</v>
      </c>
    </row>
    <row r="5" spans="1:25" ht="16.5" customHeight="1" x14ac:dyDescent="0.3">
      <c r="A5" s="9">
        <f t="shared" ref="A5:A68" si="13">A4+1</f>
        <v>3</v>
      </c>
      <c r="B5" s="51">
        <f t="shared" si="2"/>
        <v>6928.2032302755097</v>
      </c>
      <c r="C5" s="51">
        <f t="shared" si="3"/>
        <v>8140.6387955737237</v>
      </c>
      <c r="D5" s="51">
        <f t="shared" si="4"/>
        <v>9179.8692801150501</v>
      </c>
      <c r="E5" s="51">
        <f t="shared" si="5"/>
        <v>10392.304845413264</v>
      </c>
      <c r="F5" s="51">
        <f t="shared" si="6"/>
        <v>11431.535329954591</v>
      </c>
      <c r="G5" s="51">
        <f t="shared" si="7"/>
        <v>13336.791218280356</v>
      </c>
      <c r="H5" s="51">
        <f t="shared" si="8"/>
        <v>15068.842025849233</v>
      </c>
      <c r="I5" s="3">
        <f>SLOPE(Taulukkotiedot!$D$4:$D$10*A5,Laskenta!B5:H5)</f>
        <v>7.1873242404392084</v>
      </c>
      <c r="J5">
        <f t="shared" si="9"/>
        <v>4415.9021406727825</v>
      </c>
      <c r="K5">
        <f t="shared" si="10"/>
        <v>6779.3427230046964</v>
      </c>
      <c r="L5">
        <f t="shared" si="11"/>
        <v>10241.134751773052</v>
      </c>
      <c r="M5">
        <f t="shared" si="12"/>
        <v>17147.302994931888</v>
      </c>
      <c r="N5" s="3">
        <f>SLOPE((Taulukkotiedot!$D$13:$D$16)*A5,Laskenta!J5:M5)</f>
        <v>2.0303988276188099</v>
      </c>
      <c r="P5">
        <f t="shared" si="0"/>
        <v>12.313886703589286</v>
      </c>
      <c r="Q5">
        <f t="shared" si="1"/>
        <v>11.776199433847699</v>
      </c>
      <c r="R5">
        <f>AVERAGE($I$2:$I5)</f>
        <v>3.5936621202196037</v>
      </c>
      <c r="S5">
        <f>AVERAGE($N$2:$N5)</f>
        <v>1.1719917762844794</v>
      </c>
      <c r="U5" s="7">
        <f>R5*Taulukkotiedot!$I$2+(1-Taulukkotiedot!$I$2)*Laskenta!S5+Laskenta!Q5</f>
        <v>14.159026382099741</v>
      </c>
      <c r="V5" s="7">
        <f>R5*Taulukkotiedot!$I$2+(1-Taulukkotiedot!$I$2)*Laskenta!S5+Laskenta!Q5+P5</f>
        <v>26.472913085689029</v>
      </c>
    </row>
    <row r="6" spans="1:25" s="4" customFormat="1" ht="16.5" customHeight="1" x14ac:dyDescent="0.3">
      <c r="A6" s="10">
        <f t="shared" si="13"/>
        <v>4</v>
      </c>
      <c r="B6" s="51">
        <f t="shared" si="2"/>
        <v>6928.2032302755097</v>
      </c>
      <c r="C6" s="51">
        <f t="shared" si="3"/>
        <v>8140.6387955737237</v>
      </c>
      <c r="D6" s="51">
        <f t="shared" si="4"/>
        <v>9179.8692801150501</v>
      </c>
      <c r="E6" s="51">
        <f t="shared" si="5"/>
        <v>10392.304845413264</v>
      </c>
      <c r="F6" s="51">
        <f t="shared" si="6"/>
        <v>11431.535329954591</v>
      </c>
      <c r="G6" s="51">
        <f t="shared" si="7"/>
        <v>13336.791218280356</v>
      </c>
      <c r="H6" s="51">
        <f t="shared" si="8"/>
        <v>15068.842025849233</v>
      </c>
      <c r="I6" s="3">
        <f>SLOPE(Taulukkotiedot!$D$4:$D$10*A6,Laskenta!B6:H6)</f>
        <v>9.583098987252276</v>
      </c>
      <c r="J6" s="4">
        <f t="shared" si="9"/>
        <v>3311.9266055045873</v>
      </c>
      <c r="K6" s="4">
        <f t="shared" si="10"/>
        <v>5084.5070422535218</v>
      </c>
      <c r="L6" s="4">
        <f t="shared" si="11"/>
        <v>7680.8510638297894</v>
      </c>
      <c r="M6" s="4">
        <f t="shared" si="12"/>
        <v>13884.615384615387</v>
      </c>
      <c r="N6" s="3">
        <f>SLOPE((Taulukkotiedot!$D$13:$D$16)*A6,Laskenta!J6:M6)</f>
        <v>3.1788771656499435</v>
      </c>
      <c r="P6" s="4">
        <f t="shared" si="0"/>
        <v>12.313886703589286</v>
      </c>
      <c r="Q6" s="4">
        <f t="shared" si="1"/>
        <v>11.776199433847699</v>
      </c>
      <c r="R6" s="4">
        <f>AVERAGE($I$2:$I6)</f>
        <v>4.791549493626138</v>
      </c>
      <c r="S6" s="4">
        <f>AVERAGE($N$2:$N6)</f>
        <v>1.5733688541575721</v>
      </c>
      <c r="U6" s="7">
        <f>R6*Taulukkotiedot!$I$2+(1-Taulukkotiedot!$I$2)*Laskenta!S6+Laskenta!Q6</f>
        <v>14.958658607739554</v>
      </c>
      <c r="V6" s="7">
        <f>R6*Taulukkotiedot!$I$2+(1-Taulukkotiedot!$I$2)*Laskenta!S6+Laskenta!Q6+P6</f>
        <v>27.272545311328841</v>
      </c>
    </row>
    <row r="7" spans="1:25" s="1" customFormat="1" ht="16.5" customHeight="1" x14ac:dyDescent="0.3">
      <c r="A7" s="11">
        <f t="shared" si="13"/>
        <v>5</v>
      </c>
      <c r="B7" s="1">
        <f t="shared" si="2"/>
        <v>5553.8461538461543</v>
      </c>
      <c r="C7" s="1">
        <f t="shared" si="3"/>
        <v>7600.0000000000009</v>
      </c>
      <c r="D7" s="1">
        <f t="shared" si="4"/>
        <v>9179.8692801150501</v>
      </c>
      <c r="E7" s="1">
        <f t="shared" si="5"/>
        <v>10392.304845413264</v>
      </c>
      <c r="F7" s="1">
        <f t="shared" si="6"/>
        <v>11431.535329954591</v>
      </c>
      <c r="G7" s="1">
        <f t="shared" si="7"/>
        <v>13336.791218280356</v>
      </c>
      <c r="H7" s="1">
        <f t="shared" si="8"/>
        <v>15068.842025849233</v>
      </c>
      <c r="I7" s="3">
        <f>SLOPE(Taulukkotiedot!$D$4:$D$10*A7,Laskenta!B7:H7)</f>
        <v>10.433738548609082</v>
      </c>
      <c r="J7" s="1">
        <f t="shared" si="9"/>
        <v>2649.54128440367</v>
      </c>
      <c r="K7" s="1">
        <f t="shared" si="10"/>
        <v>4067.6056338028175</v>
      </c>
      <c r="L7" s="1">
        <f t="shared" si="11"/>
        <v>6144.6808510638321</v>
      </c>
      <c r="M7" s="1">
        <f t="shared" si="12"/>
        <v>11107.692307692309</v>
      </c>
      <c r="N7" s="3">
        <f>SLOPE((Taulukkotiedot!$D$13:$D$16)*A7,Laskenta!J7:M7)</f>
        <v>4.9669955713280372</v>
      </c>
      <c r="P7" s="1">
        <f t="shared" si="0"/>
        <v>12.313886703589286</v>
      </c>
      <c r="Q7" s="1">
        <f t="shared" si="1"/>
        <v>11.776199433847699</v>
      </c>
      <c r="R7" s="1">
        <f>AVERAGE($I$2:$I7)</f>
        <v>5.731914336123296</v>
      </c>
      <c r="S7" s="1">
        <f>AVERAGE($N$2:$N7)</f>
        <v>2.1389733070193162</v>
      </c>
      <c r="U7" s="7">
        <f>R7*Taulukkotiedot!$I$2+(1-Taulukkotiedot!$I$2)*Laskenta!S7+Laskenta!Q7</f>
        <v>15.711643255419006</v>
      </c>
      <c r="V7" s="7">
        <f>R7*Taulukkotiedot!$I$2+(1-Taulukkotiedot!$I$2)*Laskenta!S7+Laskenta!Q7+P7</f>
        <v>28.025529959008292</v>
      </c>
    </row>
    <row r="8" spans="1:25" s="4" customFormat="1" ht="16.5" customHeight="1" x14ac:dyDescent="0.3">
      <c r="A8" s="10">
        <f t="shared" si="13"/>
        <v>6</v>
      </c>
      <c r="B8" s="51">
        <f t="shared" si="2"/>
        <v>4628.2051282051289</v>
      </c>
      <c r="C8" s="51">
        <f t="shared" si="3"/>
        <v>6333.333333333333</v>
      </c>
      <c r="D8" s="51">
        <f t="shared" si="4"/>
        <v>8022.2222222222235</v>
      </c>
      <c r="E8" s="51">
        <f t="shared" si="5"/>
        <v>9626.6666666666679</v>
      </c>
      <c r="F8" s="51">
        <f t="shared" si="6"/>
        <v>11431.535329954591</v>
      </c>
      <c r="G8" s="51">
        <f t="shared" si="7"/>
        <v>13336.791218280356</v>
      </c>
      <c r="H8" s="51">
        <f t="shared" si="8"/>
        <v>15068.842025849233</v>
      </c>
      <c r="I8" s="3">
        <f>SLOPE(Taulukkotiedot!$D$4:$D$10*A8,Laskenta!B8:H8)</f>
        <v>10.938729355713431</v>
      </c>
      <c r="J8" s="4">
        <f t="shared" si="9"/>
        <v>2207.9510703363912</v>
      </c>
      <c r="K8" s="4">
        <f t="shared" si="10"/>
        <v>3389.6713615023482</v>
      </c>
      <c r="L8" s="4">
        <f t="shared" si="11"/>
        <v>5120.567375886526</v>
      </c>
      <c r="M8" s="4">
        <f t="shared" si="12"/>
        <v>9256.4102564102577</v>
      </c>
      <c r="N8" s="3">
        <f>SLOPE((Taulukkotiedot!$D$13:$D$16)*A8,Laskenta!J8:M8)</f>
        <v>7.1524736227123711</v>
      </c>
      <c r="P8" s="4">
        <f t="shared" si="0"/>
        <v>12.313886703589286</v>
      </c>
      <c r="Q8" s="4">
        <f t="shared" si="1"/>
        <v>11.776199433847699</v>
      </c>
      <c r="R8" s="4">
        <f>AVERAGE($I$2:$I8)</f>
        <v>6.4757450532076017</v>
      </c>
      <c r="S8" s="4">
        <f>AVERAGE($N$2:$N8)</f>
        <v>2.8551876378326102</v>
      </c>
      <c r="U8" s="7">
        <f>R8*Taulukkotiedot!$I$2+(1-Taulukkotiedot!$I$2)*Laskenta!S8+Laskenta!Q8</f>
        <v>16.441665779367806</v>
      </c>
      <c r="V8" s="7">
        <f>R8*Taulukkotiedot!$I$2+(1-Taulukkotiedot!$I$2)*Laskenta!S8+Laskenta!Q8+P8</f>
        <v>28.755552482957093</v>
      </c>
    </row>
    <row r="9" spans="1:25" ht="16.5" customHeight="1" x14ac:dyDescent="0.3">
      <c r="A9" s="9">
        <f t="shared" si="13"/>
        <v>7</v>
      </c>
      <c r="B9" s="51">
        <f t="shared" si="2"/>
        <v>3967.0329670329675</v>
      </c>
      <c r="C9" s="51">
        <f t="shared" si="3"/>
        <v>5428.5714285714294</v>
      </c>
      <c r="D9" s="51">
        <f t="shared" si="4"/>
        <v>6876.1904761904771</v>
      </c>
      <c r="E9" s="51">
        <f t="shared" si="5"/>
        <v>8251.4285714285725</v>
      </c>
      <c r="F9" s="51">
        <f t="shared" si="6"/>
        <v>10314.285714285714</v>
      </c>
      <c r="G9" s="51">
        <f t="shared" si="7"/>
        <v>13336.791218280356</v>
      </c>
      <c r="H9" s="51">
        <f t="shared" si="8"/>
        <v>15068.842025849233</v>
      </c>
      <c r="I9" s="3">
        <f>SLOPE(Taulukkotiedot!$D$4:$D$10*A9,Laskenta!B9:H9)</f>
        <v>11.786378056633273</v>
      </c>
      <c r="J9">
        <f t="shared" si="9"/>
        <v>1892.5294888597641</v>
      </c>
      <c r="K9">
        <f t="shared" si="10"/>
        <v>2905.4325955734412</v>
      </c>
      <c r="L9">
        <f t="shared" si="11"/>
        <v>4389.0577507598791</v>
      </c>
      <c r="M9">
        <f t="shared" si="12"/>
        <v>7934.0659340659349</v>
      </c>
      <c r="N9" s="3">
        <f>SLOPE((Taulukkotiedot!$D$13:$D$16)*A9,Laskenta!J9:M9)</f>
        <v>9.7353113198029497</v>
      </c>
      <c r="P9">
        <f t="shared" si="0"/>
        <v>12.313886703589286</v>
      </c>
      <c r="Q9">
        <f t="shared" si="1"/>
        <v>11.776199433847699</v>
      </c>
      <c r="R9">
        <f>AVERAGE($I$2:$I9)</f>
        <v>7.1395741786358107</v>
      </c>
      <c r="S9">
        <f>AVERAGE($N$2:$N9)</f>
        <v>3.7152030980789026</v>
      </c>
      <c r="U9" s="7">
        <f>R9*Taulukkotiedot!$I$2+(1-Taulukkotiedot!$I$2)*Laskenta!S9+Laskenta!Q9</f>
        <v>17.203588072205058</v>
      </c>
      <c r="V9" s="7">
        <f>R9*Taulukkotiedot!$I$2+(1-Taulukkotiedot!$I$2)*Laskenta!S9+Laskenta!Q9+P9</f>
        <v>29.517474775794344</v>
      </c>
    </row>
    <row r="10" spans="1:25" s="4" customFormat="1" ht="16.5" customHeight="1" x14ac:dyDescent="0.3">
      <c r="A10" s="10">
        <f t="shared" si="13"/>
        <v>8</v>
      </c>
      <c r="B10" s="51">
        <f t="shared" si="2"/>
        <v>3471.1538461538466</v>
      </c>
      <c r="C10" s="51">
        <f t="shared" si="3"/>
        <v>4750.0000000000009</v>
      </c>
      <c r="D10" s="51">
        <f t="shared" si="4"/>
        <v>6016.6666666666679</v>
      </c>
      <c r="E10" s="51">
        <f t="shared" si="5"/>
        <v>7220.0000000000009</v>
      </c>
      <c r="F10" s="51">
        <f t="shared" si="6"/>
        <v>9025</v>
      </c>
      <c r="G10" s="51">
        <f t="shared" si="7"/>
        <v>12033.333333333336</v>
      </c>
      <c r="H10" s="51">
        <f t="shared" si="8"/>
        <v>15041.66666666667</v>
      </c>
      <c r="I10" s="3">
        <f>SLOPE(Taulukkotiedot!$D$4:$D$10*A10,Laskenta!B10:H10)</f>
        <v>13.390443747708002</v>
      </c>
      <c r="J10" s="4">
        <f t="shared" si="9"/>
        <v>1655.9633027522937</v>
      </c>
      <c r="K10" s="4">
        <f t="shared" si="10"/>
        <v>2542.2535211267609</v>
      </c>
      <c r="L10" s="4">
        <f t="shared" si="11"/>
        <v>3840.4255319148947</v>
      </c>
      <c r="M10" s="4">
        <f t="shared" si="12"/>
        <v>6942.3076923076933</v>
      </c>
      <c r="N10" s="3">
        <f>SLOPE((Taulukkotiedot!$D$13:$D$16)*A10,Laskenta!J10:M10)</f>
        <v>12.715508662599774</v>
      </c>
      <c r="P10" s="4">
        <f t="shared" si="0"/>
        <v>12.313886703589286</v>
      </c>
      <c r="Q10" s="4">
        <f t="shared" si="1"/>
        <v>11.776199433847699</v>
      </c>
      <c r="R10" s="4">
        <f>AVERAGE($I$2:$I10)</f>
        <v>7.834115241866054</v>
      </c>
      <c r="S10" s="4">
        <f>AVERAGE($N$2:$N10)</f>
        <v>4.7152370496923321</v>
      </c>
      <c r="U10" s="7">
        <f>R10*Taulukkotiedot!$I$2+(1-Taulukkotiedot!$I$2)*Laskenta!S10+Laskenta!Q10</f>
        <v>18.05087557962689</v>
      </c>
      <c r="V10" s="7">
        <f>R10*Taulukkotiedot!$I$2+(1-Taulukkotiedot!$I$2)*Laskenta!S10+Laskenta!Q10+P10</f>
        <v>30.364762283216177</v>
      </c>
    </row>
    <row r="11" spans="1:25" ht="16.5" customHeight="1" x14ac:dyDescent="0.3">
      <c r="A11" s="9">
        <f t="shared" si="13"/>
        <v>9</v>
      </c>
      <c r="B11" s="51">
        <f t="shared" si="2"/>
        <v>3085.4700854700859</v>
      </c>
      <c r="C11" s="51">
        <f t="shared" si="3"/>
        <v>4222.2222222222226</v>
      </c>
      <c r="D11" s="51">
        <f t="shared" si="4"/>
        <v>5348.1481481481496</v>
      </c>
      <c r="E11" s="51">
        <f t="shared" si="5"/>
        <v>6417.7777777777792</v>
      </c>
      <c r="F11" s="51">
        <f t="shared" si="6"/>
        <v>8022.2222222222226</v>
      </c>
      <c r="G11" s="51">
        <f t="shared" si="7"/>
        <v>10696.296296296299</v>
      </c>
      <c r="H11" s="51">
        <f t="shared" si="8"/>
        <v>13370.37037037037</v>
      </c>
      <c r="I11" s="3">
        <f>SLOPE(Taulukkotiedot!$D$4:$D$10*A11,Laskenta!B11:H11)</f>
        <v>16.947280368192938</v>
      </c>
      <c r="J11">
        <f t="shared" si="9"/>
        <v>1471.967380224261</v>
      </c>
      <c r="K11">
        <f t="shared" si="10"/>
        <v>2259.780907668232</v>
      </c>
      <c r="L11">
        <f t="shared" si="11"/>
        <v>3413.7115839243506</v>
      </c>
      <c r="M11">
        <f t="shared" si="12"/>
        <v>6170.9401709401718</v>
      </c>
      <c r="N11" s="3">
        <f>SLOPE((Taulukkotiedot!$D$13:$D$16)*A11,Laskenta!J11:M11)</f>
        <v>16.093065651102837</v>
      </c>
      <c r="P11">
        <f t="shared" si="0"/>
        <v>12.313886703589286</v>
      </c>
      <c r="Q11">
        <f t="shared" si="1"/>
        <v>11.776199433847699</v>
      </c>
      <c r="R11">
        <f>AVERAGE($I$2:$I11)</f>
        <v>8.7454317544987425</v>
      </c>
      <c r="S11">
        <f>AVERAGE($N$2:$N11)</f>
        <v>5.8530199098333826</v>
      </c>
      <c r="U11" s="7">
        <f>R11*Taulukkotiedot!$I$2+(1-Taulukkotiedot!$I$2)*Laskenta!S11+Laskenta!Q11</f>
        <v>19.07542526601376</v>
      </c>
      <c r="V11" s="7">
        <f>R11*Taulukkotiedot!$I$2+(1-Taulukkotiedot!$I$2)*Laskenta!S11+Laskenta!Q11+P11</f>
        <v>31.389311969603046</v>
      </c>
    </row>
    <row r="12" spans="1:25" s="5" customFormat="1" ht="16.5" customHeight="1" x14ac:dyDescent="0.3">
      <c r="A12" s="12">
        <f t="shared" si="13"/>
        <v>10</v>
      </c>
      <c r="B12" s="51">
        <f t="shared" si="2"/>
        <v>2776.9230769230771</v>
      </c>
      <c r="C12" s="51">
        <f t="shared" si="3"/>
        <v>3800.0000000000005</v>
      </c>
      <c r="D12" s="51">
        <f t="shared" si="4"/>
        <v>4813.3333333333339</v>
      </c>
      <c r="E12" s="51">
        <f t="shared" si="5"/>
        <v>5776.0000000000009</v>
      </c>
      <c r="F12" s="51">
        <f t="shared" si="6"/>
        <v>7220.0000000000009</v>
      </c>
      <c r="G12" s="51">
        <f t="shared" si="7"/>
        <v>9626.6666666666679</v>
      </c>
      <c r="H12" s="51">
        <f t="shared" si="8"/>
        <v>12033.333333333336</v>
      </c>
      <c r="I12" s="3">
        <f>SLOPE(Taulukkotiedot!$D$4:$D$10*A12,Laskenta!B12:H12)</f>
        <v>20.922568355793747</v>
      </c>
      <c r="J12" s="5">
        <f t="shared" si="9"/>
        <v>1324.770642201835</v>
      </c>
      <c r="K12" s="5">
        <f t="shared" si="10"/>
        <v>2033.8028169014087</v>
      </c>
      <c r="L12" s="5">
        <f t="shared" si="11"/>
        <v>3072.340425531916</v>
      </c>
      <c r="M12" s="5">
        <f t="shared" si="12"/>
        <v>5553.8461538461543</v>
      </c>
      <c r="N12" s="3">
        <f>SLOPE((Taulukkotiedot!$D$13:$D$16)*A12,Laskenta!J12:M12)</f>
        <v>19.867982285312149</v>
      </c>
      <c r="P12" s="5">
        <f t="shared" si="0"/>
        <v>12.313886703589286</v>
      </c>
      <c r="Q12" s="5">
        <f t="shared" si="1"/>
        <v>11.776199433847699</v>
      </c>
      <c r="R12" s="5">
        <f>AVERAGE($I$2:$I12)</f>
        <v>9.8524441727982879</v>
      </c>
      <c r="S12" s="5">
        <f>AVERAGE($N$2:$N12)</f>
        <v>7.1271073985132709</v>
      </c>
      <c r="U12" s="7">
        <f>R12*Taulukkotiedot!$I$2+(1-Taulukkotiedot!$I$2)*Laskenta!S12+Laskenta!Q12</f>
        <v>20.265975219503481</v>
      </c>
      <c r="V12" s="7">
        <f>R12*Taulukkotiedot!$I$2+(1-Taulukkotiedot!$I$2)*Laskenta!S12+Laskenta!Q12+P12</f>
        <v>32.579861923092764</v>
      </c>
    </row>
    <row r="13" spans="1:25" x14ac:dyDescent="0.3">
      <c r="A13" s="9">
        <f t="shared" si="13"/>
        <v>11</v>
      </c>
      <c r="B13" s="51">
        <f t="shared" si="2"/>
        <v>2524.4755244755247</v>
      </c>
      <c r="C13" s="51">
        <f t="shared" si="3"/>
        <v>3454.545454545455</v>
      </c>
      <c r="D13" s="51">
        <f t="shared" si="4"/>
        <v>4375.757575757576</v>
      </c>
      <c r="E13" s="51">
        <f t="shared" si="5"/>
        <v>5250.9090909090919</v>
      </c>
      <c r="F13" s="51">
        <f t="shared" si="6"/>
        <v>6563.636363636364</v>
      </c>
      <c r="G13" s="51">
        <f t="shared" si="7"/>
        <v>8751.515151515152</v>
      </c>
      <c r="H13" s="51">
        <f t="shared" si="8"/>
        <v>10939.393939393942</v>
      </c>
      <c r="I13" s="3">
        <f>SLOPE(Taulukkotiedot!$D$4:$D$10*A13,Laskenta!B13:H13)</f>
        <v>25.316307710510436</v>
      </c>
      <c r="J13">
        <f t="shared" si="9"/>
        <v>1204.3369474562137</v>
      </c>
      <c r="K13">
        <f t="shared" si="10"/>
        <v>1848.9116517285534</v>
      </c>
      <c r="L13">
        <f t="shared" si="11"/>
        <v>2793.0367504835594</v>
      </c>
      <c r="M13">
        <f t="shared" si="12"/>
        <v>5048.9510489510494</v>
      </c>
      <c r="N13" s="3">
        <f>SLOPE((Taulukkotiedot!$D$13:$D$16)*A13,Laskenta!J13:M13)</f>
        <v>24.040258565227699</v>
      </c>
      <c r="P13">
        <f t="shared" si="0"/>
        <v>12.313886703589286</v>
      </c>
      <c r="Q13">
        <f t="shared" si="1"/>
        <v>11.776199433847699</v>
      </c>
      <c r="R13">
        <f>AVERAGE($I$2:$I13)</f>
        <v>11.141099467607633</v>
      </c>
      <c r="S13">
        <f>AVERAGE($N$2:$N13)</f>
        <v>8.5365366624061405</v>
      </c>
      <c r="U13" s="7">
        <f>R13*Taulukkotiedot!$I$2+(1-Taulukkotiedot!$I$2)*Laskenta!S13+Laskenta!Q13</f>
        <v>21.615017498854584</v>
      </c>
      <c r="V13" s="7">
        <f>R13*Taulukkotiedot!$I$2+(1-Taulukkotiedot!$I$2)*Laskenta!S13+Laskenta!Q13+P13</f>
        <v>33.928904202443874</v>
      </c>
    </row>
    <row r="14" spans="1:25" s="4" customFormat="1" x14ac:dyDescent="0.3">
      <c r="A14" s="10">
        <f t="shared" si="13"/>
        <v>12</v>
      </c>
      <c r="B14" s="51">
        <f t="shared" si="2"/>
        <v>2314.1025641025644</v>
      </c>
      <c r="C14" s="51">
        <f t="shared" si="3"/>
        <v>3166.6666666666665</v>
      </c>
      <c r="D14" s="51">
        <f t="shared" si="4"/>
        <v>4011.1111111111118</v>
      </c>
      <c r="E14" s="51">
        <f t="shared" si="5"/>
        <v>4813.3333333333339</v>
      </c>
      <c r="F14" s="51">
        <f t="shared" si="6"/>
        <v>6016.666666666667</v>
      </c>
      <c r="G14" s="51">
        <f t="shared" si="7"/>
        <v>8022.2222222222235</v>
      </c>
      <c r="H14" s="51">
        <f t="shared" si="8"/>
        <v>10027.777777777779</v>
      </c>
      <c r="I14" s="3">
        <f>SLOPE(Taulukkotiedot!$D$4:$D$10*A14,Laskenta!B14:H14)</f>
        <v>30.128498432342997</v>
      </c>
      <c r="J14" s="4">
        <f t="shared" si="9"/>
        <v>1103.9755351681956</v>
      </c>
      <c r="K14" s="4">
        <f t="shared" si="10"/>
        <v>1694.8356807511741</v>
      </c>
      <c r="L14" s="4">
        <f t="shared" si="11"/>
        <v>2560.283687943263</v>
      </c>
      <c r="M14" s="4">
        <f t="shared" si="12"/>
        <v>4628.2051282051289</v>
      </c>
      <c r="N14" s="3">
        <f>SLOPE((Taulukkotiedot!$D$13:$D$16)*A14,Laskenta!J14:M14)</f>
        <v>28.609894490849484</v>
      </c>
      <c r="P14" s="4">
        <f t="shared" si="0"/>
        <v>12.313886703589286</v>
      </c>
      <c r="Q14" s="4">
        <f t="shared" si="1"/>
        <v>11.776199433847699</v>
      </c>
      <c r="R14" s="4">
        <f>AVERAGE($I$2:$I14)</f>
        <v>12.601668618741124</v>
      </c>
      <c r="S14" s="4">
        <f>AVERAGE($N$2:$N14)</f>
        <v>10.080641110747935</v>
      </c>
      <c r="U14" s="7">
        <f>R14*Taulukkotiedot!$I$2+(1-Taulukkotiedot!$I$2)*Laskenta!S14+Laskenta!Q14</f>
        <v>23.117354298592229</v>
      </c>
      <c r="V14" s="7">
        <f>R14*Taulukkotiedot!$I$2+(1-Taulukkotiedot!$I$2)*Laskenta!S14+Laskenta!Q14+P14</f>
        <v>35.431241002181515</v>
      </c>
    </row>
    <row r="15" spans="1:25" x14ac:dyDescent="0.3">
      <c r="A15" s="9">
        <f t="shared" si="13"/>
        <v>13</v>
      </c>
      <c r="B15" s="51">
        <f t="shared" si="2"/>
        <v>2136.0946745562132</v>
      </c>
      <c r="C15" s="51">
        <f t="shared" si="3"/>
        <v>2923.0769230769229</v>
      </c>
      <c r="D15" s="51">
        <f t="shared" si="4"/>
        <v>3702.564102564103</v>
      </c>
      <c r="E15" s="51">
        <f t="shared" si="5"/>
        <v>4443.0769230769238</v>
      </c>
      <c r="F15" s="51">
        <f t="shared" si="6"/>
        <v>5553.8461538461543</v>
      </c>
      <c r="G15" s="51">
        <f t="shared" si="7"/>
        <v>7405.128205128206</v>
      </c>
      <c r="H15" s="51">
        <f t="shared" si="8"/>
        <v>9256.4102564102577</v>
      </c>
      <c r="I15" s="3">
        <f>SLOPE(Taulukkotiedot!$D$4:$D$10*A15,Laskenta!B15:H15)</f>
        <v>35.359140521291437</v>
      </c>
      <c r="J15">
        <f t="shared" si="9"/>
        <v>1019.0543401552576</v>
      </c>
      <c r="K15">
        <f t="shared" si="10"/>
        <v>1564.4637053087758</v>
      </c>
      <c r="L15">
        <f t="shared" si="11"/>
        <v>2363.3387888707043</v>
      </c>
      <c r="M15">
        <f t="shared" si="12"/>
        <v>4272.1893491124265</v>
      </c>
      <c r="N15" s="3">
        <f>SLOPE((Taulukkotiedot!$D$13:$D$16)*A15,Laskenta!J15:M15)</f>
        <v>33.576890062177526</v>
      </c>
      <c r="P15">
        <f t="shared" si="0"/>
        <v>12.313886703589286</v>
      </c>
      <c r="Q15">
        <f t="shared" si="1"/>
        <v>11.776199433847699</v>
      </c>
      <c r="R15">
        <f>AVERAGE($I$2:$I15)</f>
        <v>14.227202326066147</v>
      </c>
      <c r="S15">
        <f>AVERAGE($N$2:$N15)</f>
        <v>11.75894460727862</v>
      </c>
      <c r="U15" s="7">
        <f>R15*Taulukkotiedot!$I$2+(1-Taulukkotiedot!$I$2)*Laskenta!S15+Laskenta!Q15</f>
        <v>24.769272900520082</v>
      </c>
      <c r="V15" s="7">
        <f>R15*Taulukkotiedot!$I$2+(1-Taulukkotiedot!$I$2)*Laskenta!S15+Laskenta!Q15+P15</f>
        <v>37.083159604109369</v>
      </c>
    </row>
    <row r="16" spans="1:25" s="4" customFormat="1" x14ac:dyDescent="0.3">
      <c r="A16" s="10">
        <f t="shared" si="13"/>
        <v>14</v>
      </c>
      <c r="B16" s="51">
        <f t="shared" si="2"/>
        <v>1983.5164835164837</v>
      </c>
      <c r="C16" s="51">
        <f t="shared" si="3"/>
        <v>2714.2857142857147</v>
      </c>
      <c r="D16" s="51">
        <f t="shared" si="4"/>
        <v>3438.0952380952385</v>
      </c>
      <c r="E16" s="51">
        <f t="shared" si="5"/>
        <v>4125.7142857142862</v>
      </c>
      <c r="F16" s="51">
        <f t="shared" si="6"/>
        <v>5157.1428571428569</v>
      </c>
      <c r="G16" s="51">
        <f t="shared" si="7"/>
        <v>6876.1904761904771</v>
      </c>
      <c r="H16" s="51">
        <f t="shared" si="8"/>
        <v>8595.2380952380972</v>
      </c>
      <c r="I16" s="3">
        <f>SLOPE(Taulukkotiedot!$D$4:$D$10*A16,Laskenta!B16:H16)</f>
        <v>41.008233977355744</v>
      </c>
      <c r="J16" s="4">
        <f t="shared" si="9"/>
        <v>946.26474442988206</v>
      </c>
      <c r="K16" s="4">
        <f t="shared" si="10"/>
        <v>1452.7162977867206</v>
      </c>
      <c r="L16" s="4">
        <f t="shared" si="11"/>
        <v>2194.5288753799396</v>
      </c>
      <c r="M16" s="4">
        <f t="shared" si="12"/>
        <v>3967.0329670329675</v>
      </c>
      <c r="N16" s="3">
        <f>SLOPE((Taulukkotiedot!$D$13:$D$16)*A16,Laskenta!J16:M16)</f>
        <v>38.941245279211799</v>
      </c>
      <c r="P16" s="4">
        <f t="shared" si="0"/>
        <v>12.313886703589286</v>
      </c>
      <c r="Q16" s="4">
        <f t="shared" si="1"/>
        <v>11.776199433847699</v>
      </c>
      <c r="R16" s="4">
        <f>AVERAGE($I$2:$I16)</f>
        <v>16.01260443615212</v>
      </c>
      <c r="S16" s="4">
        <f>AVERAGE($N$2:$N16)</f>
        <v>13.571097985407498</v>
      </c>
      <c r="U16" s="7">
        <f>R16*Taulukkotiedot!$I$2+(1-Taulukkotiedot!$I$2)*Laskenta!S16+Laskenta!Q16</f>
        <v>26.568050644627508</v>
      </c>
      <c r="V16" s="7">
        <f>R16*Taulukkotiedot!$I$2+(1-Taulukkotiedot!$I$2)*Laskenta!S16+Laskenta!Q16+P16</f>
        <v>38.881937348216795</v>
      </c>
    </row>
    <row r="17" spans="1:22" s="1" customFormat="1" x14ac:dyDescent="0.3">
      <c r="A17" s="11">
        <f t="shared" si="13"/>
        <v>15</v>
      </c>
      <c r="B17" s="1">
        <f t="shared" si="2"/>
        <v>1851.2820512820513</v>
      </c>
      <c r="C17" s="1">
        <f t="shared" si="3"/>
        <v>2533.3333333333335</v>
      </c>
      <c r="D17" s="1">
        <f t="shared" si="4"/>
        <v>3208.8888888888896</v>
      </c>
      <c r="E17" s="1">
        <f t="shared" si="5"/>
        <v>3850.666666666667</v>
      </c>
      <c r="F17" s="1">
        <f t="shared" si="6"/>
        <v>4813.3333333333339</v>
      </c>
      <c r="G17" s="1">
        <f t="shared" si="7"/>
        <v>6417.7777777777792</v>
      </c>
      <c r="H17" s="1">
        <f t="shared" si="8"/>
        <v>8022.2222222222235</v>
      </c>
      <c r="I17" s="3">
        <f>SLOPE(Taulukkotiedot!$D$4:$D$10*A17,Laskenta!B17:H17)</f>
        <v>47.075778800535929</v>
      </c>
      <c r="J17" s="1">
        <f t="shared" si="9"/>
        <v>883.18042813455668</v>
      </c>
      <c r="K17" s="1">
        <f t="shared" si="10"/>
        <v>1355.8685446009395</v>
      </c>
      <c r="L17" s="1">
        <f t="shared" si="11"/>
        <v>2048.2269503546104</v>
      </c>
      <c r="M17" s="1">
        <f t="shared" si="12"/>
        <v>3702.5641025641025</v>
      </c>
      <c r="N17" s="3">
        <f>SLOPE((Taulukkotiedot!$D$13:$D$16)*A17,Laskenta!J17:M17)</f>
        <v>44.702960141952332</v>
      </c>
      <c r="P17" s="1">
        <f t="shared" si="0"/>
        <v>12.313886703589286</v>
      </c>
      <c r="Q17" s="1">
        <f t="shared" si="1"/>
        <v>11.776199433847699</v>
      </c>
      <c r="R17" s="1">
        <f>AVERAGE($I$2:$I17)</f>
        <v>17.954052833926109</v>
      </c>
      <c r="S17" s="1">
        <f>AVERAGE($N$2:$N17)</f>
        <v>15.516839370191549</v>
      </c>
      <c r="U17" s="7">
        <f>R17*Taulukkotiedot!$I$2+(1-Taulukkotiedot!$I$2)*Laskenta!S17+Laskenta!Q17</f>
        <v>28.511645535906531</v>
      </c>
      <c r="V17" s="7">
        <f>R17*Taulukkotiedot!$I$2+(1-Taulukkotiedot!$I$2)*Laskenta!S17+Laskenta!Q17+P17</f>
        <v>40.825532239495814</v>
      </c>
    </row>
    <row r="18" spans="1:22" s="4" customFormat="1" x14ac:dyDescent="0.3">
      <c r="A18" s="10">
        <f t="shared" si="13"/>
        <v>16</v>
      </c>
      <c r="B18" s="51">
        <f t="shared" si="2"/>
        <v>1735.5769230769233</v>
      </c>
      <c r="C18" s="51">
        <f t="shared" si="3"/>
        <v>2375.0000000000005</v>
      </c>
      <c r="D18" s="51">
        <f t="shared" si="4"/>
        <v>3008.3333333333339</v>
      </c>
      <c r="E18" s="51">
        <f t="shared" si="5"/>
        <v>3610.0000000000005</v>
      </c>
      <c r="F18" s="51">
        <f t="shared" si="6"/>
        <v>4512.5</v>
      </c>
      <c r="G18" s="51">
        <f t="shared" si="7"/>
        <v>6016.6666666666679</v>
      </c>
      <c r="H18" s="51">
        <f t="shared" si="8"/>
        <v>7520.8333333333348</v>
      </c>
      <c r="I18" s="3">
        <f>SLOPE(Taulukkotiedot!$D$4:$D$10*A18,Laskenta!B18:H18)</f>
        <v>53.561774990832006</v>
      </c>
      <c r="J18" s="4">
        <f t="shared" si="9"/>
        <v>827.98165137614683</v>
      </c>
      <c r="K18" s="4">
        <f t="shared" si="10"/>
        <v>1271.1267605633805</v>
      </c>
      <c r="L18" s="4">
        <f t="shared" si="11"/>
        <v>1920.2127659574473</v>
      </c>
      <c r="M18" s="4">
        <f t="shared" si="12"/>
        <v>3471.1538461538466</v>
      </c>
      <c r="N18" s="3">
        <f>SLOPE((Taulukkotiedot!$D$13:$D$16)*A18,Laskenta!J18:M18)</f>
        <v>50.862034650399096</v>
      </c>
      <c r="P18" s="4">
        <f t="shared" si="0"/>
        <v>12.313886703589286</v>
      </c>
      <c r="Q18" s="4">
        <f t="shared" si="1"/>
        <v>11.776199433847699</v>
      </c>
      <c r="R18" s="4">
        <f>AVERAGE($I$2:$I18)</f>
        <v>20.048624725508809</v>
      </c>
      <c r="S18" s="4">
        <f>AVERAGE($N$2:$N18)</f>
        <v>17.595968504321405</v>
      </c>
      <c r="U18" s="7">
        <f>R18*Taulukkotiedot!$I$2+(1-Taulukkotiedot!$I$2)*Laskenta!S18+Laskenta!Q18</f>
        <v>30.598496048762804</v>
      </c>
      <c r="V18" s="7">
        <f>R18*Taulukkotiedot!$I$2+(1-Taulukkotiedot!$I$2)*Laskenta!S18+Laskenta!Q18+P18</f>
        <v>42.912382752352087</v>
      </c>
    </row>
    <row r="19" spans="1:22" x14ac:dyDescent="0.3">
      <c r="A19" s="9">
        <f t="shared" si="13"/>
        <v>17</v>
      </c>
      <c r="B19" s="51">
        <f t="shared" si="2"/>
        <v>1633.484162895928</v>
      </c>
      <c r="C19" s="51">
        <f t="shared" si="3"/>
        <v>2235.2941176470595</v>
      </c>
      <c r="D19" s="51">
        <f t="shared" si="4"/>
        <v>2831.372549019608</v>
      </c>
      <c r="E19" s="51">
        <f t="shared" si="5"/>
        <v>3397.6470588235297</v>
      </c>
      <c r="F19" s="51">
        <f t="shared" si="6"/>
        <v>4247.0588235294117</v>
      </c>
      <c r="G19" s="51">
        <f t="shared" si="7"/>
        <v>5662.7450980392159</v>
      </c>
      <c r="H19" s="51">
        <f t="shared" si="8"/>
        <v>7078.431372549021</v>
      </c>
      <c r="I19" s="3">
        <f>SLOPE(Taulukkotiedot!$D$4:$D$10*A19,Laskenta!B19:H19)</f>
        <v>60.466222548243934</v>
      </c>
      <c r="J19">
        <f t="shared" si="9"/>
        <v>779.27684835402056</v>
      </c>
      <c r="K19">
        <f t="shared" si="10"/>
        <v>1196.3545981772991</v>
      </c>
      <c r="L19">
        <f t="shared" si="11"/>
        <v>1807.2590738423035</v>
      </c>
      <c r="M19">
        <f t="shared" si="12"/>
        <v>3266.9683257918559</v>
      </c>
      <c r="N19" s="3">
        <f>SLOPE((Taulukkotiedot!$D$13:$D$16)*A19,Laskenta!J19:M19)</f>
        <v>57.418468804552091</v>
      </c>
      <c r="P19">
        <f t="shared" si="0"/>
        <v>12.313886703589286</v>
      </c>
      <c r="Q19">
        <f t="shared" si="1"/>
        <v>11.776199433847699</v>
      </c>
      <c r="R19">
        <f>AVERAGE($I$2:$I19)</f>
        <v>22.294046826771872</v>
      </c>
      <c r="S19">
        <f>AVERAGE($N$2:$N19)</f>
        <v>19.808329632111999</v>
      </c>
      <c r="U19" s="7">
        <f>R19*Taulukkotiedot!$I$2+(1-Taulukkotiedot!$I$2)*Laskenta!S19+Laskenta!Q19</f>
        <v>32.827387663289635</v>
      </c>
      <c r="V19" s="7">
        <f>R19*Taulukkotiedot!$I$2+(1-Taulukkotiedot!$I$2)*Laskenta!S19+Laskenta!Q19+P19</f>
        <v>45.141274366878918</v>
      </c>
    </row>
    <row r="20" spans="1:22" s="4" customFormat="1" x14ac:dyDescent="0.3">
      <c r="A20" s="10">
        <f t="shared" si="13"/>
        <v>18</v>
      </c>
      <c r="B20" s="51">
        <f t="shared" si="2"/>
        <v>1542.735042735043</v>
      </c>
      <c r="C20" s="51">
        <f t="shared" si="3"/>
        <v>2111.1111111111113</v>
      </c>
      <c r="D20" s="51">
        <f t="shared" si="4"/>
        <v>2674.0740740740748</v>
      </c>
      <c r="E20" s="51">
        <f t="shared" si="5"/>
        <v>3208.8888888888896</v>
      </c>
      <c r="F20" s="51">
        <f t="shared" si="6"/>
        <v>4011.1111111111113</v>
      </c>
      <c r="G20" s="51">
        <f t="shared" si="7"/>
        <v>5348.1481481481496</v>
      </c>
      <c r="H20" s="51">
        <f t="shared" si="8"/>
        <v>6685.1851851851852</v>
      </c>
      <c r="I20" s="3">
        <f>SLOPE(Taulukkotiedot!$D$4:$D$10*A20,Laskenta!B20:H20)</f>
        <v>67.789121472771754</v>
      </c>
      <c r="J20" s="4">
        <f t="shared" si="9"/>
        <v>735.98369011213049</v>
      </c>
      <c r="K20" s="4">
        <f t="shared" si="10"/>
        <v>1129.890453834116</v>
      </c>
      <c r="L20" s="4">
        <f t="shared" si="11"/>
        <v>1706.8557919621753</v>
      </c>
      <c r="M20" s="4">
        <f t="shared" si="12"/>
        <v>3085.4700854700859</v>
      </c>
      <c r="N20" s="3">
        <f>SLOPE((Taulukkotiedot!$D$13:$D$16)*A20,Laskenta!J20:M20)</f>
        <v>64.372262604411347</v>
      </c>
      <c r="P20" s="4">
        <f t="shared" si="0"/>
        <v>12.313886703589286</v>
      </c>
      <c r="Q20" s="4">
        <f t="shared" si="1"/>
        <v>11.776199433847699</v>
      </c>
      <c r="R20" s="4">
        <f>AVERAGE($I$2:$I20)</f>
        <v>24.688524439719234</v>
      </c>
      <c r="S20" s="4">
        <f>AVERAGE($N$2:$N20)</f>
        <v>22.153799788548806</v>
      </c>
      <c r="U20" s="7">
        <f>R20*Taulukkotiedot!$I$2+(1-Taulukkotiedot!$I$2)*Laskenta!S20+Laskenta!Q20</f>
        <v>35.197361547981721</v>
      </c>
      <c r="V20" s="7">
        <f>R20*Taulukkotiedot!$I$2+(1-Taulukkotiedot!$I$2)*Laskenta!S20+Laskenta!Q20+P20</f>
        <v>47.511248251571004</v>
      </c>
    </row>
    <row r="21" spans="1:22" x14ac:dyDescent="0.3">
      <c r="A21" s="9">
        <f t="shared" si="13"/>
        <v>19</v>
      </c>
      <c r="B21" s="51">
        <f t="shared" si="2"/>
        <v>1461.5384615384614</v>
      </c>
      <c r="C21" s="51">
        <f t="shared" si="3"/>
        <v>2000.0000000000002</v>
      </c>
      <c r="D21" s="51">
        <f t="shared" si="4"/>
        <v>2533.3333333333335</v>
      </c>
      <c r="E21" s="51">
        <f t="shared" si="5"/>
        <v>3040.0000000000005</v>
      </c>
      <c r="F21" s="51">
        <f t="shared" si="6"/>
        <v>3800</v>
      </c>
      <c r="G21" s="51">
        <f t="shared" si="7"/>
        <v>5066.666666666667</v>
      </c>
      <c r="H21" s="51">
        <f t="shared" si="8"/>
        <v>6333.3333333333348</v>
      </c>
      <c r="I21" s="3">
        <f>SLOPE(Taulukkotiedot!$D$4:$D$10*A21,Laskenta!B21:H21)</f>
        <v>75.530471764415424</v>
      </c>
      <c r="J21">
        <f t="shared" si="9"/>
        <v>697.24770642201838</v>
      </c>
      <c r="K21">
        <f t="shared" si="10"/>
        <v>1070.4225352112678</v>
      </c>
      <c r="L21">
        <f t="shared" si="11"/>
        <v>1617.0212765957449</v>
      </c>
      <c r="M21">
        <f t="shared" si="12"/>
        <v>2923.0769230769229</v>
      </c>
      <c r="N21" s="3">
        <f>SLOPE((Taulukkotiedot!$D$13:$D$16)*A21,Laskenta!J21:M21)</f>
        <v>71.723416049976862</v>
      </c>
      <c r="P21">
        <f t="shared" si="0"/>
        <v>12.313886703589286</v>
      </c>
      <c r="Q21">
        <f t="shared" si="1"/>
        <v>11.776199433847699</v>
      </c>
      <c r="R21">
        <f>AVERAGE($I$2:$I21)</f>
        <v>27.230621805954041</v>
      </c>
      <c r="S21">
        <f>AVERAGE($N$2:$N21)</f>
        <v>24.632280601620209</v>
      </c>
      <c r="U21" s="7">
        <f>R21*Taulukkotiedot!$I$2+(1-Taulukkotiedot!$I$2)*Laskenta!S21+Laskenta!Q21</f>
        <v>37.707650637634828</v>
      </c>
      <c r="V21" s="7">
        <f>R21*Taulukkotiedot!$I$2+(1-Taulukkotiedot!$I$2)*Laskenta!S21+Laskenta!Q21+P21</f>
        <v>50.021537341224118</v>
      </c>
    </row>
    <row r="22" spans="1:22" s="5" customFormat="1" x14ac:dyDescent="0.3">
      <c r="A22" s="12">
        <f t="shared" si="13"/>
        <v>20</v>
      </c>
      <c r="B22" s="51">
        <f t="shared" si="2"/>
        <v>1388.4615384615386</v>
      </c>
      <c r="C22" s="51">
        <f t="shared" si="3"/>
        <v>1900.0000000000002</v>
      </c>
      <c r="D22" s="51">
        <f t="shared" si="4"/>
        <v>2406.666666666667</v>
      </c>
      <c r="E22" s="51">
        <f t="shared" si="5"/>
        <v>2888.0000000000005</v>
      </c>
      <c r="F22" s="51">
        <f t="shared" si="6"/>
        <v>3610.0000000000005</v>
      </c>
      <c r="G22" s="51">
        <f t="shared" si="7"/>
        <v>4813.3333333333339</v>
      </c>
      <c r="H22" s="51">
        <f t="shared" si="8"/>
        <v>6016.6666666666679</v>
      </c>
      <c r="I22" s="3">
        <f>SLOPE(Taulukkotiedot!$D$4:$D$10*A22,Laskenta!B22:H22)</f>
        <v>83.690273423174986</v>
      </c>
      <c r="J22" s="5">
        <f t="shared" si="9"/>
        <v>662.38532110091751</v>
      </c>
      <c r="K22" s="5">
        <f t="shared" si="10"/>
        <v>1016.9014084507044</v>
      </c>
      <c r="L22" s="5">
        <f t="shared" si="11"/>
        <v>1536.170212765958</v>
      </c>
      <c r="M22" s="5">
        <f t="shared" si="12"/>
        <v>2776.9230769230771</v>
      </c>
      <c r="N22" s="3">
        <f>SLOPE((Taulukkotiedot!$D$13:$D$16)*A22,Laskenta!J22:M22)</f>
        <v>79.471929141248594</v>
      </c>
      <c r="P22" s="5">
        <f t="shared" si="0"/>
        <v>12.313886703589286</v>
      </c>
      <c r="Q22" s="5">
        <f t="shared" si="1"/>
        <v>11.776199433847699</v>
      </c>
      <c r="R22" s="5">
        <f>AVERAGE($I$2:$I22)</f>
        <v>29.919176644869324</v>
      </c>
      <c r="S22" s="5">
        <f>AVERAGE($N$2:$N22)</f>
        <v>27.243692436840607</v>
      </c>
      <c r="U22" s="7">
        <f>R22*Taulukkotiedot!$I$2+(1-Taulukkotiedot!$I$2)*Laskenta!S22+Laskenta!Q22</f>
        <v>40.357633974702665</v>
      </c>
      <c r="V22" s="7">
        <f>R22*Taulukkotiedot!$I$2+(1-Taulukkotiedot!$I$2)*Laskenta!S22+Laskenta!Q22+P22</f>
        <v>52.671520678291955</v>
      </c>
    </row>
    <row r="23" spans="1:22" x14ac:dyDescent="0.3">
      <c r="A23" s="9">
        <f t="shared" si="13"/>
        <v>21</v>
      </c>
      <c r="B23" s="51">
        <f t="shared" si="2"/>
        <v>1322.3443223443226</v>
      </c>
      <c r="C23" s="51">
        <f t="shared" si="3"/>
        <v>1809.5238095238096</v>
      </c>
      <c r="D23" s="51">
        <f t="shared" si="4"/>
        <v>2292.0634920634925</v>
      </c>
      <c r="E23" s="51">
        <f t="shared" si="5"/>
        <v>2750.4761904761908</v>
      </c>
      <c r="F23" s="51">
        <f t="shared" si="6"/>
        <v>3438.0952380952385</v>
      </c>
      <c r="G23" s="51">
        <f t="shared" si="7"/>
        <v>4584.126984126985</v>
      </c>
      <c r="H23" s="51">
        <f t="shared" si="8"/>
        <v>5730.1587301587306</v>
      </c>
      <c r="I23" s="3">
        <f>SLOPE(Taulukkotiedot!$D$4:$D$10*A23,Laskenta!B23:H23)</f>
        <v>92.268526449050455</v>
      </c>
      <c r="J23">
        <f t="shared" si="9"/>
        <v>630.84316295325482</v>
      </c>
      <c r="K23">
        <f t="shared" si="10"/>
        <v>968.47753185781369</v>
      </c>
      <c r="L23">
        <f t="shared" si="11"/>
        <v>1463.0192502532932</v>
      </c>
      <c r="M23">
        <f t="shared" si="12"/>
        <v>2644.6886446886451</v>
      </c>
      <c r="N23" s="3">
        <f>SLOPE((Taulukkotiedot!$D$13:$D$16)*A23,Laskenta!J23:M23)</f>
        <v>87.617801878226558</v>
      </c>
      <c r="P23">
        <f t="shared" si="0"/>
        <v>12.313886703589286</v>
      </c>
      <c r="Q23">
        <f t="shared" si="1"/>
        <v>11.776199433847699</v>
      </c>
      <c r="R23">
        <f>AVERAGE($I$2:$I23)</f>
        <v>32.753237999604828</v>
      </c>
      <c r="S23">
        <f>AVERAGE($N$2:$N23)</f>
        <v>29.987970138721789</v>
      </c>
      <c r="U23" s="7">
        <f>R23*Taulukkotiedot!$I$2+(1-Taulukkotiedot!$I$2)*Laskenta!S23+Laskenta!Q23</f>
        <v>43.146803503011007</v>
      </c>
      <c r="V23" s="7">
        <f>R23*Taulukkotiedot!$I$2+(1-Taulukkotiedot!$I$2)*Laskenta!S23+Laskenta!Q23+P23</f>
        <v>55.46069020660029</v>
      </c>
    </row>
    <row r="24" spans="1:22" s="4" customFormat="1" x14ac:dyDescent="0.3">
      <c r="A24" s="10">
        <f t="shared" si="13"/>
        <v>22</v>
      </c>
      <c r="B24" s="51">
        <f t="shared" si="2"/>
        <v>1262.2377622377624</v>
      </c>
      <c r="C24" s="51">
        <f t="shared" si="3"/>
        <v>1727.2727272727275</v>
      </c>
      <c r="D24" s="51">
        <f t="shared" si="4"/>
        <v>2187.878787878788</v>
      </c>
      <c r="E24" s="51">
        <f t="shared" si="5"/>
        <v>2625.454545454546</v>
      </c>
      <c r="F24" s="51">
        <f t="shared" si="6"/>
        <v>3281.818181818182</v>
      </c>
      <c r="G24" s="51">
        <f t="shared" si="7"/>
        <v>4375.757575757576</v>
      </c>
      <c r="H24" s="51">
        <f t="shared" si="8"/>
        <v>5469.6969696969709</v>
      </c>
      <c r="I24" s="3">
        <f>SLOPE(Taulukkotiedot!$D$4:$D$10*A24,Laskenta!B24:H24)</f>
        <v>101.26523084204175</v>
      </c>
      <c r="J24" s="4">
        <f t="shared" si="9"/>
        <v>602.16847372810685</v>
      </c>
      <c r="K24" s="4">
        <f t="shared" si="10"/>
        <v>924.45582586427668</v>
      </c>
      <c r="L24" s="4">
        <f t="shared" si="11"/>
        <v>1396.5183752417797</v>
      </c>
      <c r="M24" s="4">
        <f t="shared" si="12"/>
        <v>2524.4755244755247</v>
      </c>
      <c r="N24" s="3">
        <f>SLOPE((Taulukkotiedot!$D$13:$D$16)*A24,Laskenta!J24:M24)</f>
        <v>96.161034260910796</v>
      </c>
      <c r="P24" s="4">
        <f t="shared" si="0"/>
        <v>12.313886703589286</v>
      </c>
      <c r="Q24" s="4">
        <f t="shared" si="1"/>
        <v>11.776199433847699</v>
      </c>
      <c r="R24" s="4">
        <f>AVERAGE($I$2:$I24)</f>
        <v>35.732020297102089</v>
      </c>
      <c r="S24" s="4">
        <f>AVERAGE($N$2:$N24)</f>
        <v>32.86505988316479</v>
      </c>
      <c r="U24" s="7">
        <f>R24*Taulukkotiedot!$I$2+(1-Taulukkotiedot!$I$2)*Laskenta!S24+Laskenta!Q24</f>
        <v>46.074739523981144</v>
      </c>
      <c r="V24" s="7">
        <f>R24*Taulukkotiedot!$I$2+(1-Taulukkotiedot!$I$2)*Laskenta!S24+Laskenta!Q24+P24</f>
        <v>58.388626227570427</v>
      </c>
    </row>
    <row r="25" spans="1:22" x14ac:dyDescent="0.3">
      <c r="A25" s="9">
        <f t="shared" si="13"/>
        <v>23</v>
      </c>
      <c r="B25" s="51">
        <f t="shared" si="2"/>
        <v>1207.3578595317726</v>
      </c>
      <c r="C25" s="51">
        <f t="shared" si="3"/>
        <v>1652.1739130434785</v>
      </c>
      <c r="D25" s="51">
        <f t="shared" si="4"/>
        <v>2092.7536231884064</v>
      </c>
      <c r="E25" s="51">
        <f t="shared" si="5"/>
        <v>2511.3043478260875</v>
      </c>
      <c r="F25" s="51">
        <f t="shared" si="6"/>
        <v>3139.130434782609</v>
      </c>
      <c r="G25" s="51">
        <f t="shared" si="7"/>
        <v>4185.5072463768129</v>
      </c>
      <c r="H25" s="51">
        <f t="shared" si="8"/>
        <v>5231.8840579710159</v>
      </c>
      <c r="I25" s="3">
        <f>SLOPE(Taulukkotiedot!$D$4:$D$10*A25,Laskenta!B25:H25)</f>
        <v>110.6803866021489</v>
      </c>
      <c r="J25">
        <f t="shared" si="9"/>
        <v>575.98723573992834</v>
      </c>
      <c r="K25">
        <f t="shared" si="10"/>
        <v>884.26209430496044</v>
      </c>
      <c r="L25">
        <f t="shared" si="11"/>
        <v>1335.8001850138762</v>
      </c>
      <c r="M25">
        <f t="shared" si="12"/>
        <v>2414.7157190635453</v>
      </c>
      <c r="N25" s="3">
        <f>SLOPE((Taulukkotiedot!$D$13:$D$16)*A25,Laskenta!J25:M25)</f>
        <v>105.10162628930128</v>
      </c>
      <c r="P25">
        <f t="shared" si="0"/>
        <v>12.313886703589286</v>
      </c>
      <c r="Q25">
        <f t="shared" si="1"/>
        <v>11.776199433847699</v>
      </c>
      <c r="R25">
        <f>AVERAGE($I$2:$I25)</f>
        <v>38.854868893145706</v>
      </c>
      <c r="S25">
        <f>AVERAGE($N$2:$N25)</f>
        <v>35.87491681675381</v>
      </c>
      <c r="U25" s="7">
        <f>R25*Taulukkotiedot!$I$2+(1-Taulukkotiedot!$I$2)*Laskenta!S25+Laskenta!Q25</f>
        <v>49.141092288797459</v>
      </c>
      <c r="V25" s="7">
        <f>R25*Taulukkotiedot!$I$2+(1-Taulukkotiedot!$I$2)*Laskenta!S25+Laskenta!Q25+P25</f>
        <v>61.454978992386742</v>
      </c>
    </row>
    <row r="26" spans="1:22" s="4" customFormat="1" x14ac:dyDescent="0.3">
      <c r="A26" s="10">
        <f t="shared" si="13"/>
        <v>24</v>
      </c>
      <c r="B26" s="51">
        <f t="shared" si="2"/>
        <v>1157.0512820512822</v>
      </c>
      <c r="C26" s="51">
        <f t="shared" si="3"/>
        <v>1583.3333333333333</v>
      </c>
      <c r="D26" s="51">
        <f t="shared" si="4"/>
        <v>2005.5555555555559</v>
      </c>
      <c r="E26" s="51">
        <f t="shared" si="5"/>
        <v>2406.666666666667</v>
      </c>
      <c r="F26" s="51">
        <f t="shared" si="6"/>
        <v>3008.3333333333335</v>
      </c>
      <c r="G26" s="51">
        <f t="shared" si="7"/>
        <v>4011.1111111111118</v>
      </c>
      <c r="H26" s="51">
        <f t="shared" si="8"/>
        <v>5013.8888888888896</v>
      </c>
      <c r="I26" s="3">
        <f>SLOPE(Taulukkotiedot!$D$4:$D$10*A26,Laskenta!B26:H26)</f>
        <v>120.51399372937199</v>
      </c>
      <c r="J26" s="4">
        <f t="shared" si="9"/>
        <v>551.98776758409781</v>
      </c>
      <c r="K26" s="4">
        <f t="shared" si="10"/>
        <v>847.41784037558705</v>
      </c>
      <c r="L26" s="4">
        <f t="shared" si="11"/>
        <v>1280.1418439716315</v>
      </c>
      <c r="M26" s="4">
        <f t="shared" si="12"/>
        <v>2314.1025641025644</v>
      </c>
      <c r="N26" s="3">
        <f>SLOPE((Taulukkotiedot!$D$13:$D$16)*A26,Laskenta!J26:M26)</f>
        <v>114.43957796339794</v>
      </c>
      <c r="P26" s="4">
        <f t="shared" si="0"/>
        <v>12.313886703589286</v>
      </c>
      <c r="Q26" s="4">
        <f t="shared" si="1"/>
        <v>11.776199433847699</v>
      </c>
      <c r="R26" s="4">
        <f>AVERAGE($I$2:$I26)</f>
        <v>42.121233886594752</v>
      </c>
      <c r="S26" s="4">
        <f>AVERAGE($N$2:$N26)</f>
        <v>39.017503262619577</v>
      </c>
      <c r="U26" s="7">
        <f>R26*Taulukkotiedot!$I$2+(1-Taulukkotiedot!$I$2)*Laskenta!S26+Laskenta!Q26</f>
        <v>52.345568008454869</v>
      </c>
      <c r="V26" s="7">
        <f>R26*Taulukkotiedot!$I$2+(1-Taulukkotiedot!$I$2)*Laskenta!S26+Laskenta!Q26+P26</f>
        <v>64.659454712044152</v>
      </c>
    </row>
    <row r="27" spans="1:22" s="1" customFormat="1" x14ac:dyDescent="0.3">
      <c r="A27" s="11">
        <f t="shared" si="13"/>
        <v>25</v>
      </c>
      <c r="B27" s="1">
        <f t="shared" si="2"/>
        <v>1110.7692307692309</v>
      </c>
      <c r="C27" s="1">
        <f t="shared" si="3"/>
        <v>1520.0000000000002</v>
      </c>
      <c r="D27" s="1">
        <f t="shared" si="4"/>
        <v>1925.3333333333335</v>
      </c>
      <c r="E27" s="1">
        <f t="shared" si="5"/>
        <v>2310.4000000000005</v>
      </c>
      <c r="F27" s="1">
        <f t="shared" si="6"/>
        <v>2888.0000000000005</v>
      </c>
      <c r="G27" s="1">
        <f t="shared" si="7"/>
        <v>3850.666666666667</v>
      </c>
      <c r="H27" s="1">
        <f t="shared" si="8"/>
        <v>4813.3333333333339</v>
      </c>
      <c r="I27" s="3">
        <f>SLOPE(Taulukkotiedot!$D$4:$D$10*A27,Laskenta!B27:H27)</f>
        <v>130.76605222371094</v>
      </c>
      <c r="J27" s="1">
        <f t="shared" si="9"/>
        <v>529.90825688073403</v>
      </c>
      <c r="K27" s="1">
        <f t="shared" si="10"/>
        <v>813.52112676056345</v>
      </c>
      <c r="L27" s="1">
        <f t="shared" si="11"/>
        <v>1228.9361702127662</v>
      </c>
      <c r="M27" s="1">
        <f t="shared" si="12"/>
        <v>2221.5384615384619</v>
      </c>
      <c r="N27" s="3">
        <f>SLOPE((Taulukkotiedot!$D$13:$D$16)*A27,Laskenta!J27:M27)</f>
        <v>124.17488928320088</v>
      </c>
      <c r="P27" s="1">
        <f t="shared" si="0"/>
        <v>12.313886703589286</v>
      </c>
      <c r="Q27" s="1">
        <f t="shared" si="1"/>
        <v>11.776199433847699</v>
      </c>
      <c r="R27" s="1">
        <f>AVERAGE($I$2:$I27)</f>
        <v>45.530649976483836</v>
      </c>
      <c r="S27" s="1">
        <f>AVERAGE($N$2:$N27)</f>
        <v>42.292787340334243</v>
      </c>
      <c r="U27" s="7">
        <f>R27*Taulukkotiedot!$I$2+(1-Taulukkotiedot!$I$2)*Laskenta!S27+Laskenta!Q27</f>
        <v>55.687918092256744</v>
      </c>
      <c r="V27" s="7">
        <f>R27*Taulukkotiedot!$I$2+(1-Taulukkotiedot!$I$2)*Laskenta!S27+Laskenta!Q27+P27</f>
        <v>68.001804795846027</v>
      </c>
    </row>
    <row r="28" spans="1:22" s="4" customFormat="1" x14ac:dyDescent="0.3">
      <c r="A28" s="10">
        <f t="shared" si="13"/>
        <v>26</v>
      </c>
      <c r="B28" s="51">
        <f t="shared" si="2"/>
        <v>1068.0473372781066</v>
      </c>
      <c r="C28" s="51">
        <f t="shared" si="3"/>
        <v>1461.5384615384614</v>
      </c>
      <c r="D28" s="51">
        <f t="shared" si="4"/>
        <v>1851.2820512820515</v>
      </c>
      <c r="E28" s="51">
        <f t="shared" si="5"/>
        <v>2221.5384615384619</v>
      </c>
      <c r="F28" s="51">
        <f t="shared" si="6"/>
        <v>2776.9230769230771</v>
      </c>
      <c r="G28" s="51">
        <f t="shared" si="7"/>
        <v>3702.564102564103</v>
      </c>
      <c r="H28" s="51">
        <f t="shared" si="8"/>
        <v>4628.2051282051289</v>
      </c>
      <c r="I28" s="3">
        <f>SLOPE(Taulukkotiedot!$D$4:$D$10*A28,Laskenta!B28:H28)</f>
        <v>141.43656208516575</v>
      </c>
      <c r="J28" s="4">
        <f t="shared" si="9"/>
        <v>509.5271700776288</v>
      </c>
      <c r="K28" s="4">
        <f t="shared" si="10"/>
        <v>782.23185265438792</v>
      </c>
      <c r="L28" s="4">
        <f t="shared" si="11"/>
        <v>1181.6693944353522</v>
      </c>
      <c r="M28" s="4">
        <f t="shared" si="12"/>
        <v>2136.0946745562132</v>
      </c>
      <c r="N28" s="3">
        <f>SLOPE((Taulukkotiedot!$D$13:$D$16)*A28,Laskenta!J28:M28)</f>
        <v>134.3075602487101</v>
      </c>
      <c r="P28" s="4">
        <f t="shared" si="0"/>
        <v>12.313886703589286</v>
      </c>
      <c r="Q28" s="4">
        <f t="shared" si="1"/>
        <v>11.776199433847699</v>
      </c>
      <c r="R28" s="4">
        <f>AVERAGE($I$2:$I28)</f>
        <v>49.082720795323908</v>
      </c>
      <c r="S28" s="4">
        <f>AVERAGE($N$2:$N28)</f>
        <v>45.70074189249631</v>
      </c>
      <c r="U28" s="7">
        <f>R28*Taulukkotiedot!$I$2+(1-Taulukkotiedot!$I$2)*Laskenta!S28+Laskenta!Q28</f>
        <v>59.16793077775781</v>
      </c>
      <c r="V28" s="7">
        <f>R28*Taulukkotiedot!$I$2+(1-Taulukkotiedot!$I$2)*Laskenta!S28+Laskenta!Q28+P28</f>
        <v>71.481817481347093</v>
      </c>
    </row>
    <row r="29" spans="1:22" x14ac:dyDescent="0.3">
      <c r="A29" s="9">
        <f t="shared" si="13"/>
        <v>27</v>
      </c>
      <c r="B29" s="51">
        <f t="shared" si="2"/>
        <v>1028.4900284900286</v>
      </c>
      <c r="C29" s="51">
        <f t="shared" si="3"/>
        <v>1407.4074074074076</v>
      </c>
      <c r="D29" s="51">
        <f t="shared" si="4"/>
        <v>1782.7160493827164</v>
      </c>
      <c r="E29" s="51">
        <f t="shared" si="5"/>
        <v>2139.2592592592591</v>
      </c>
      <c r="F29" s="51">
        <f t="shared" si="6"/>
        <v>2674.0740740740744</v>
      </c>
      <c r="G29" s="51">
        <f t="shared" si="7"/>
        <v>3565.4320987654328</v>
      </c>
      <c r="H29" s="51">
        <f t="shared" si="8"/>
        <v>4456.7901234567908</v>
      </c>
      <c r="I29" s="3">
        <f>SLOPE(Taulukkotiedot!$D$4:$D$10*A29,Laskenta!B29:H29)</f>
        <v>152.52552331373644</v>
      </c>
      <c r="J29">
        <f t="shared" si="9"/>
        <v>490.65579340808699</v>
      </c>
      <c r="K29">
        <f t="shared" si="10"/>
        <v>753.26030255607736</v>
      </c>
      <c r="L29">
        <f t="shared" si="11"/>
        <v>1137.903861308117</v>
      </c>
      <c r="M29">
        <f t="shared" si="12"/>
        <v>2056.9800569800573</v>
      </c>
      <c r="N29" s="3">
        <f>SLOPE((Taulukkotiedot!$D$13:$D$16)*A29,Laskenta!J29:M29)</f>
        <v>144.83759085992557</v>
      </c>
      <c r="P29">
        <f t="shared" si="0"/>
        <v>12.313886703589286</v>
      </c>
      <c r="Q29">
        <f t="shared" si="1"/>
        <v>11.776199433847699</v>
      </c>
      <c r="R29">
        <f>AVERAGE($I$2:$I29)</f>
        <v>52.77710659955293</v>
      </c>
      <c r="S29">
        <f>AVERAGE($N$2:$N29)</f>
        <v>49.241343641333067</v>
      </c>
      <c r="U29" s="7">
        <f>R29*Taulukkotiedot!$I$2+(1-Taulukkotiedot!$I$2)*Laskenta!S29+Laskenta!Q29</f>
        <v>62.785424554290699</v>
      </c>
      <c r="V29" s="7">
        <f>R29*Taulukkotiedot!$I$2+(1-Taulukkotiedot!$I$2)*Laskenta!S29+Laskenta!Q29+P29</f>
        <v>75.09931125787999</v>
      </c>
    </row>
    <row r="30" spans="1:22" s="4" customFormat="1" x14ac:dyDescent="0.3">
      <c r="A30" s="10">
        <f t="shared" si="13"/>
        <v>28</v>
      </c>
      <c r="B30" s="51">
        <f t="shared" si="2"/>
        <v>991.75824175824187</v>
      </c>
      <c r="C30" s="51">
        <f t="shared" si="3"/>
        <v>1357.1428571428573</v>
      </c>
      <c r="D30" s="51">
        <f t="shared" si="4"/>
        <v>1719.0476190476193</v>
      </c>
      <c r="E30" s="51">
        <f t="shared" si="5"/>
        <v>2062.8571428571431</v>
      </c>
      <c r="F30" s="51">
        <f t="shared" si="6"/>
        <v>2578.5714285714284</v>
      </c>
      <c r="G30" s="51">
        <f t="shared" si="7"/>
        <v>3438.0952380952385</v>
      </c>
      <c r="H30" s="51">
        <f t="shared" si="8"/>
        <v>4297.6190476190486</v>
      </c>
      <c r="I30" s="3">
        <f>SLOPE(Taulukkotiedot!$D$4:$D$10*A30,Laskenta!B30:H30)</f>
        <v>164.03293590942297</v>
      </c>
      <c r="J30" s="4">
        <f t="shared" si="9"/>
        <v>473.13237221494103</v>
      </c>
      <c r="K30" s="4">
        <f t="shared" si="10"/>
        <v>726.35814889336029</v>
      </c>
      <c r="L30" s="4">
        <f t="shared" si="11"/>
        <v>1097.2644376899698</v>
      </c>
      <c r="M30" s="4">
        <f t="shared" si="12"/>
        <v>1983.5164835164837</v>
      </c>
      <c r="N30" s="3">
        <f>SLOPE((Taulukkotiedot!$D$13:$D$16)*A30,Laskenta!J30:M30)</f>
        <v>155.7649811168472</v>
      </c>
      <c r="P30" s="4">
        <f t="shared" si="0"/>
        <v>12.313886703589286</v>
      </c>
      <c r="Q30" s="4">
        <f t="shared" si="1"/>
        <v>11.776199433847699</v>
      </c>
      <c r="R30" s="4">
        <f>AVERAGE($I$2:$I30)</f>
        <v>56.613514506789826</v>
      </c>
      <c r="S30" s="4">
        <f>AVERAGE($N$2:$N30)</f>
        <v>52.914572519799073</v>
      </c>
      <c r="U30" s="7">
        <f>R30*Taulukkotiedot!$I$2+(1-Taulukkotiedot!$I$2)*Laskenta!S30+Laskenta!Q30</f>
        <v>66.540242947142147</v>
      </c>
      <c r="V30" s="7">
        <f>R30*Taulukkotiedot!$I$2+(1-Taulukkotiedot!$I$2)*Laskenta!S30+Laskenta!Q30+P30</f>
        <v>78.854129650731437</v>
      </c>
    </row>
    <row r="31" spans="1:22" x14ac:dyDescent="0.3">
      <c r="A31" s="9">
        <f t="shared" si="13"/>
        <v>29</v>
      </c>
      <c r="B31" s="51">
        <f t="shared" si="2"/>
        <v>957.55968169761286</v>
      </c>
      <c r="C31" s="51">
        <f t="shared" si="3"/>
        <v>1310.344827586207</v>
      </c>
      <c r="D31" s="51">
        <f t="shared" si="4"/>
        <v>1659.7701149425291</v>
      </c>
      <c r="E31" s="51">
        <f t="shared" si="5"/>
        <v>1991.7241379310346</v>
      </c>
      <c r="F31" s="51">
        <f t="shared" si="6"/>
        <v>2489.655172413793</v>
      </c>
      <c r="G31" s="51">
        <f t="shared" si="7"/>
        <v>3319.5402298850581</v>
      </c>
      <c r="H31" s="51">
        <f t="shared" si="8"/>
        <v>4149.4252873563219</v>
      </c>
      <c r="I31" s="3">
        <f>SLOPE(Taulukkotiedot!$D$4:$D$10*A31,Laskenta!B31:H31)</f>
        <v>175.95879987222546</v>
      </c>
      <c r="J31">
        <f t="shared" si="9"/>
        <v>456.81746282821894</v>
      </c>
      <c r="K31">
        <f t="shared" si="10"/>
        <v>701.31131617289952</v>
      </c>
      <c r="L31">
        <f t="shared" si="11"/>
        <v>1059.4277329420399</v>
      </c>
      <c r="M31">
        <f t="shared" si="12"/>
        <v>1915.1193633952257</v>
      </c>
      <c r="N31" s="3">
        <f>SLOPE((Taulukkotiedot!$D$13:$D$16)*A31,Laskenta!J31:M31)</f>
        <v>167.08973101947512</v>
      </c>
      <c r="P31">
        <f t="shared" si="0"/>
        <v>12.313886703589286</v>
      </c>
      <c r="Q31">
        <f t="shared" si="1"/>
        <v>11.776199433847699</v>
      </c>
      <c r="R31">
        <f>AVERAGE($I$2:$I31)</f>
        <v>60.59169068563768</v>
      </c>
      <c r="S31">
        <f>AVERAGE($N$2:$N31)</f>
        <v>56.720411136454935</v>
      </c>
      <c r="U31" s="7">
        <f>R31*Taulukkotiedot!$I$2+(1-Taulukkotiedot!$I$2)*Laskenta!S31+Laskenta!Q31</f>
        <v>70.432250344894001</v>
      </c>
      <c r="V31" s="7">
        <f>R31*Taulukkotiedot!$I$2+(1-Taulukkotiedot!$I$2)*Laskenta!S31+Laskenta!Q31+P31</f>
        <v>82.746137048483291</v>
      </c>
    </row>
    <row r="32" spans="1:22" s="5" customFormat="1" x14ac:dyDescent="0.3">
      <c r="A32" s="12">
        <f t="shared" si="13"/>
        <v>30</v>
      </c>
      <c r="B32" s="51">
        <f t="shared" si="2"/>
        <v>925.64102564102564</v>
      </c>
      <c r="C32" s="51">
        <f t="shared" si="3"/>
        <v>1266.6666666666667</v>
      </c>
      <c r="D32" s="51">
        <f t="shared" si="4"/>
        <v>1604.4444444444448</v>
      </c>
      <c r="E32" s="51">
        <f t="shared" si="5"/>
        <v>1925.3333333333335</v>
      </c>
      <c r="F32" s="51">
        <f t="shared" si="6"/>
        <v>2406.666666666667</v>
      </c>
      <c r="G32" s="51">
        <f t="shared" si="7"/>
        <v>3208.8888888888896</v>
      </c>
      <c r="H32" s="51">
        <f t="shared" si="8"/>
        <v>4011.1111111111118</v>
      </c>
      <c r="I32" s="3">
        <f>SLOPE(Taulukkotiedot!$D$4:$D$10*A32,Laskenta!B32:H32)</f>
        <v>188.30311520214372</v>
      </c>
      <c r="J32" s="5">
        <f t="shared" si="9"/>
        <v>441.59021406727834</v>
      </c>
      <c r="K32" s="5">
        <f t="shared" si="10"/>
        <v>677.93427230046973</v>
      </c>
      <c r="L32" s="5">
        <f t="shared" si="11"/>
        <v>1024.1134751773052</v>
      </c>
      <c r="M32" s="5">
        <f t="shared" si="12"/>
        <v>1851.2820512820513</v>
      </c>
      <c r="N32" s="3">
        <f>SLOPE((Taulukkotiedot!$D$13:$D$16)*A32,Laskenta!J32:M32)</f>
        <v>178.81184056780933</v>
      </c>
      <c r="P32" s="5">
        <f t="shared" si="0"/>
        <v>12.313886703589286</v>
      </c>
      <c r="Q32" s="5">
        <f t="shared" si="1"/>
        <v>11.776199433847699</v>
      </c>
      <c r="R32" s="5">
        <f>AVERAGE($I$2:$I32)</f>
        <v>64.711414057137873</v>
      </c>
      <c r="S32" s="5">
        <f>AVERAGE($N$2:$N32)</f>
        <v>60.658844343917984</v>
      </c>
      <c r="U32" s="7">
        <f>R32*Taulukkotiedot!$I$2+(1-Taulukkotiedot!$I$2)*Laskenta!S32+Laskenta!Q32</f>
        <v>74.461328634375619</v>
      </c>
      <c r="V32" s="7">
        <f>R32*Taulukkotiedot!$I$2+(1-Taulukkotiedot!$I$2)*Laskenta!S32+Laskenta!Q32+P32</f>
        <v>86.775215337964909</v>
      </c>
    </row>
    <row r="33" spans="1:22" x14ac:dyDescent="0.3">
      <c r="A33" s="9">
        <f t="shared" si="13"/>
        <v>31</v>
      </c>
      <c r="B33" s="51">
        <f t="shared" si="2"/>
        <v>895.78163771712161</v>
      </c>
      <c r="C33" s="51">
        <f t="shared" si="3"/>
        <v>1225.8064516129034</v>
      </c>
      <c r="D33" s="51">
        <f t="shared" si="4"/>
        <v>1552.688172043011</v>
      </c>
      <c r="E33" s="51">
        <f t="shared" si="5"/>
        <v>1863.2258064516132</v>
      </c>
      <c r="F33" s="51">
        <f t="shared" si="6"/>
        <v>2329.0322580645166</v>
      </c>
      <c r="G33" s="51">
        <f t="shared" si="7"/>
        <v>3105.3763440860221</v>
      </c>
      <c r="H33" s="51">
        <f t="shared" si="8"/>
        <v>3881.7204301075276</v>
      </c>
      <c r="I33" s="3">
        <f>SLOPE(Taulukkotiedot!$D$4:$D$10*A33,Laskenta!B33:H33)</f>
        <v>201.06588189917795</v>
      </c>
      <c r="J33">
        <f t="shared" si="9"/>
        <v>427.34536845220487</v>
      </c>
      <c r="K33">
        <f t="shared" si="10"/>
        <v>656.06542480690609</v>
      </c>
      <c r="L33">
        <f t="shared" si="11"/>
        <v>991.07755662319857</v>
      </c>
      <c r="M33">
        <f t="shared" si="12"/>
        <v>1791.5632754342432</v>
      </c>
      <c r="N33" s="3">
        <f>SLOPE((Taulukkotiedot!$D$13:$D$16)*A33,Laskenta!J33:M33)</f>
        <v>190.93130976184977</v>
      </c>
      <c r="P33">
        <f t="shared" si="0"/>
        <v>12.313886703589286</v>
      </c>
      <c r="Q33">
        <f t="shared" si="1"/>
        <v>11.776199433847699</v>
      </c>
      <c r="R33">
        <f>AVERAGE($I$2:$I33)</f>
        <v>68.972491177201633</v>
      </c>
      <c r="S33">
        <f>AVERAGE($N$2:$N33)</f>
        <v>64.72985888822835</v>
      </c>
      <c r="U33" s="7">
        <f>R33*Taulukkotiedot!$I$2+(1-Taulukkotiedot!$I$2)*Laskenta!S33+Laskenta!Q33</f>
        <v>78.627374466562685</v>
      </c>
      <c r="V33" s="7">
        <f>R33*Taulukkotiedot!$I$2+(1-Taulukkotiedot!$I$2)*Laskenta!S33+Laskenta!Q33+P33</f>
        <v>90.941261170151975</v>
      </c>
    </row>
    <row r="34" spans="1:22" s="4" customFormat="1" x14ac:dyDescent="0.3">
      <c r="A34" s="10">
        <f t="shared" si="13"/>
        <v>32</v>
      </c>
      <c r="B34" s="51">
        <f t="shared" si="2"/>
        <v>867.78846153846166</v>
      </c>
      <c r="C34" s="51">
        <f t="shared" si="3"/>
        <v>1187.5000000000002</v>
      </c>
      <c r="D34" s="51">
        <f t="shared" si="4"/>
        <v>1504.166666666667</v>
      </c>
      <c r="E34" s="51">
        <f t="shared" si="5"/>
        <v>1805.0000000000002</v>
      </c>
      <c r="F34" s="51">
        <f t="shared" si="6"/>
        <v>2256.25</v>
      </c>
      <c r="G34" s="51">
        <f t="shared" si="7"/>
        <v>3008.3333333333339</v>
      </c>
      <c r="H34" s="51">
        <f t="shared" si="8"/>
        <v>3760.4166666666674</v>
      </c>
      <c r="I34" s="3">
        <f>SLOPE(Taulukkotiedot!$D$4:$D$10*A34,Laskenta!B34:H34)</f>
        <v>214.24709996332803</v>
      </c>
      <c r="J34" s="4">
        <f t="shared" si="9"/>
        <v>413.99082568807341</v>
      </c>
      <c r="K34" s="4">
        <f t="shared" si="10"/>
        <v>635.56338028169023</v>
      </c>
      <c r="L34" s="4">
        <f t="shared" si="11"/>
        <v>960.10638297872367</v>
      </c>
      <c r="M34" s="4">
        <f t="shared" si="12"/>
        <v>1735.5769230769233</v>
      </c>
      <c r="N34" s="3">
        <f>SLOPE((Taulukkotiedot!$D$13:$D$16)*A34,Laskenta!J34:M34)</f>
        <v>203.44813860159638</v>
      </c>
      <c r="P34" s="4">
        <f t="shared" ref="P34:P65" si="14">jmrajakustannus</f>
        <v>12.313886703589286</v>
      </c>
      <c r="Q34" s="4">
        <f t="shared" ref="Q34:Q65" si="15">pmrajakust</f>
        <v>11.776199433847699</v>
      </c>
      <c r="R34" s="4">
        <f>AVERAGE($I$2:$I34)</f>
        <v>73.374752049508487</v>
      </c>
      <c r="S34" s="4">
        <f>AVERAGE($N$2:$N34)</f>
        <v>68.933443121966775</v>
      </c>
      <c r="U34" s="7">
        <f>R34*Taulukkotiedot!$I$2+(1-Taulukkotiedot!$I$2)*Laskenta!S34+Laskenta!Q34</f>
        <v>82.930297019585325</v>
      </c>
      <c r="V34" s="7">
        <f>R34*Taulukkotiedot!$I$2+(1-Taulukkotiedot!$I$2)*Laskenta!S34+Laskenta!Q34+P34</f>
        <v>95.244183723174615</v>
      </c>
    </row>
    <row r="35" spans="1:22" x14ac:dyDescent="0.3">
      <c r="A35" s="9">
        <f t="shared" si="13"/>
        <v>33</v>
      </c>
      <c r="B35" s="51">
        <f t="shared" ref="B35:B66" si="16">IF(((jän.ale*3*(vaihejännite*cosfii)^2)/(res.70*$A35))/1000&gt;kuorma70,kuorma70,(jän.ale*3*(vaihejännite*cosfii)^2)/(res.70*$A35)/1000)</f>
        <v>841.49184149184157</v>
      </c>
      <c r="C35" s="51">
        <f t="shared" ref="C35:C66" si="17">IF(((jän.ale*3*(vaihejännite*cosfii)^2)/(res.95*$A35))/1000&gt;kuorma95,kuorma95,(jän.ale*3*(vaihejännite*cosfii)^2)/(res.95*$A35)/1000)</f>
        <v>1151.5151515151515</v>
      </c>
      <c r="D35" s="51">
        <f t="shared" ref="D35:D66" si="18">IF(((jän.ale*3*(vaihejännite*cosfii)^2)/(res.120*$A35))/1000&gt;kuorma120,kuorma120,(jän.ale*3*(vaihejännite*cosfii)^2)/(res.120*$A35)/1000)</f>
        <v>1458.5858585858587</v>
      </c>
      <c r="E35" s="51">
        <f t="shared" ref="E35:E66" si="19">IF(((jän.ale*3*(vaihejännite*cosfii)^2)/(res.150*$A35))/1000&gt;kuorma150,kuorma150,(jän.ale*3*(vaihejännite*cosfii)^2)/(res.150*$A35)/1000)</f>
        <v>1750.3030303030305</v>
      </c>
      <c r="F35" s="51">
        <f t="shared" ref="F35:F66" si="20">IF(((jän.ale*3*(vaihejännite*cosfii)^2)/(res.185*$A35))/1000&gt;kuorma185,kuorma185,(jän.ale*3*(vaihejännite*cosfii)^2)/(res.185*$A35)/1000)</f>
        <v>2187.878787878788</v>
      </c>
      <c r="G35" s="51">
        <f t="shared" ref="G35:G66" si="21">IF(((jän.ale*3*(vaihejännite*cosfii)^2)/(res.240*$A35))/1000&gt;kuorma240,kuorma240,(jän.ale*3*(vaihejännite*cosfii)^2)/(res.240*$A35)/1000)</f>
        <v>2917.1717171717173</v>
      </c>
      <c r="H35" s="51">
        <f t="shared" ref="H35:H66" si="22">IF(((jän.ale*3*(vaihejännite*cosfii)^2)/(res.300*$A35))/1000&gt;kuorma300,kuorma300,(jän.ale*3*(vaihejännite*cosfii)^2)/(res.300*$A35)/1000)</f>
        <v>3646.4646464646466</v>
      </c>
      <c r="I35" s="3">
        <f>SLOPE(Taulukkotiedot!$D$4:$D$10*A35,Laskenta!B35:H35)</f>
        <v>227.84676939459399</v>
      </c>
      <c r="J35">
        <f t="shared" ref="J35:J66" si="23">IF(((jän.ale*3*(vaihejännite*cosfii)^2)/(res.spar*$A35))/1000&gt;maxkuorm.i1,maxkuorm.i1,(jän.ale*3*(vaihejännite*cosfii)^2)/(res.spar*$A35)/1000)</f>
        <v>401.44564915207116</v>
      </c>
      <c r="K35">
        <f t="shared" ref="K35:K66" si="24">IF(((jän.ale*3*(vaihejännite*cosfii)^2)/(res.rav*$A35))/1000&gt;maxkuorm.i2,maxkuorm.i2,(jän.ale*3*(vaihejännite*cosfii)^2)/(res.rav*$A35)/1000)</f>
        <v>616.30388390951782</v>
      </c>
      <c r="L35">
        <f t="shared" ref="L35:L66" si="25">IF(((jän.ale*3*(vaihejännite*cosfii)^2)/(res.pig*$A35))/1000&gt;maxkuorm.i3,maxkuorm.i3,(jän.ale*3*(vaihejännite*cosfii)^2)/(res.pig*$A35)/1000)</f>
        <v>931.01225016118644</v>
      </c>
      <c r="M35">
        <f t="shared" ref="M35:M66" si="26">IF(((jän.ale*3*(vaihejännite*cosfii)^2)/(res.Al*$A35))/1000&gt;maxkuorm.i4,maxkuorm.i4,(jän.ale*3*(vaihejännite*cosfii)^2)/(res.Al*$A35)/1000)</f>
        <v>1682.9836829836831</v>
      </c>
      <c r="N35" s="3">
        <f>SLOPE((Taulukkotiedot!$D$13:$D$16)*A35,Laskenta!J35:M35)</f>
        <v>216.36232708704929</v>
      </c>
      <c r="P35">
        <f t="shared" si="14"/>
        <v>12.313886703589286</v>
      </c>
      <c r="Q35">
        <f t="shared" si="15"/>
        <v>11.776199433847699</v>
      </c>
      <c r="R35">
        <f>AVERAGE($I$2:$I35)</f>
        <v>77.918046677305128</v>
      </c>
      <c r="S35">
        <f>AVERAGE($N$2:$N35)</f>
        <v>73.269586767998618</v>
      </c>
      <c r="U35" s="7">
        <f>R35*Taulukkotiedot!$I$2+(1-Taulukkotiedot!$I$2)*Laskenta!S35+Laskenta!Q35</f>
        <v>87.37001615649956</v>
      </c>
      <c r="V35" s="7">
        <f>R35*Taulukkotiedot!$I$2+(1-Taulukkotiedot!$I$2)*Laskenta!S35+Laskenta!Q35+P35</f>
        <v>99.68390286008885</v>
      </c>
    </row>
    <row r="36" spans="1:22" s="4" customFormat="1" x14ac:dyDescent="0.3">
      <c r="A36" s="10">
        <f t="shared" si="13"/>
        <v>34</v>
      </c>
      <c r="B36" s="51">
        <f t="shared" si="16"/>
        <v>816.74208144796398</v>
      </c>
      <c r="C36" s="51">
        <f t="shared" si="17"/>
        <v>1117.6470588235297</v>
      </c>
      <c r="D36" s="51">
        <f t="shared" si="18"/>
        <v>1415.686274509804</v>
      </c>
      <c r="E36" s="51">
        <f t="shared" si="19"/>
        <v>1698.8235294117649</v>
      </c>
      <c r="F36" s="51">
        <f t="shared" si="20"/>
        <v>2123.5294117647059</v>
      </c>
      <c r="G36" s="51">
        <f t="shared" si="21"/>
        <v>2831.372549019608</v>
      </c>
      <c r="H36" s="51">
        <f t="shared" si="22"/>
        <v>3539.2156862745105</v>
      </c>
      <c r="I36" s="3">
        <f>SLOPE(Taulukkotiedot!$D$4:$D$10*A36,Laskenta!B36:H36)</f>
        <v>241.86489019297574</v>
      </c>
      <c r="J36" s="4">
        <f t="shared" si="23"/>
        <v>389.63842417701028</v>
      </c>
      <c r="K36" s="4">
        <f t="shared" si="24"/>
        <v>598.17729908864953</v>
      </c>
      <c r="L36" s="4">
        <f t="shared" si="25"/>
        <v>903.62953692115173</v>
      </c>
      <c r="M36" s="4">
        <f t="shared" si="26"/>
        <v>1633.484162895928</v>
      </c>
      <c r="N36" s="3">
        <f>SLOPE((Taulukkotiedot!$D$13:$D$16)*A36,Laskenta!J36:M36)</f>
        <v>229.67387521820837</v>
      </c>
      <c r="P36" s="4">
        <f t="shared" si="14"/>
        <v>12.313886703589286</v>
      </c>
      <c r="Q36" s="4">
        <f t="shared" si="15"/>
        <v>11.776199433847699</v>
      </c>
      <c r="R36" s="4">
        <f>AVERAGE($I$2:$I36)</f>
        <v>82.602242206324291</v>
      </c>
      <c r="S36" s="4">
        <f>AVERAGE($N$2:$N36)</f>
        <v>77.738280723718887</v>
      </c>
      <c r="U36" s="7">
        <f>R36*Taulukkotiedot!$I$2+(1-Taulukkotiedot!$I$2)*Laskenta!S36+Laskenta!Q36</f>
        <v>91.946460898869276</v>
      </c>
      <c r="V36" s="7">
        <f>R36*Taulukkotiedot!$I$2+(1-Taulukkotiedot!$I$2)*Laskenta!S36+Laskenta!Q36+P36</f>
        <v>104.26034760245857</v>
      </c>
    </row>
    <row r="37" spans="1:22" s="1" customFormat="1" x14ac:dyDescent="0.3">
      <c r="A37" s="11">
        <f t="shared" si="13"/>
        <v>35</v>
      </c>
      <c r="B37" s="1">
        <f t="shared" si="16"/>
        <v>793.40659340659352</v>
      </c>
      <c r="C37" s="1">
        <f t="shared" si="17"/>
        <v>1085.7142857142858</v>
      </c>
      <c r="D37" s="1">
        <f t="shared" si="18"/>
        <v>1375.2380952380954</v>
      </c>
      <c r="E37" s="1">
        <f t="shared" si="19"/>
        <v>1650.2857142857144</v>
      </c>
      <c r="F37" s="1">
        <f t="shared" si="20"/>
        <v>2062.8571428571431</v>
      </c>
      <c r="G37" s="1">
        <f t="shared" si="21"/>
        <v>2750.4761904761908</v>
      </c>
      <c r="H37" s="1">
        <f t="shared" si="22"/>
        <v>3438.0952380952385</v>
      </c>
      <c r="I37" s="3">
        <f>SLOPE(Taulukkotiedot!$D$4:$D$10*A37,Laskenta!B37:H37)</f>
        <v>256.30146235847349</v>
      </c>
      <c r="J37" s="1">
        <f t="shared" si="23"/>
        <v>378.50589777195279</v>
      </c>
      <c r="K37" s="1">
        <f t="shared" si="24"/>
        <v>581.08651911468826</v>
      </c>
      <c r="L37" s="1">
        <f t="shared" si="25"/>
        <v>877.81155015197578</v>
      </c>
      <c r="M37" s="1">
        <f t="shared" si="26"/>
        <v>1586.813186813187</v>
      </c>
      <c r="N37" s="3">
        <f>SLOPE((Taulukkotiedot!$D$13:$D$16)*A37,Laskenta!J37:M37)</f>
        <v>243.38278299507374</v>
      </c>
      <c r="P37" s="1">
        <f t="shared" si="14"/>
        <v>12.313886703589286</v>
      </c>
      <c r="Q37" s="1">
        <f t="shared" si="15"/>
        <v>11.776199433847699</v>
      </c>
      <c r="R37" s="1">
        <f>AVERAGE($I$2:$I37)</f>
        <v>87.42722054388399</v>
      </c>
      <c r="S37" s="1">
        <f>AVERAGE($N$2:$N37)</f>
        <v>82.33951689792319</v>
      </c>
      <c r="U37" s="7">
        <f>R37*Taulukkotiedot!$I$2+(1-Taulukkotiedot!$I$2)*Laskenta!S37+Laskenta!Q37</f>
        <v>96.659568154751284</v>
      </c>
      <c r="V37" s="7">
        <f>R37*Taulukkotiedot!$I$2+(1-Taulukkotiedot!$I$2)*Laskenta!S37+Laskenta!Q37+P37</f>
        <v>108.97345485834057</v>
      </c>
    </row>
    <row r="38" spans="1:22" s="4" customFormat="1" x14ac:dyDescent="0.3">
      <c r="A38" s="10">
        <f t="shared" si="13"/>
        <v>36</v>
      </c>
      <c r="B38" s="51">
        <f t="shared" si="16"/>
        <v>771.36752136752148</v>
      </c>
      <c r="C38" s="51">
        <f t="shared" si="17"/>
        <v>1055.5555555555557</v>
      </c>
      <c r="D38" s="51">
        <f t="shared" si="18"/>
        <v>1337.0370370370374</v>
      </c>
      <c r="E38" s="51">
        <f t="shared" si="19"/>
        <v>1604.4444444444448</v>
      </c>
      <c r="F38" s="51">
        <f t="shared" si="20"/>
        <v>2005.5555555555557</v>
      </c>
      <c r="G38" s="51">
        <f t="shared" si="21"/>
        <v>2674.0740740740748</v>
      </c>
      <c r="H38" s="51">
        <f t="shared" si="22"/>
        <v>3342.5925925925926</v>
      </c>
      <c r="I38" s="3">
        <f>SLOPE(Taulukkotiedot!$D$4:$D$10*A38,Laskenta!B38:H38)</f>
        <v>271.15648589108702</v>
      </c>
      <c r="J38" s="4">
        <f t="shared" si="23"/>
        <v>367.99184505606524</v>
      </c>
      <c r="K38" s="4">
        <f t="shared" si="24"/>
        <v>564.94522691705799</v>
      </c>
      <c r="L38" s="4">
        <f t="shared" si="25"/>
        <v>853.42789598108766</v>
      </c>
      <c r="M38" s="4">
        <f t="shared" si="26"/>
        <v>1542.735042735043</v>
      </c>
      <c r="N38" s="3">
        <f>SLOPE((Taulukkotiedot!$D$13:$D$16)*A38,Laskenta!J38:M38)</f>
        <v>257.48905041764539</v>
      </c>
      <c r="P38" s="4">
        <f t="shared" si="14"/>
        <v>12.313886703589286</v>
      </c>
      <c r="Q38" s="4">
        <f t="shared" si="15"/>
        <v>11.776199433847699</v>
      </c>
      <c r="R38" s="4">
        <f>AVERAGE($I$2:$I38)</f>
        <v>92.39287636407866</v>
      </c>
      <c r="S38" s="4">
        <f>AVERAGE($N$2:$N38)</f>
        <v>87.073288074131909</v>
      </c>
      <c r="U38" s="7">
        <f>R38*Taulukkotiedot!$I$2+(1-Taulukkotiedot!$I$2)*Laskenta!S38+Laskenta!Q38</f>
        <v>101.50928165295298</v>
      </c>
      <c r="V38" s="7">
        <f>R38*Taulukkotiedot!$I$2+(1-Taulukkotiedot!$I$2)*Laskenta!S38+Laskenta!Q38+P38</f>
        <v>113.82316835654227</v>
      </c>
    </row>
    <row r="39" spans="1:22" x14ac:dyDescent="0.3">
      <c r="A39" s="9">
        <f t="shared" si="13"/>
        <v>37</v>
      </c>
      <c r="B39" s="51">
        <f t="shared" si="16"/>
        <v>750.51975051975057</v>
      </c>
      <c r="C39" s="51">
        <f t="shared" si="17"/>
        <v>1027.0270270270271</v>
      </c>
      <c r="D39" s="51">
        <f t="shared" si="18"/>
        <v>1300.900900900901</v>
      </c>
      <c r="E39" s="51">
        <f t="shared" si="19"/>
        <v>1561.0810810810813</v>
      </c>
      <c r="F39" s="51">
        <f t="shared" si="20"/>
        <v>1951.3513513513515</v>
      </c>
      <c r="G39" s="51">
        <f t="shared" si="21"/>
        <v>2601.801801801802</v>
      </c>
      <c r="H39" s="51">
        <f t="shared" si="22"/>
        <v>3252.2522522522531</v>
      </c>
      <c r="I39" s="3">
        <f>SLOPE(Taulukkotiedot!$D$4:$D$10*A39,Laskenta!B39:H39)</f>
        <v>286.42996079081638</v>
      </c>
      <c r="J39">
        <f t="shared" si="23"/>
        <v>358.04611951400938</v>
      </c>
      <c r="K39">
        <f t="shared" si="24"/>
        <v>549.6764370003807</v>
      </c>
      <c r="L39">
        <f t="shared" si="25"/>
        <v>830.36227717078793</v>
      </c>
      <c r="M39">
        <f t="shared" si="26"/>
        <v>1501.0395010395011</v>
      </c>
      <c r="N39" s="3">
        <f>SLOPE((Taulukkotiedot!$D$13:$D$16)*A39,Laskenta!J39:M39)</f>
        <v>271.99267748592325</v>
      </c>
      <c r="P39">
        <f t="shared" si="14"/>
        <v>12.313886703589286</v>
      </c>
      <c r="Q39">
        <f t="shared" si="15"/>
        <v>11.776199433847699</v>
      </c>
      <c r="R39">
        <f>AVERAGE($I$2:$I39)</f>
        <v>97.499115427940183</v>
      </c>
      <c r="S39">
        <f>AVERAGE($N$2:$N39)</f>
        <v>91.93958779549483</v>
      </c>
      <c r="U39" s="7">
        <f>R39*Taulukkotiedot!$I$2+(1-Taulukkotiedot!$I$2)*Laskenta!S39+Laskenta!Q39</f>
        <v>106.49555104556521</v>
      </c>
      <c r="V39" s="7">
        <f>R39*Taulukkotiedot!$I$2+(1-Taulukkotiedot!$I$2)*Laskenta!S39+Laskenta!Q39+P39</f>
        <v>118.8094377491545</v>
      </c>
    </row>
    <row r="40" spans="1:22" s="4" customFormat="1" x14ac:dyDescent="0.3">
      <c r="A40" s="10">
        <f t="shared" si="13"/>
        <v>38</v>
      </c>
      <c r="B40" s="51">
        <f t="shared" si="16"/>
        <v>730.76923076923072</v>
      </c>
      <c r="C40" s="51">
        <f t="shared" si="17"/>
        <v>1000.0000000000001</v>
      </c>
      <c r="D40" s="51">
        <f t="shared" si="18"/>
        <v>1266.6666666666667</v>
      </c>
      <c r="E40" s="51">
        <f t="shared" si="19"/>
        <v>1520.0000000000002</v>
      </c>
      <c r="F40" s="51">
        <f t="shared" si="20"/>
        <v>1900</v>
      </c>
      <c r="G40" s="51">
        <f t="shared" si="21"/>
        <v>2533.3333333333335</v>
      </c>
      <c r="H40" s="51">
        <f t="shared" si="22"/>
        <v>3166.6666666666674</v>
      </c>
      <c r="I40" s="3">
        <f>SLOPE(Taulukkotiedot!$D$4:$D$10*A40,Laskenta!B40:H40)</f>
        <v>302.1218870576617</v>
      </c>
      <c r="J40" s="4">
        <f t="shared" si="23"/>
        <v>348.62385321100919</v>
      </c>
      <c r="K40" s="4">
        <f t="shared" si="24"/>
        <v>535.21126760563391</v>
      </c>
      <c r="L40" s="4">
        <f t="shared" si="25"/>
        <v>808.51063829787245</v>
      </c>
      <c r="M40" s="4">
        <f t="shared" si="26"/>
        <v>1461.5384615384614</v>
      </c>
      <c r="N40" s="3">
        <f>SLOPE((Taulukkotiedot!$D$13:$D$16)*A40,Laskenta!J40:M40)</f>
        <v>286.89366419990745</v>
      </c>
      <c r="P40" s="4">
        <f t="shared" si="14"/>
        <v>12.313886703589286</v>
      </c>
      <c r="Q40" s="4">
        <f t="shared" si="15"/>
        <v>11.776199433847699</v>
      </c>
      <c r="R40" s="4">
        <f>AVERAGE($I$2:$I40)</f>
        <v>102.74585316203562</v>
      </c>
      <c r="S40" s="4">
        <f>AVERAGE($N$2:$N40)</f>
        <v>96.938410267402858</v>
      </c>
      <c r="U40" s="7">
        <f>R40*Taulukkotiedot!$I$2+(1-Taulukkotiedot!$I$2)*Laskenta!S40+Laskenta!Q40</f>
        <v>111.61833114856694</v>
      </c>
      <c r="V40" s="7">
        <f>R40*Taulukkotiedot!$I$2+(1-Taulukkotiedot!$I$2)*Laskenta!S40+Laskenta!Q40+P40</f>
        <v>123.93221785215623</v>
      </c>
    </row>
    <row r="41" spans="1:22" x14ac:dyDescent="0.3">
      <c r="A41" s="9">
        <f t="shared" si="13"/>
        <v>39</v>
      </c>
      <c r="B41" s="51">
        <f t="shared" si="16"/>
        <v>712.03155818540438</v>
      </c>
      <c r="C41" s="51">
        <f t="shared" si="17"/>
        <v>974.35897435897448</v>
      </c>
      <c r="D41" s="51">
        <f t="shared" si="18"/>
        <v>1234.1880341880344</v>
      </c>
      <c r="E41" s="51">
        <f t="shared" si="19"/>
        <v>1481.0256410256413</v>
      </c>
      <c r="F41" s="51">
        <f t="shared" si="20"/>
        <v>1851.2820512820513</v>
      </c>
      <c r="G41" s="51">
        <f t="shared" si="21"/>
        <v>2468.3760683760688</v>
      </c>
      <c r="H41" s="51">
        <f t="shared" si="22"/>
        <v>3085.4700854700859</v>
      </c>
      <c r="I41" s="3">
        <f>SLOPE(Taulukkotiedot!$D$4:$D$10*A41,Laskenta!B41:H41)</f>
        <v>318.2322646916229</v>
      </c>
      <c r="J41">
        <f t="shared" si="23"/>
        <v>339.68478005175251</v>
      </c>
      <c r="K41">
        <f t="shared" si="24"/>
        <v>521.48790176959199</v>
      </c>
      <c r="L41">
        <f t="shared" si="25"/>
        <v>787.77959629023474</v>
      </c>
      <c r="M41">
        <f t="shared" si="26"/>
        <v>1424.0631163708088</v>
      </c>
      <c r="N41" s="3">
        <f>SLOPE((Taulukkotiedot!$D$13:$D$16)*A41,Laskenta!J41:M41)</f>
        <v>302.19201055959775</v>
      </c>
      <c r="P41">
        <f t="shared" si="14"/>
        <v>12.313886703589286</v>
      </c>
      <c r="Q41">
        <f t="shared" si="15"/>
        <v>11.776199433847699</v>
      </c>
      <c r="R41">
        <f>AVERAGE($I$2:$I41)</f>
        <v>108.1330134502753</v>
      </c>
      <c r="S41">
        <f>AVERAGE($N$2:$N41)</f>
        <v>102.06975027470773</v>
      </c>
      <c r="U41" s="7">
        <f>R41*Taulukkotiedot!$I$2+(1-Taulukkotiedot!$I$2)*Laskenta!S41+Laskenta!Q41</f>
        <v>116.8775812963392</v>
      </c>
      <c r="V41" s="7">
        <f>R41*Taulukkotiedot!$I$2+(1-Taulukkotiedot!$I$2)*Laskenta!S41+Laskenta!Q41+P41</f>
        <v>129.19146799992848</v>
      </c>
    </row>
    <row r="42" spans="1:22" s="5" customFormat="1" x14ac:dyDescent="0.3">
      <c r="A42" s="12">
        <f t="shared" si="13"/>
        <v>40</v>
      </c>
      <c r="B42" s="51">
        <f t="shared" si="16"/>
        <v>694.23076923076928</v>
      </c>
      <c r="C42" s="51">
        <f t="shared" si="17"/>
        <v>950.00000000000011</v>
      </c>
      <c r="D42" s="51">
        <f t="shared" si="18"/>
        <v>1203.3333333333335</v>
      </c>
      <c r="E42" s="51">
        <f t="shared" si="19"/>
        <v>1444.0000000000002</v>
      </c>
      <c r="F42" s="51">
        <f t="shared" si="20"/>
        <v>1805.0000000000002</v>
      </c>
      <c r="G42" s="51">
        <f t="shared" si="21"/>
        <v>2406.666666666667</v>
      </c>
      <c r="H42" s="51">
        <f t="shared" si="22"/>
        <v>3008.3333333333339</v>
      </c>
      <c r="I42" s="3">
        <f>SLOPE(Taulukkotiedot!$D$4:$D$10*A42,Laskenta!B42:H42)</f>
        <v>334.76109369269994</v>
      </c>
      <c r="J42" s="5">
        <f t="shared" si="23"/>
        <v>331.19266055045875</v>
      </c>
      <c r="K42" s="5">
        <f t="shared" si="24"/>
        <v>508.45070422535218</v>
      </c>
      <c r="L42" s="5">
        <f t="shared" si="25"/>
        <v>768.08510638297901</v>
      </c>
      <c r="M42" s="5">
        <f t="shared" si="26"/>
        <v>1388.4615384615386</v>
      </c>
      <c r="N42" s="3">
        <f>SLOPE((Taulukkotiedot!$D$13:$D$16)*A42,Laskenta!J42:M42)</f>
        <v>317.88771656499438</v>
      </c>
      <c r="P42" s="5">
        <f t="shared" si="14"/>
        <v>12.313886703589286</v>
      </c>
      <c r="Q42" s="5">
        <f t="shared" si="15"/>
        <v>11.776199433847699</v>
      </c>
      <c r="R42" s="5">
        <f>AVERAGE($I$2:$I42)</f>
        <v>113.66052760252957</v>
      </c>
      <c r="S42" s="5">
        <f>AVERAGE($N$2:$N42)</f>
        <v>107.33360311105618</v>
      </c>
      <c r="U42" s="7">
        <f>R42*Taulukkotiedot!$I$2+(1-Taulukkotiedot!$I$2)*Laskenta!S42+Laskenta!Q42</f>
        <v>122.27326479064057</v>
      </c>
      <c r="V42" s="7">
        <f>R42*Taulukkotiedot!$I$2+(1-Taulukkotiedot!$I$2)*Laskenta!S42+Laskenta!Q42+P42</f>
        <v>134.58715149422986</v>
      </c>
    </row>
    <row r="43" spans="1:22" x14ac:dyDescent="0.3">
      <c r="A43" s="9">
        <f t="shared" si="13"/>
        <v>41</v>
      </c>
      <c r="B43" s="51">
        <f t="shared" si="16"/>
        <v>677.298311444653</v>
      </c>
      <c r="C43" s="51">
        <f t="shared" si="17"/>
        <v>926.82926829268308</v>
      </c>
      <c r="D43" s="51">
        <f t="shared" si="18"/>
        <v>1173.9837398373986</v>
      </c>
      <c r="E43" s="51">
        <f t="shared" si="19"/>
        <v>1408.7804878048782</v>
      </c>
      <c r="F43" s="51">
        <f t="shared" si="20"/>
        <v>1760.9756097560976</v>
      </c>
      <c r="G43" s="51">
        <f t="shared" si="21"/>
        <v>2347.9674796747972</v>
      </c>
      <c r="H43" s="51">
        <f t="shared" si="22"/>
        <v>2934.9593495934964</v>
      </c>
      <c r="I43" s="3">
        <f>SLOPE(Taulukkotiedot!$D$4:$D$10*A43,Laskenta!B43:H43)</f>
        <v>351.70837406089294</v>
      </c>
      <c r="J43">
        <f t="shared" si="23"/>
        <v>323.11479078093532</v>
      </c>
      <c r="K43">
        <f t="shared" si="24"/>
        <v>496.04946753692894</v>
      </c>
      <c r="L43">
        <f t="shared" si="25"/>
        <v>749.35132330046713</v>
      </c>
      <c r="M43">
        <f t="shared" si="26"/>
        <v>1354.596622889306</v>
      </c>
      <c r="N43" s="3">
        <f>SLOPE((Taulukkotiedot!$D$13:$D$16)*A43,Laskenta!J43:M43)</f>
        <v>333.98078221609711</v>
      </c>
      <c r="P43">
        <f t="shared" si="14"/>
        <v>12.313886703589286</v>
      </c>
      <c r="Q43">
        <f t="shared" si="15"/>
        <v>11.776199433847699</v>
      </c>
      <c r="R43">
        <f>AVERAGE($I$2:$I43)</f>
        <v>119.32833347058585</v>
      </c>
      <c r="S43">
        <f>AVERAGE($N$2:$N43)</f>
        <v>112.72996451831906</v>
      </c>
      <c r="U43" s="7">
        <f>R43*Taulukkotiedot!$I$2+(1-Taulukkotiedot!$I$2)*Laskenta!S43+Laskenta!Q43</f>
        <v>127.80534842830015</v>
      </c>
      <c r="V43" s="7">
        <f>R43*Taulukkotiedot!$I$2+(1-Taulukkotiedot!$I$2)*Laskenta!S43+Laskenta!Q43+P43</f>
        <v>140.11923513188944</v>
      </c>
    </row>
    <row r="44" spans="1:22" s="4" customFormat="1" x14ac:dyDescent="0.3">
      <c r="A44" s="10">
        <f t="shared" si="13"/>
        <v>42</v>
      </c>
      <c r="B44" s="51">
        <f t="shared" si="16"/>
        <v>661.17216117216128</v>
      </c>
      <c r="C44" s="51">
        <f t="shared" si="17"/>
        <v>904.76190476190482</v>
      </c>
      <c r="D44" s="51">
        <f t="shared" si="18"/>
        <v>1146.0317460317463</v>
      </c>
      <c r="E44" s="51">
        <f t="shared" si="19"/>
        <v>1375.2380952380954</v>
      </c>
      <c r="F44" s="51">
        <f t="shared" si="20"/>
        <v>1719.0476190476193</v>
      </c>
      <c r="G44" s="51">
        <f t="shared" si="21"/>
        <v>2292.0634920634925</v>
      </c>
      <c r="H44" s="51">
        <f t="shared" si="22"/>
        <v>2865.0793650793653</v>
      </c>
      <c r="I44" s="3">
        <f>SLOPE(Taulukkotiedot!$D$4:$D$10*A44,Laskenta!B44:H44)</f>
        <v>369.07410579620182</v>
      </c>
      <c r="J44" s="4">
        <f t="shared" si="23"/>
        <v>315.42158147662741</v>
      </c>
      <c r="K44" s="4">
        <f t="shared" si="24"/>
        <v>484.23876592890684</v>
      </c>
      <c r="L44" s="4">
        <f t="shared" si="25"/>
        <v>731.5096251266466</v>
      </c>
      <c r="M44" s="4">
        <f t="shared" si="26"/>
        <v>1322.3443223443226</v>
      </c>
      <c r="N44" s="3">
        <f>SLOPE((Taulukkotiedot!$D$13:$D$16)*A44,Laskenta!J44:M44)</f>
        <v>350.47120751290623</v>
      </c>
      <c r="P44" s="4">
        <f t="shared" si="14"/>
        <v>12.313886703589286</v>
      </c>
      <c r="Q44" s="4">
        <f t="shared" si="15"/>
        <v>11.776199433847699</v>
      </c>
      <c r="R44" s="4">
        <f>AVERAGE($I$2:$I44)</f>
        <v>125.13637468746064</v>
      </c>
      <c r="S44" s="4">
        <f>AVERAGE($N$2:$N44)</f>
        <v>118.25883063447226</v>
      </c>
      <c r="U44" s="7">
        <f>R44*Taulukkotiedot!$I$2+(1-Taulukkotiedot!$I$2)*Laskenta!S44+Laskenta!Q44</f>
        <v>133.47380209481415</v>
      </c>
      <c r="V44" s="7">
        <f>R44*Taulukkotiedot!$I$2+(1-Taulukkotiedot!$I$2)*Laskenta!S44+Laskenta!Q44+P44</f>
        <v>145.78768879840342</v>
      </c>
    </row>
    <row r="45" spans="1:22" x14ac:dyDescent="0.3">
      <c r="A45" s="9">
        <f t="shared" si="13"/>
        <v>43</v>
      </c>
      <c r="B45" s="51">
        <f t="shared" si="16"/>
        <v>645.79606440071564</v>
      </c>
      <c r="C45" s="51">
        <f t="shared" si="17"/>
        <v>883.72093023255832</v>
      </c>
      <c r="D45" s="51">
        <f t="shared" si="18"/>
        <v>1119.3798449612405</v>
      </c>
      <c r="E45" s="51">
        <f t="shared" si="19"/>
        <v>1343.2558139534885</v>
      </c>
      <c r="F45" s="51">
        <f t="shared" si="20"/>
        <v>1679.0697674418609</v>
      </c>
      <c r="G45" s="51">
        <f t="shared" si="21"/>
        <v>2238.7596899224809</v>
      </c>
      <c r="H45" s="51">
        <f t="shared" si="22"/>
        <v>2798.4496124031011</v>
      </c>
      <c r="I45" s="3">
        <f>SLOPE(Taulukkotiedot!$D$4:$D$10*A45,Laskenta!B45:H45)</f>
        <v>386.85828889862654</v>
      </c>
      <c r="J45">
        <f t="shared" si="23"/>
        <v>308.08619586089185</v>
      </c>
      <c r="K45">
        <f t="shared" si="24"/>
        <v>472.97739927939739</v>
      </c>
      <c r="L45">
        <f t="shared" si="25"/>
        <v>714.49777337951525</v>
      </c>
      <c r="M45">
        <f t="shared" si="26"/>
        <v>1291.5921288014313</v>
      </c>
      <c r="N45" s="3">
        <f>SLOPE((Taulukkotiedot!$D$13:$D$16)*A45,Laskenta!J45:M45)</f>
        <v>367.35899245542157</v>
      </c>
      <c r="P45">
        <f t="shared" si="14"/>
        <v>12.313886703589286</v>
      </c>
      <c r="Q45">
        <f t="shared" si="15"/>
        <v>11.776199433847699</v>
      </c>
      <c r="R45">
        <f>AVERAGE($I$2:$I45)</f>
        <v>131.0846000104417</v>
      </c>
      <c r="S45">
        <f>AVERAGE($N$2:$N45)</f>
        <v>123.92019794858474</v>
      </c>
      <c r="U45" s="7">
        <f>R45*Taulukkotiedot!$I$2+(1-Taulukkotiedot!$I$2)*Laskenta!S45+Laskenta!Q45</f>
        <v>139.27859841336092</v>
      </c>
      <c r="V45" s="7">
        <f>R45*Taulukkotiedot!$I$2+(1-Taulukkotiedot!$I$2)*Laskenta!S45+Laskenta!Q45+P45</f>
        <v>151.5924851169502</v>
      </c>
    </row>
    <row r="46" spans="1:22" s="4" customFormat="1" x14ac:dyDescent="0.3">
      <c r="A46" s="10">
        <f t="shared" si="13"/>
        <v>44</v>
      </c>
      <c r="B46" s="51">
        <f t="shared" si="16"/>
        <v>631.11888111888118</v>
      </c>
      <c r="C46" s="51">
        <f t="shared" si="17"/>
        <v>863.63636363636374</v>
      </c>
      <c r="D46" s="51">
        <f t="shared" si="18"/>
        <v>1093.939393939394</v>
      </c>
      <c r="E46" s="51">
        <f t="shared" si="19"/>
        <v>1312.727272727273</v>
      </c>
      <c r="F46" s="51">
        <f t="shared" si="20"/>
        <v>1640.909090909091</v>
      </c>
      <c r="G46" s="51">
        <f t="shared" si="21"/>
        <v>2187.878787878788</v>
      </c>
      <c r="H46" s="51">
        <f t="shared" si="22"/>
        <v>2734.8484848484854</v>
      </c>
      <c r="I46" s="3">
        <f>SLOPE(Taulukkotiedot!$D$4:$D$10*A46,Laskenta!B46:H46)</f>
        <v>405.06092336816698</v>
      </c>
      <c r="J46" s="4">
        <f t="shared" si="23"/>
        <v>301.08423686405342</v>
      </c>
      <c r="K46" s="4">
        <f t="shared" si="24"/>
        <v>462.22791293213834</v>
      </c>
      <c r="L46" s="4">
        <f t="shared" si="25"/>
        <v>698.25918762088986</v>
      </c>
      <c r="M46" s="4">
        <f t="shared" si="26"/>
        <v>1262.2377622377624</v>
      </c>
      <c r="N46" s="3">
        <f>SLOPE((Taulukkotiedot!$D$13:$D$16)*A46,Laskenta!J46:M46)</f>
        <v>384.64413704364318</v>
      </c>
      <c r="P46" s="4">
        <f t="shared" si="14"/>
        <v>12.313886703589286</v>
      </c>
      <c r="Q46" s="4">
        <f t="shared" si="15"/>
        <v>11.776199433847699</v>
      </c>
      <c r="R46" s="4">
        <f>AVERAGE($I$2:$I46)</f>
        <v>137.17296275172447</v>
      </c>
      <c r="S46" s="4">
        <f>AVERAGE($N$2:$N46)</f>
        <v>129.71406326180826</v>
      </c>
      <c r="U46" s="7">
        <f>R46*Taulukkotiedot!$I$2+(1-Taulukkotiedot!$I$2)*Laskenta!S46+Laskenta!Q46</f>
        <v>145.21971244061405</v>
      </c>
      <c r="V46" s="7">
        <f>R46*Taulukkotiedot!$I$2+(1-Taulukkotiedot!$I$2)*Laskenta!S46+Laskenta!Q46+P46</f>
        <v>157.53359914420332</v>
      </c>
    </row>
    <row r="47" spans="1:22" s="1" customFormat="1" x14ac:dyDescent="0.3">
      <c r="A47" s="11">
        <f t="shared" si="13"/>
        <v>45</v>
      </c>
      <c r="B47" s="1">
        <f t="shared" si="16"/>
        <v>617.09401709401709</v>
      </c>
      <c r="C47" s="1">
        <f t="shared" si="17"/>
        <v>844.44444444444446</v>
      </c>
      <c r="D47" s="1">
        <f t="shared" si="18"/>
        <v>1069.6296296296296</v>
      </c>
      <c r="E47" s="1">
        <f t="shared" si="19"/>
        <v>1283.5555555555557</v>
      </c>
      <c r="F47" s="1">
        <f t="shared" si="20"/>
        <v>1604.4444444444448</v>
      </c>
      <c r="G47" s="1">
        <f t="shared" si="21"/>
        <v>2139.2592592592591</v>
      </c>
      <c r="H47" s="1">
        <f t="shared" si="22"/>
        <v>2674.0740740740748</v>
      </c>
      <c r="I47" s="3">
        <f>SLOPE(Taulukkotiedot!$D$4:$D$10*A47,Laskenta!B47:H47)</f>
        <v>423.68200920482332</v>
      </c>
      <c r="J47" s="1">
        <f t="shared" si="23"/>
        <v>294.39347604485221</v>
      </c>
      <c r="K47" s="1">
        <f t="shared" si="24"/>
        <v>451.95618153364637</v>
      </c>
      <c r="L47" s="1">
        <f t="shared" si="25"/>
        <v>682.74231678487013</v>
      </c>
      <c r="M47" s="1">
        <f t="shared" si="26"/>
        <v>1234.1880341880342</v>
      </c>
      <c r="N47" s="3">
        <f>SLOPE((Taulukkotiedot!$D$13:$D$16)*A47,Laskenta!J47:M47)</f>
        <v>402.32664127757101</v>
      </c>
      <c r="P47" s="1">
        <f t="shared" si="14"/>
        <v>12.313886703589286</v>
      </c>
      <c r="Q47" s="1">
        <f t="shared" si="15"/>
        <v>11.776199433847699</v>
      </c>
      <c r="R47" s="1">
        <f>AVERAGE($I$2:$I47)</f>
        <v>143.4014202833136</v>
      </c>
      <c r="S47" s="1">
        <f>AVERAGE($N$2:$N47)</f>
        <v>135.64042365345529</v>
      </c>
      <c r="U47" s="7">
        <f>R47*Taulukkotiedot!$I$2+(1-Taulukkotiedot!$I$2)*Laskenta!S47+Laskenta!Q47</f>
        <v>151.29712140223214</v>
      </c>
      <c r="V47" s="7">
        <f>R47*Taulukkotiedot!$I$2+(1-Taulukkotiedot!$I$2)*Laskenta!S47+Laskenta!Q47+P47</f>
        <v>163.61100810582141</v>
      </c>
    </row>
    <row r="48" spans="1:22" s="4" customFormat="1" x14ac:dyDescent="0.3">
      <c r="A48" s="10">
        <f t="shared" si="13"/>
        <v>46</v>
      </c>
      <c r="B48" s="51">
        <f t="shared" si="16"/>
        <v>603.67892976588632</v>
      </c>
      <c r="C48" s="51">
        <f t="shared" si="17"/>
        <v>826.08695652173924</v>
      </c>
      <c r="D48" s="51">
        <f t="shared" si="18"/>
        <v>1046.3768115942032</v>
      </c>
      <c r="E48" s="51">
        <f t="shared" si="19"/>
        <v>1255.6521739130437</v>
      </c>
      <c r="F48" s="51">
        <f t="shared" si="20"/>
        <v>1569.5652173913045</v>
      </c>
      <c r="G48" s="51">
        <f t="shared" si="21"/>
        <v>2092.7536231884064</v>
      </c>
      <c r="H48" s="51">
        <f t="shared" si="22"/>
        <v>2615.9420289855079</v>
      </c>
      <c r="I48" s="3">
        <f>SLOPE(Taulukkotiedot!$D$4:$D$10*A48,Laskenta!B48:H48)</f>
        <v>442.7215464085956</v>
      </c>
      <c r="J48" s="4">
        <f t="shared" si="23"/>
        <v>287.99361786996417</v>
      </c>
      <c r="K48" s="4">
        <f t="shared" si="24"/>
        <v>442.13104715248022</v>
      </c>
      <c r="L48" s="4">
        <f t="shared" si="25"/>
        <v>667.90009250693811</v>
      </c>
      <c r="M48" s="4">
        <f t="shared" si="26"/>
        <v>1207.3578595317726</v>
      </c>
      <c r="N48" s="3">
        <f>SLOPE((Taulukkotiedot!$D$13:$D$16)*A48,Laskenta!J48:M48)</f>
        <v>420.40650515720512</v>
      </c>
      <c r="P48" s="4">
        <f t="shared" si="14"/>
        <v>12.313886703589286</v>
      </c>
      <c r="Q48" s="4">
        <f t="shared" si="15"/>
        <v>11.776199433847699</v>
      </c>
      <c r="R48" s="4">
        <f>AVERAGE($I$2:$I48)</f>
        <v>149.7699336051281</v>
      </c>
      <c r="S48" s="4">
        <f>AVERAGE($N$2:$N48)</f>
        <v>141.6992764514074</v>
      </c>
      <c r="U48" s="7">
        <f>R48*Taulukkotiedot!$I$2+(1-Taulukkotiedot!$I$2)*Laskenta!S48+Laskenta!Q48</f>
        <v>157.51080446211546</v>
      </c>
      <c r="V48" s="7">
        <f>R48*Taulukkotiedot!$I$2+(1-Taulukkotiedot!$I$2)*Laskenta!S48+Laskenta!Q48+P48</f>
        <v>169.82469116570473</v>
      </c>
    </row>
    <row r="49" spans="1:22" x14ac:dyDescent="0.3">
      <c r="A49" s="9">
        <f t="shared" si="13"/>
        <v>47</v>
      </c>
      <c r="B49" s="51">
        <f t="shared" si="16"/>
        <v>590.83469721767597</v>
      </c>
      <c r="C49" s="51">
        <f t="shared" si="17"/>
        <v>808.51063829787245</v>
      </c>
      <c r="D49" s="51">
        <f t="shared" si="18"/>
        <v>1024.1134751773052</v>
      </c>
      <c r="E49" s="51">
        <f t="shared" si="19"/>
        <v>1228.9361702127662</v>
      </c>
      <c r="F49" s="51">
        <f t="shared" si="20"/>
        <v>1536.1702127659578</v>
      </c>
      <c r="G49" s="51">
        <f t="shared" si="21"/>
        <v>2048.2269503546104</v>
      </c>
      <c r="H49" s="51">
        <f t="shared" si="22"/>
        <v>2560.283687943263</v>
      </c>
      <c r="I49" s="3">
        <f>SLOPE(Taulukkotiedot!$D$4:$D$10*A49,Laskenta!B49:H49)</f>
        <v>462.17953497948389</v>
      </c>
      <c r="J49">
        <f t="shared" si="23"/>
        <v>281.8660940854968</v>
      </c>
      <c r="K49">
        <f t="shared" si="24"/>
        <v>432.72400359604444</v>
      </c>
      <c r="L49">
        <f t="shared" si="25"/>
        <v>653.68945224083313</v>
      </c>
      <c r="M49">
        <f t="shared" si="26"/>
        <v>1181.6693944353519</v>
      </c>
      <c r="N49" s="3">
        <f>SLOPE((Taulukkotiedot!$D$13:$D$16)*A49,Laskenta!J49:M49)</f>
        <v>438.88372868254538</v>
      </c>
      <c r="P49">
        <f t="shared" si="14"/>
        <v>12.313886703589286</v>
      </c>
      <c r="Q49">
        <f t="shared" si="15"/>
        <v>11.776199433847699</v>
      </c>
      <c r="R49">
        <f>AVERAGE($I$2:$I49)</f>
        <v>156.27846696709386</v>
      </c>
      <c r="S49">
        <f>AVERAGE($N$2:$N49)</f>
        <v>147.89061920622279</v>
      </c>
      <c r="U49" s="7">
        <f>R49*Taulukkotiedot!$I$2+(1-Taulukkotiedot!$I$2)*Laskenta!S49+Laskenta!Q49</f>
        <v>163.86074252050602</v>
      </c>
      <c r="V49" s="7">
        <f>R49*Taulukkotiedot!$I$2+(1-Taulukkotiedot!$I$2)*Laskenta!S49+Laskenta!Q49+P49</f>
        <v>176.1746292240953</v>
      </c>
    </row>
    <row r="50" spans="1:22" s="4" customFormat="1" x14ac:dyDescent="0.3">
      <c r="A50" s="10">
        <f t="shared" si="13"/>
        <v>48</v>
      </c>
      <c r="B50" s="51">
        <f t="shared" si="16"/>
        <v>578.52564102564111</v>
      </c>
      <c r="C50" s="51">
        <f t="shared" si="17"/>
        <v>791.66666666666663</v>
      </c>
      <c r="D50" s="51">
        <f t="shared" si="18"/>
        <v>1002.7777777777779</v>
      </c>
      <c r="E50" s="51">
        <f t="shared" si="19"/>
        <v>1203.3333333333335</v>
      </c>
      <c r="F50" s="51">
        <f t="shared" si="20"/>
        <v>1504.1666666666667</v>
      </c>
      <c r="G50" s="51">
        <f t="shared" si="21"/>
        <v>2005.5555555555559</v>
      </c>
      <c r="H50" s="51">
        <f t="shared" si="22"/>
        <v>2506.9444444444448</v>
      </c>
      <c r="I50" s="3">
        <f>SLOPE(Taulukkotiedot!$D$4:$D$10*A50,Laskenta!B50:H50)</f>
        <v>482.05597491748796</v>
      </c>
      <c r="J50" s="4">
        <f t="shared" si="23"/>
        <v>275.9938837920489</v>
      </c>
      <c r="K50" s="4">
        <f t="shared" si="24"/>
        <v>423.70892018779352</v>
      </c>
      <c r="L50" s="4">
        <f t="shared" si="25"/>
        <v>640.07092198581574</v>
      </c>
      <c r="M50" s="4">
        <f t="shared" si="26"/>
        <v>1157.0512820512822</v>
      </c>
      <c r="N50" s="3">
        <f>SLOPE((Taulukkotiedot!$D$13:$D$16)*A50,Laskenta!J50:M50)</f>
        <v>457.75831185359175</v>
      </c>
      <c r="P50" s="4">
        <f t="shared" si="14"/>
        <v>12.313886703589286</v>
      </c>
      <c r="Q50" s="4">
        <f t="shared" si="15"/>
        <v>11.776199433847699</v>
      </c>
      <c r="R50" s="4">
        <f>AVERAGE($I$2:$I50)</f>
        <v>162.92698753751006</v>
      </c>
      <c r="S50" s="4">
        <f>AVERAGE($N$2:$N50)</f>
        <v>154.21444966841398</v>
      </c>
      <c r="U50" s="7">
        <f>R50*Taulukkotiedot!$I$2+(1-Taulukkotiedot!$I$2)*Laskenta!S50+Laskenta!Q50</f>
        <v>170.34691803680971</v>
      </c>
      <c r="V50" s="7">
        <f>R50*Taulukkotiedot!$I$2+(1-Taulukkotiedot!$I$2)*Laskenta!S50+Laskenta!Q50+P50</f>
        <v>182.66080474039899</v>
      </c>
    </row>
    <row r="51" spans="1:22" x14ac:dyDescent="0.3">
      <c r="A51" s="9">
        <f t="shared" si="13"/>
        <v>49</v>
      </c>
      <c r="B51" s="51">
        <f t="shared" si="16"/>
        <v>566.718995290424</v>
      </c>
      <c r="C51" s="51">
        <f t="shared" si="17"/>
        <v>775.51020408163265</v>
      </c>
      <c r="D51" s="51">
        <f t="shared" si="18"/>
        <v>982.31292517006818</v>
      </c>
      <c r="E51" s="51">
        <f t="shared" si="19"/>
        <v>1178.7755102040819</v>
      </c>
      <c r="F51" s="51">
        <f t="shared" si="20"/>
        <v>1473.4693877551019</v>
      </c>
      <c r="G51" s="51">
        <f t="shared" si="21"/>
        <v>1964.6258503401364</v>
      </c>
      <c r="H51" s="51">
        <f t="shared" si="22"/>
        <v>2455.7823129251706</v>
      </c>
      <c r="I51" s="3">
        <f>SLOPE(Taulukkotiedot!$D$4:$D$10*A51,Laskenta!B51:H51)</f>
        <v>502.35086622260786</v>
      </c>
      <c r="J51">
        <f t="shared" si="23"/>
        <v>270.36135555139487</v>
      </c>
      <c r="K51">
        <f t="shared" si="24"/>
        <v>415.06179936763448</v>
      </c>
      <c r="L51">
        <f t="shared" si="25"/>
        <v>627.00825010855431</v>
      </c>
      <c r="M51">
        <f t="shared" si="26"/>
        <v>1133.437990580848</v>
      </c>
      <c r="N51" s="3">
        <f>SLOPE((Taulukkotiedot!$D$13:$D$16)*A51,Laskenta!J51:M51)</f>
        <v>477.0302546703445</v>
      </c>
      <c r="P51">
        <f t="shared" si="14"/>
        <v>12.313886703589286</v>
      </c>
      <c r="Q51">
        <f t="shared" si="15"/>
        <v>11.776199433847699</v>
      </c>
      <c r="R51">
        <f>AVERAGE($I$2:$I51)</f>
        <v>169.71546511121204</v>
      </c>
      <c r="S51">
        <f>AVERAGE($N$2:$N51)</f>
        <v>160.67076576845258</v>
      </c>
      <c r="U51" s="7">
        <f>R51*Taulukkotiedot!$I$2+(1-Taulukkotiedot!$I$2)*Laskenta!S51+Laskenta!Q51</f>
        <v>176.96931487367999</v>
      </c>
      <c r="V51" s="7">
        <f>R51*Taulukkotiedot!$I$2+(1-Taulukkotiedot!$I$2)*Laskenta!S51+Laskenta!Q51+P51</f>
        <v>189.28320157726927</v>
      </c>
    </row>
    <row r="52" spans="1:22" s="5" customFormat="1" x14ac:dyDescent="0.3">
      <c r="A52" s="12">
        <f t="shared" si="13"/>
        <v>50</v>
      </c>
      <c r="B52" s="51">
        <f t="shared" si="16"/>
        <v>555.38461538461547</v>
      </c>
      <c r="C52" s="51">
        <f t="shared" si="17"/>
        <v>760.00000000000011</v>
      </c>
      <c r="D52" s="51">
        <f t="shared" si="18"/>
        <v>962.66666666666674</v>
      </c>
      <c r="E52" s="51">
        <f t="shared" si="19"/>
        <v>1155.2000000000003</v>
      </c>
      <c r="F52" s="51">
        <f t="shared" si="20"/>
        <v>1444.0000000000002</v>
      </c>
      <c r="G52" s="51">
        <f t="shared" si="21"/>
        <v>1925.3333333333335</v>
      </c>
      <c r="H52" s="51">
        <f t="shared" si="22"/>
        <v>2406.666666666667</v>
      </c>
      <c r="I52" s="3">
        <f>SLOPE(Taulukkotiedot!$D$4:$D$10*A52,Laskenta!B52:H52)</f>
        <v>523.06420889484377</v>
      </c>
      <c r="J52" s="5">
        <f t="shared" si="23"/>
        <v>264.95412844036701</v>
      </c>
      <c r="K52" s="5">
        <f t="shared" si="24"/>
        <v>406.76056338028172</v>
      </c>
      <c r="L52" s="5">
        <f t="shared" si="25"/>
        <v>614.46808510638311</v>
      </c>
      <c r="M52" s="5">
        <f t="shared" si="26"/>
        <v>1110.7692307692309</v>
      </c>
      <c r="N52" s="3">
        <f>SLOPE((Taulukkotiedot!$D$13:$D$16)*A52,Laskenta!J52:M52)</f>
        <v>496.69955713280353</v>
      </c>
      <c r="P52" s="5">
        <f t="shared" si="14"/>
        <v>12.313886703589286</v>
      </c>
      <c r="Q52" s="5">
        <f t="shared" si="15"/>
        <v>11.776199433847699</v>
      </c>
      <c r="R52" s="5">
        <f>AVERAGE($I$2:$I52)</f>
        <v>176.64387185206758</v>
      </c>
      <c r="S52" s="5">
        <f>AVERAGE($N$2:$N52)</f>
        <v>167.25956559912615</v>
      </c>
      <c r="U52" s="7">
        <f>R52*Taulukkotiedot!$I$2+(1-Taulukkotiedot!$I$2)*Laskenta!S52+Laskenta!Q52</f>
        <v>183.72791815944456</v>
      </c>
      <c r="V52" s="7">
        <f>R52*Taulukkotiedot!$I$2+(1-Taulukkotiedot!$I$2)*Laskenta!S52+Laskenta!Q52+P52</f>
        <v>196.04180486303383</v>
      </c>
    </row>
    <row r="53" spans="1:22" x14ac:dyDescent="0.3">
      <c r="A53" s="9">
        <f t="shared" si="13"/>
        <v>51</v>
      </c>
      <c r="B53" s="51">
        <f t="shared" si="16"/>
        <v>544.49472096530928</v>
      </c>
      <c r="C53" s="51">
        <f t="shared" si="17"/>
        <v>745.09803921568641</v>
      </c>
      <c r="D53" s="51">
        <f t="shared" si="18"/>
        <v>943.79084967320284</v>
      </c>
      <c r="E53" s="51">
        <f t="shared" si="19"/>
        <v>1132.5490196078433</v>
      </c>
      <c r="F53" s="51">
        <f t="shared" si="20"/>
        <v>1415.6862745098038</v>
      </c>
      <c r="G53" s="51">
        <f t="shared" si="21"/>
        <v>1887.5816993464057</v>
      </c>
      <c r="H53" s="51">
        <f t="shared" si="22"/>
        <v>2359.4771241830067</v>
      </c>
      <c r="I53" s="3">
        <f>SLOPE(Taulukkotiedot!$D$4:$D$10*A53,Laskenta!B53:H53)</f>
        <v>544.19600293419558</v>
      </c>
      <c r="J53">
        <f t="shared" si="23"/>
        <v>259.75894945134019</v>
      </c>
      <c r="K53">
        <f t="shared" si="24"/>
        <v>398.78486605909973</v>
      </c>
      <c r="L53">
        <f t="shared" si="25"/>
        <v>602.41969128076778</v>
      </c>
      <c r="M53">
        <f t="shared" si="26"/>
        <v>1088.9894419306186</v>
      </c>
      <c r="N53" s="3">
        <f>SLOPE((Taulukkotiedot!$D$13:$D$16)*A53,Laskenta!J53:M53)</f>
        <v>516.76621924096878</v>
      </c>
      <c r="P53">
        <f t="shared" si="14"/>
        <v>12.313886703589286</v>
      </c>
      <c r="Q53">
        <f t="shared" si="15"/>
        <v>11.776199433847699</v>
      </c>
      <c r="R53">
        <f>AVERAGE($I$2:$I53)</f>
        <v>183.7121820651854</v>
      </c>
      <c r="S53">
        <f>AVERAGE($N$2:$N53)</f>
        <v>173.98084739993081</v>
      </c>
      <c r="U53" s="7">
        <f>R53*Taulukkotiedot!$I$2+(1-Taulukkotiedot!$I$2)*Laskenta!S53+Laskenta!Q53</f>
        <v>190.62271416640579</v>
      </c>
      <c r="V53" s="7">
        <f>R53*Taulukkotiedot!$I$2+(1-Taulukkotiedot!$I$2)*Laskenta!S53+Laskenta!Q53+P53</f>
        <v>202.93660086999506</v>
      </c>
    </row>
    <row r="54" spans="1:22" s="4" customFormat="1" x14ac:dyDescent="0.3">
      <c r="A54" s="10">
        <f t="shared" si="13"/>
        <v>52</v>
      </c>
      <c r="B54" s="51">
        <f t="shared" si="16"/>
        <v>534.02366863905331</v>
      </c>
      <c r="C54" s="51">
        <f t="shared" si="17"/>
        <v>730.76923076923072</v>
      </c>
      <c r="D54" s="51">
        <f t="shared" si="18"/>
        <v>925.64102564102575</v>
      </c>
      <c r="E54" s="51">
        <f t="shared" si="19"/>
        <v>1110.7692307692309</v>
      </c>
      <c r="F54" s="51">
        <f t="shared" si="20"/>
        <v>1388.4615384615386</v>
      </c>
      <c r="G54" s="51">
        <f t="shared" si="21"/>
        <v>1851.2820512820515</v>
      </c>
      <c r="H54" s="51">
        <f t="shared" si="22"/>
        <v>2314.1025641025644</v>
      </c>
      <c r="I54" s="3">
        <f>SLOPE(Taulukkotiedot!$D$4:$D$10*A54,Laskenta!B54:H54)</f>
        <v>565.74624834066299</v>
      </c>
      <c r="J54" s="4">
        <f t="shared" si="23"/>
        <v>254.7635850388144</v>
      </c>
      <c r="K54" s="4">
        <f t="shared" si="24"/>
        <v>391.11592632719396</v>
      </c>
      <c r="L54" s="4">
        <f t="shared" si="25"/>
        <v>590.83469721767608</v>
      </c>
      <c r="M54" s="4">
        <f t="shared" si="26"/>
        <v>1068.0473372781066</v>
      </c>
      <c r="N54" s="3">
        <f>SLOPE((Taulukkotiedot!$D$13:$D$16)*A54,Laskenta!J54:M54)</f>
        <v>537.23024099484041</v>
      </c>
      <c r="P54" s="4">
        <f t="shared" si="14"/>
        <v>12.313886703589286</v>
      </c>
      <c r="Q54" s="4">
        <f t="shared" si="15"/>
        <v>11.776199433847699</v>
      </c>
      <c r="R54" s="4">
        <f>AVERAGE($I$2:$I54)</f>
        <v>190.92037199491142</v>
      </c>
      <c r="S54" s="4">
        <f>AVERAGE($N$2:$N54)</f>
        <v>180.83460954323098</v>
      </c>
      <c r="U54" s="7">
        <f>R54*Taulukkotiedot!$I$2+(1-Taulukkotiedot!$I$2)*Laskenta!S54+Laskenta!Q54</f>
        <v>197.65369020291888</v>
      </c>
      <c r="V54" s="7">
        <f>R54*Taulukkotiedot!$I$2+(1-Taulukkotiedot!$I$2)*Laskenta!S54+Laskenta!Q54+P54</f>
        <v>209.96757690650816</v>
      </c>
    </row>
    <row r="55" spans="1:22" x14ac:dyDescent="0.3">
      <c r="A55" s="9">
        <f t="shared" si="13"/>
        <v>53</v>
      </c>
      <c r="B55" s="51">
        <f t="shared" si="16"/>
        <v>523.94775036284477</v>
      </c>
      <c r="C55" s="51">
        <f t="shared" si="17"/>
        <v>716.98113207547181</v>
      </c>
      <c r="D55" s="51">
        <f t="shared" si="18"/>
        <v>908.17610062893095</v>
      </c>
      <c r="E55" s="51">
        <f t="shared" si="19"/>
        <v>1089.8113207547171</v>
      </c>
      <c r="F55" s="51">
        <f t="shared" si="20"/>
        <v>1362.2641509433961</v>
      </c>
      <c r="G55" s="51">
        <f t="shared" si="21"/>
        <v>1816.3522012578619</v>
      </c>
      <c r="H55" s="51">
        <f t="shared" si="22"/>
        <v>2270.4402515723277</v>
      </c>
      <c r="I55" s="3">
        <f>SLOPE(Taulukkotiedot!$D$4:$D$10*A55,Laskenta!B55:H55)</f>
        <v>587.71494511424646</v>
      </c>
      <c r="J55">
        <f t="shared" si="23"/>
        <v>249.95672494374244</v>
      </c>
      <c r="K55">
        <f t="shared" si="24"/>
        <v>383.73638054743566</v>
      </c>
      <c r="L55">
        <f t="shared" si="25"/>
        <v>579.68687274187084</v>
      </c>
      <c r="M55">
        <f t="shared" si="26"/>
        <v>1047.8955007256895</v>
      </c>
      <c r="N55" s="3">
        <f>SLOPE((Taulukkotiedot!$D$13:$D$16)*A55,Laskenta!J55:M55)</f>
        <v>558.0916223944181</v>
      </c>
      <c r="P55">
        <f t="shared" si="14"/>
        <v>12.313886703589286</v>
      </c>
      <c r="Q55">
        <f t="shared" si="15"/>
        <v>11.776199433847699</v>
      </c>
      <c r="R55">
        <f>AVERAGE($I$2:$I55)</f>
        <v>198.26841964526946</v>
      </c>
      <c r="S55">
        <f>AVERAGE($N$2:$N55)</f>
        <v>187.82085052195669</v>
      </c>
      <c r="U55" s="7">
        <f>R55*Taulukkotiedot!$I$2+(1-Taulukkotiedot!$I$2)*Laskenta!S55+Laskenta!Q55</f>
        <v>204.82083451746075</v>
      </c>
      <c r="V55" s="7">
        <f>R55*Taulukkotiedot!$I$2+(1-Taulukkotiedot!$I$2)*Laskenta!S55+Laskenta!Q55+P55</f>
        <v>217.13472122105003</v>
      </c>
    </row>
    <row r="56" spans="1:22" s="4" customFormat="1" x14ac:dyDescent="0.3">
      <c r="A56" s="10">
        <f t="shared" si="13"/>
        <v>54</v>
      </c>
      <c r="B56" s="51">
        <f t="shared" si="16"/>
        <v>514.24501424501432</v>
      </c>
      <c r="C56" s="51">
        <f t="shared" si="17"/>
        <v>703.70370370370381</v>
      </c>
      <c r="D56" s="51">
        <f t="shared" si="18"/>
        <v>891.3580246913582</v>
      </c>
      <c r="E56" s="51">
        <f t="shared" si="19"/>
        <v>1069.6296296296296</v>
      </c>
      <c r="F56" s="51">
        <f t="shared" si="20"/>
        <v>1337.0370370370372</v>
      </c>
      <c r="G56" s="51">
        <f t="shared" si="21"/>
        <v>1782.7160493827164</v>
      </c>
      <c r="H56" s="51">
        <f t="shared" si="22"/>
        <v>2228.3950617283954</v>
      </c>
      <c r="I56" s="3">
        <f>SLOPE(Taulukkotiedot!$D$4:$D$10*A56,Laskenta!B56:H56)</f>
        <v>610.10209325494577</v>
      </c>
      <c r="J56" s="4">
        <f t="shared" si="23"/>
        <v>245.3278967040435</v>
      </c>
      <c r="K56" s="4">
        <f t="shared" si="24"/>
        <v>376.63015127803868</v>
      </c>
      <c r="L56" s="4">
        <f t="shared" si="25"/>
        <v>568.95193065405851</v>
      </c>
      <c r="M56" s="4">
        <f t="shared" si="26"/>
        <v>1028.4900284900286</v>
      </c>
      <c r="N56" s="3">
        <f>SLOPE((Taulukkotiedot!$D$13:$D$16)*A56,Laskenta!J56:M56)</f>
        <v>579.35036343970228</v>
      </c>
      <c r="P56" s="4">
        <f t="shared" si="14"/>
        <v>12.313886703589286</v>
      </c>
      <c r="Q56" s="4">
        <f t="shared" si="15"/>
        <v>11.776199433847699</v>
      </c>
      <c r="R56" s="4">
        <f>AVERAGE($I$2:$I56)</f>
        <v>205.75630461999086</v>
      </c>
      <c r="S56" s="4">
        <f>AVERAGE($N$2:$N56)</f>
        <v>194.93956893864296</v>
      </c>
      <c r="U56" s="7">
        <f>R56*Taulukkotiedot!$I$2+(1-Taulukkotiedot!$I$2)*Laskenta!S56+Laskenta!Q56</f>
        <v>212.1241362131646</v>
      </c>
      <c r="V56" s="7">
        <f>R56*Taulukkotiedot!$I$2+(1-Taulukkotiedot!$I$2)*Laskenta!S56+Laskenta!Q56+P56</f>
        <v>224.43802291675388</v>
      </c>
    </row>
    <row r="57" spans="1:22" s="1" customFormat="1" x14ac:dyDescent="0.3">
      <c r="A57" s="11">
        <f t="shared" si="13"/>
        <v>55</v>
      </c>
      <c r="B57" s="1">
        <f t="shared" si="16"/>
        <v>504.89510489510496</v>
      </c>
      <c r="C57" s="1">
        <f t="shared" si="17"/>
        <v>690.90909090909111</v>
      </c>
      <c r="D57" s="1">
        <f t="shared" si="18"/>
        <v>875.15151515151524</v>
      </c>
      <c r="E57" s="1">
        <f t="shared" si="19"/>
        <v>1050.1818181818182</v>
      </c>
      <c r="F57" s="1">
        <f t="shared" si="20"/>
        <v>1312.727272727273</v>
      </c>
      <c r="G57" s="1">
        <f t="shared" si="21"/>
        <v>1750.3030303030305</v>
      </c>
      <c r="H57" s="1">
        <f t="shared" si="22"/>
        <v>2187.878787878788</v>
      </c>
      <c r="I57" s="3">
        <f>SLOPE(Taulukkotiedot!$D$4:$D$10*A57,Laskenta!B57:H57)</f>
        <v>632.90769276276114</v>
      </c>
      <c r="J57" s="1">
        <f t="shared" si="23"/>
        <v>240.86738949124273</v>
      </c>
      <c r="K57" s="1">
        <f t="shared" si="24"/>
        <v>369.7823303457107</v>
      </c>
      <c r="L57" s="1">
        <f t="shared" si="25"/>
        <v>558.60735009671191</v>
      </c>
      <c r="M57" s="1">
        <f t="shared" si="26"/>
        <v>1009.7902097902099</v>
      </c>
      <c r="N57" s="3">
        <f>SLOPE((Taulukkotiedot!$D$13:$D$16)*A57,Laskenta!J57:M57)</f>
        <v>601.00646413069251</v>
      </c>
      <c r="P57" s="1">
        <f t="shared" si="14"/>
        <v>12.313886703589286</v>
      </c>
      <c r="Q57" s="1">
        <f t="shared" si="15"/>
        <v>11.776199433847699</v>
      </c>
      <c r="R57" s="1">
        <f>AVERAGE($I$2:$I57)</f>
        <v>213.38400797968319</v>
      </c>
      <c r="S57" s="1">
        <f>AVERAGE($N$2:$N57)</f>
        <v>202.19076349564384</v>
      </c>
      <c r="U57" s="7">
        <f>R57*Taulukkotiedot!$I$2+(1-Taulukkotiedot!$I$2)*Laskenta!S57+Laskenta!Q57</f>
        <v>219.56358517151119</v>
      </c>
      <c r="V57" s="7">
        <f>R57*Taulukkotiedot!$I$2+(1-Taulukkotiedot!$I$2)*Laskenta!S57+Laskenta!Q57+P57</f>
        <v>231.87747187510047</v>
      </c>
    </row>
    <row r="58" spans="1:22" s="4" customFormat="1" x14ac:dyDescent="0.3">
      <c r="A58" s="10">
        <f t="shared" si="13"/>
        <v>56</v>
      </c>
      <c r="B58" s="51">
        <f t="shared" si="16"/>
        <v>495.87912087912093</v>
      </c>
      <c r="C58" s="51">
        <f t="shared" si="17"/>
        <v>678.57142857142867</v>
      </c>
      <c r="D58" s="51">
        <f t="shared" si="18"/>
        <v>859.52380952380963</v>
      </c>
      <c r="E58" s="51">
        <f t="shared" si="19"/>
        <v>1031.4285714285716</v>
      </c>
      <c r="F58" s="51">
        <f t="shared" si="20"/>
        <v>1289.2857142857142</v>
      </c>
      <c r="G58" s="51">
        <f t="shared" si="21"/>
        <v>1719.0476190476193</v>
      </c>
      <c r="H58" s="51">
        <f t="shared" si="22"/>
        <v>2148.8095238095243</v>
      </c>
      <c r="I58" s="3">
        <f>SLOPE(Taulukkotiedot!$D$4:$D$10*A58,Laskenta!B58:H58)</f>
        <v>656.1317436376919</v>
      </c>
      <c r="J58" s="4">
        <f t="shared" si="23"/>
        <v>236.56618610747051</v>
      </c>
      <c r="K58" s="4">
        <f t="shared" si="24"/>
        <v>363.17907444668015</v>
      </c>
      <c r="L58" s="4">
        <f t="shared" si="25"/>
        <v>548.63221884498489</v>
      </c>
      <c r="M58" s="4">
        <f t="shared" si="26"/>
        <v>991.75824175824187</v>
      </c>
      <c r="N58" s="3">
        <f>SLOPE((Taulukkotiedot!$D$13:$D$16)*A58,Laskenta!J58:M58)</f>
        <v>623.05992446738878</v>
      </c>
      <c r="P58" s="4">
        <f t="shared" si="14"/>
        <v>12.313886703589286</v>
      </c>
      <c r="Q58" s="4">
        <f t="shared" si="15"/>
        <v>11.776199433847699</v>
      </c>
      <c r="R58" s="4">
        <f>AVERAGE($I$2:$I58)</f>
        <v>221.1515121140342</v>
      </c>
      <c r="S58" s="4">
        <f>AVERAGE($N$2:$N58)</f>
        <v>209.57443298637622</v>
      </c>
      <c r="U58" s="7">
        <f>R58*Taulukkotiedot!$I$2+(1-Taulukkotiedot!$I$2)*Laskenta!S58+Laskenta!Q58</f>
        <v>227.13917198405289</v>
      </c>
      <c r="V58" s="7">
        <f>R58*Taulukkotiedot!$I$2+(1-Taulukkotiedot!$I$2)*Laskenta!S58+Laskenta!Q58+P58</f>
        <v>239.45305868764217</v>
      </c>
    </row>
    <row r="59" spans="1:22" x14ac:dyDescent="0.3">
      <c r="A59" s="9">
        <f t="shared" si="13"/>
        <v>57</v>
      </c>
      <c r="B59" s="51">
        <f t="shared" si="16"/>
        <v>487.17948717948724</v>
      </c>
      <c r="C59" s="51">
        <f t="shared" si="17"/>
        <v>666.66666666666674</v>
      </c>
      <c r="D59" s="51">
        <f t="shared" si="18"/>
        <v>844.44444444444457</v>
      </c>
      <c r="E59" s="51">
        <f t="shared" si="19"/>
        <v>1013.3333333333335</v>
      </c>
      <c r="F59" s="51">
        <f t="shared" si="20"/>
        <v>1266.6666666666667</v>
      </c>
      <c r="G59" s="51">
        <f t="shared" si="21"/>
        <v>1688.8888888888891</v>
      </c>
      <c r="H59" s="51">
        <f t="shared" si="22"/>
        <v>2111.1111111111113</v>
      </c>
      <c r="I59" s="3">
        <f>SLOPE(Taulukkotiedot!$D$4:$D$10*A59,Laskenta!B59:H59)</f>
        <v>679.77424587973894</v>
      </c>
      <c r="J59">
        <f t="shared" si="23"/>
        <v>232.41590214067281</v>
      </c>
      <c r="K59">
        <f t="shared" si="24"/>
        <v>356.80751173708927</v>
      </c>
      <c r="L59">
        <f t="shared" si="25"/>
        <v>539.00709219858163</v>
      </c>
      <c r="M59">
        <f t="shared" si="26"/>
        <v>974.35897435897448</v>
      </c>
      <c r="N59" s="3">
        <f>SLOPE((Taulukkotiedot!$D$13:$D$16)*A59,Laskenta!J59:M59)</f>
        <v>645.51074444979156</v>
      </c>
      <c r="P59">
        <f t="shared" si="14"/>
        <v>12.313886703589286</v>
      </c>
      <c r="Q59">
        <f t="shared" si="15"/>
        <v>11.776199433847699</v>
      </c>
      <c r="R59">
        <f>AVERAGE($I$2:$I59)</f>
        <v>229.05880062723602</v>
      </c>
      <c r="S59">
        <f>AVERAGE($N$2:$N59)</f>
        <v>217.09057628746959</v>
      </c>
      <c r="U59" s="7">
        <f>R59*Taulukkotiedot!$I$2+(1-Taulukkotiedot!$I$2)*Laskenta!S59+Laskenta!Q59</f>
        <v>234.8508878912005</v>
      </c>
      <c r="V59" s="7">
        <f>R59*Taulukkotiedot!$I$2+(1-Taulukkotiedot!$I$2)*Laskenta!S59+Laskenta!Q59+P59</f>
        <v>247.16477459478978</v>
      </c>
    </row>
    <row r="60" spans="1:22" s="4" customFormat="1" x14ac:dyDescent="0.3">
      <c r="A60" s="10">
        <f t="shared" si="13"/>
        <v>58</v>
      </c>
      <c r="B60" s="51">
        <f t="shared" si="16"/>
        <v>478.77984084880643</v>
      </c>
      <c r="C60" s="51">
        <f t="shared" si="17"/>
        <v>655.17241379310349</v>
      </c>
      <c r="D60" s="51">
        <f t="shared" si="18"/>
        <v>829.88505747126453</v>
      </c>
      <c r="E60" s="51">
        <f t="shared" si="19"/>
        <v>995.86206896551732</v>
      </c>
      <c r="F60" s="51">
        <f t="shared" si="20"/>
        <v>1244.8275862068965</v>
      </c>
      <c r="G60" s="51">
        <f t="shared" si="21"/>
        <v>1659.7701149425291</v>
      </c>
      <c r="H60" s="51">
        <f t="shared" si="22"/>
        <v>2074.7126436781609</v>
      </c>
      <c r="I60" s="3">
        <f>SLOPE(Taulukkotiedot!$D$4:$D$10*A60,Laskenta!B60:H60)</f>
        <v>703.83519948890182</v>
      </c>
      <c r="J60" s="4">
        <f t="shared" si="23"/>
        <v>228.40873141410947</v>
      </c>
      <c r="K60" s="4">
        <f t="shared" si="24"/>
        <v>350.65565808644976</v>
      </c>
      <c r="L60" s="4">
        <f t="shared" si="25"/>
        <v>529.71386647101997</v>
      </c>
      <c r="M60" s="4">
        <f t="shared" si="26"/>
        <v>957.55968169761286</v>
      </c>
      <c r="N60" s="3">
        <f>SLOPE((Taulukkotiedot!$D$13:$D$16)*A60,Laskenta!J60:M60)</f>
        <v>668.3589240779005</v>
      </c>
      <c r="P60" s="4">
        <f t="shared" si="14"/>
        <v>12.313886703589286</v>
      </c>
      <c r="Q60" s="4">
        <f t="shared" si="15"/>
        <v>11.776199433847699</v>
      </c>
      <c r="R60" s="4">
        <f>AVERAGE($I$2:$I60)</f>
        <v>237.10585823506085</v>
      </c>
      <c r="S60" s="4">
        <f>AVERAGE($N$2:$N60)</f>
        <v>224.73919235171417</v>
      </c>
      <c r="U60" s="7">
        <f>R60*Taulukkotiedot!$I$2+(1-Taulukkotiedot!$I$2)*Laskenta!S60+Laskenta!Q60</f>
        <v>242.6987247272352</v>
      </c>
      <c r="V60" s="7">
        <f>R60*Taulukkotiedot!$I$2+(1-Taulukkotiedot!$I$2)*Laskenta!S60+Laskenta!Q60+P60</f>
        <v>255.01261143082448</v>
      </c>
    </row>
    <row r="61" spans="1:22" x14ac:dyDescent="0.3">
      <c r="A61" s="9">
        <f t="shared" si="13"/>
        <v>59</v>
      </c>
      <c r="B61" s="51">
        <f t="shared" si="16"/>
        <v>470.66492829204702</v>
      </c>
      <c r="C61" s="51">
        <f t="shared" si="17"/>
        <v>644.06779661016958</v>
      </c>
      <c r="D61" s="51">
        <f t="shared" si="18"/>
        <v>815.81920903954813</v>
      </c>
      <c r="E61" s="51">
        <f t="shared" si="19"/>
        <v>978.98305084745778</v>
      </c>
      <c r="F61" s="51">
        <f t="shared" si="20"/>
        <v>1223.7288135593221</v>
      </c>
      <c r="G61" s="51">
        <f t="shared" si="21"/>
        <v>1631.6384180790963</v>
      </c>
      <c r="H61" s="51">
        <f t="shared" si="22"/>
        <v>2039.5480225988704</v>
      </c>
      <c r="I61" s="3">
        <f>SLOPE(Taulukkotiedot!$D$4:$D$10*A61,Laskenta!B61:H61)</f>
        <v>728.31460446518042</v>
      </c>
      <c r="J61">
        <f t="shared" si="23"/>
        <v>224.53739698336187</v>
      </c>
      <c r="K61">
        <f t="shared" si="24"/>
        <v>344.71234184769639</v>
      </c>
      <c r="L61">
        <f t="shared" si="25"/>
        <v>520.73566534439249</v>
      </c>
      <c r="M61">
        <f t="shared" si="26"/>
        <v>941.32985658409405</v>
      </c>
      <c r="N61" s="3">
        <f>SLOPE((Taulukkotiedot!$D$13:$D$16)*A61,Laskenta!J61:M61)</f>
        <v>691.60446335171559</v>
      </c>
      <c r="P61">
        <f t="shared" si="14"/>
        <v>12.313886703589286</v>
      </c>
      <c r="Q61">
        <f t="shared" si="15"/>
        <v>11.776199433847699</v>
      </c>
      <c r="R61">
        <f>AVERAGE($I$2:$I61)</f>
        <v>245.29267067222952</v>
      </c>
      <c r="S61">
        <f>AVERAGE($N$2:$N61)</f>
        <v>232.5202802017142</v>
      </c>
      <c r="U61" s="7">
        <f>R61*Taulukkotiedot!$I$2+(1-Taulukkotiedot!$I$2)*Laskenta!S61+Laskenta!Q61</f>
        <v>250.68267487081954</v>
      </c>
      <c r="V61" s="7">
        <f>R61*Taulukkotiedot!$I$2+(1-Taulukkotiedot!$I$2)*Laskenta!S61+Laskenta!Q61+P61</f>
        <v>262.99656157440882</v>
      </c>
    </row>
    <row r="62" spans="1:22" s="5" customFormat="1" x14ac:dyDescent="0.3">
      <c r="A62" s="12">
        <f t="shared" si="13"/>
        <v>60</v>
      </c>
      <c r="B62" s="51">
        <f t="shared" si="16"/>
        <v>462.82051282051282</v>
      </c>
      <c r="C62" s="51">
        <f t="shared" si="17"/>
        <v>633.33333333333337</v>
      </c>
      <c r="D62" s="51">
        <f t="shared" si="18"/>
        <v>802.2222222222224</v>
      </c>
      <c r="E62" s="51">
        <f t="shared" si="19"/>
        <v>962.66666666666674</v>
      </c>
      <c r="F62" s="51">
        <f t="shared" si="20"/>
        <v>1203.3333333333335</v>
      </c>
      <c r="G62" s="51">
        <f t="shared" si="21"/>
        <v>1604.4444444444448</v>
      </c>
      <c r="H62" s="51">
        <f t="shared" si="22"/>
        <v>2005.5555555555559</v>
      </c>
      <c r="I62" s="3">
        <f>SLOPE(Taulukkotiedot!$D$4:$D$10*A62,Laskenta!B62:H62)</f>
        <v>753.21246080857486</v>
      </c>
      <c r="J62" s="5">
        <f t="shared" si="23"/>
        <v>220.79510703363917</v>
      </c>
      <c r="K62" s="5">
        <f t="shared" si="24"/>
        <v>338.96713615023486</v>
      </c>
      <c r="L62" s="5">
        <f t="shared" si="25"/>
        <v>512.0567375886526</v>
      </c>
      <c r="M62" s="5">
        <f t="shared" si="26"/>
        <v>925.64102564102564</v>
      </c>
      <c r="N62" s="3">
        <f>SLOPE((Taulukkotiedot!$D$13:$D$16)*A62,Laskenta!J62:M62)</f>
        <v>715.24736227123731</v>
      </c>
      <c r="P62" s="5">
        <f t="shared" si="14"/>
        <v>12.313886703589286</v>
      </c>
      <c r="Q62" s="5">
        <f t="shared" si="15"/>
        <v>11.776199433847699</v>
      </c>
      <c r="R62" s="5">
        <f>AVERAGE($I$2:$I62)</f>
        <v>253.6192246088909</v>
      </c>
      <c r="S62" s="5">
        <f>AVERAGE($N$2:$N62)</f>
        <v>240.4338389241654</v>
      </c>
      <c r="U62" s="7">
        <f>R62*Taulukkotiedot!$I$2+(1-Taulukkotiedot!$I$2)*Laskenta!S62+Laskenta!Q62</f>
        <v>258.80273120037583</v>
      </c>
      <c r="V62" s="7">
        <f>R62*Taulukkotiedot!$I$2+(1-Taulukkotiedot!$I$2)*Laskenta!S62+Laskenta!Q62+P62</f>
        <v>271.11661790396511</v>
      </c>
    </row>
    <row r="63" spans="1:22" x14ac:dyDescent="0.3">
      <c r="A63" s="9">
        <f t="shared" si="13"/>
        <v>61</v>
      </c>
      <c r="B63" s="51">
        <f t="shared" si="16"/>
        <v>455.23329129886508</v>
      </c>
      <c r="C63" s="51">
        <f t="shared" si="17"/>
        <v>622.95081967213116</v>
      </c>
      <c r="D63" s="51">
        <f t="shared" si="18"/>
        <v>789.07103825136619</v>
      </c>
      <c r="E63" s="51">
        <f t="shared" si="19"/>
        <v>946.88524590163945</v>
      </c>
      <c r="F63" s="51">
        <f t="shared" si="20"/>
        <v>1183.6065573770493</v>
      </c>
      <c r="G63" s="51">
        <f t="shared" si="21"/>
        <v>1578.1420765027324</v>
      </c>
      <c r="H63" s="51">
        <f t="shared" si="22"/>
        <v>1972.6775956284157</v>
      </c>
      <c r="I63" s="3">
        <f>SLOPE(Taulukkotiedot!$D$4:$D$10*A63,Laskenta!B63:H63)</f>
        <v>778.52876851908547</v>
      </c>
      <c r="J63">
        <f t="shared" si="23"/>
        <v>217.17551511505491</v>
      </c>
      <c r="K63">
        <f t="shared" si="24"/>
        <v>333.41029785269001</v>
      </c>
      <c r="L63">
        <f t="shared" si="25"/>
        <v>503.66236484129763</v>
      </c>
      <c r="M63">
        <f t="shared" si="26"/>
        <v>910.46658259773017</v>
      </c>
      <c r="N63" s="3">
        <f>SLOPE((Taulukkotiedot!$D$13:$D$16)*A63,Laskenta!J63:M63)</f>
        <v>739.28762083646518</v>
      </c>
      <c r="P63">
        <f t="shared" si="14"/>
        <v>12.313886703589286</v>
      </c>
      <c r="Q63">
        <f t="shared" si="15"/>
        <v>11.776199433847699</v>
      </c>
      <c r="R63">
        <f>AVERAGE($I$2:$I63)</f>
        <v>262.08550757518435</v>
      </c>
      <c r="S63">
        <f>AVERAGE($N$2:$N63)</f>
        <v>248.47986766468634</v>
      </c>
      <c r="U63" s="7">
        <f>R63*Taulukkotiedot!$I$2+(1-Taulukkotiedot!$I$2)*Laskenta!S63+Laskenta!Q63</f>
        <v>267.05888705378305</v>
      </c>
      <c r="V63" s="7">
        <f>R63*Taulukkotiedot!$I$2+(1-Taulukkotiedot!$I$2)*Laskenta!S63+Laskenta!Q63+P63</f>
        <v>279.37277375737233</v>
      </c>
    </row>
    <row r="64" spans="1:22" s="4" customFormat="1" x14ac:dyDescent="0.3">
      <c r="A64" s="10">
        <f t="shared" si="13"/>
        <v>62</v>
      </c>
      <c r="B64" s="51">
        <f t="shared" si="16"/>
        <v>447.89081885856081</v>
      </c>
      <c r="C64" s="51">
        <f t="shared" si="17"/>
        <v>612.9032258064517</v>
      </c>
      <c r="D64" s="51">
        <f t="shared" si="18"/>
        <v>776.34408602150552</v>
      </c>
      <c r="E64" s="51">
        <f t="shared" si="19"/>
        <v>931.61290322580658</v>
      </c>
      <c r="F64" s="51">
        <f t="shared" si="20"/>
        <v>1164.5161290322583</v>
      </c>
      <c r="G64" s="51">
        <f t="shared" si="21"/>
        <v>1552.688172043011</v>
      </c>
      <c r="H64" s="51">
        <f t="shared" si="22"/>
        <v>1940.8602150537638</v>
      </c>
      <c r="I64" s="3">
        <f>SLOPE(Taulukkotiedot!$D$4:$D$10*A64,Laskenta!B64:H64)</f>
        <v>804.26352759671181</v>
      </c>
      <c r="J64" s="4">
        <f t="shared" si="23"/>
        <v>213.67268422610243</v>
      </c>
      <c r="K64" s="4">
        <f t="shared" si="24"/>
        <v>328.03271240345305</v>
      </c>
      <c r="L64" s="4">
        <f t="shared" si="25"/>
        <v>495.53877831159929</v>
      </c>
      <c r="M64" s="4">
        <f t="shared" si="26"/>
        <v>895.78163771712161</v>
      </c>
      <c r="N64" s="3">
        <f>SLOPE((Taulukkotiedot!$D$13:$D$16)*A64,Laskenta!J64:M64)</f>
        <v>763.7252390473991</v>
      </c>
      <c r="P64" s="4">
        <f t="shared" si="14"/>
        <v>12.313886703589286</v>
      </c>
      <c r="Q64" s="4">
        <f t="shared" si="15"/>
        <v>11.776199433847699</v>
      </c>
      <c r="R64" s="4">
        <f>AVERAGE($I$2:$I64)</f>
        <v>270.69150789298635</v>
      </c>
      <c r="S64" s="4">
        <f>AVERAGE($N$2:$N64)</f>
        <v>256.65836562314212</v>
      </c>
      <c r="U64" s="7">
        <f>R64*Taulukkotiedot!$I$2+(1-Taulukkotiedot!$I$2)*Laskenta!S64+Laskenta!Q64</f>
        <v>275.45113619191193</v>
      </c>
      <c r="V64" s="7">
        <f>R64*Taulukkotiedot!$I$2+(1-Taulukkotiedot!$I$2)*Laskenta!S64+Laskenta!Q64+P64</f>
        <v>287.7650228955012</v>
      </c>
    </row>
    <row r="65" spans="1:22" x14ac:dyDescent="0.3">
      <c r="A65" s="9">
        <f t="shared" si="13"/>
        <v>63</v>
      </c>
      <c r="B65" s="51">
        <f t="shared" si="16"/>
        <v>440.78144078144089</v>
      </c>
      <c r="C65" s="51">
        <f t="shared" si="17"/>
        <v>603.17460317460325</v>
      </c>
      <c r="D65" s="51">
        <f t="shared" si="18"/>
        <v>764.02116402116417</v>
      </c>
      <c r="E65" s="51">
        <f t="shared" si="19"/>
        <v>916.82539682539687</v>
      </c>
      <c r="F65" s="51">
        <f t="shared" si="20"/>
        <v>1146.031746031746</v>
      </c>
      <c r="G65" s="51">
        <f t="shared" si="21"/>
        <v>1528.0423280423283</v>
      </c>
      <c r="H65" s="51">
        <f t="shared" si="22"/>
        <v>1910.0529100529104</v>
      </c>
      <c r="I65" s="3">
        <f>SLOPE(Taulukkotiedot!$D$4:$D$10*A65,Laskenta!B65:H65)</f>
        <v>830.41673804145387</v>
      </c>
      <c r="J65">
        <f t="shared" si="23"/>
        <v>210.28105431775157</v>
      </c>
      <c r="K65">
        <f t="shared" si="24"/>
        <v>322.82584395260454</v>
      </c>
      <c r="L65">
        <f t="shared" si="25"/>
        <v>487.67308341776436</v>
      </c>
      <c r="M65">
        <f t="shared" si="26"/>
        <v>881.56288156288178</v>
      </c>
      <c r="N65" s="3">
        <f>SLOPE((Taulukkotiedot!$D$13:$D$16)*A65,Laskenta!J65:M65)</f>
        <v>788.56021690403884</v>
      </c>
      <c r="P65">
        <f t="shared" si="14"/>
        <v>12.313886703589286</v>
      </c>
      <c r="Q65">
        <f t="shared" si="15"/>
        <v>11.776199433847699</v>
      </c>
      <c r="R65">
        <f>AVERAGE($I$2:$I65)</f>
        <v>279.43721461405619</v>
      </c>
      <c r="S65">
        <f>AVERAGE($N$2:$N65)</f>
        <v>264.96933204940609</v>
      </c>
      <c r="U65" s="7">
        <f>R65*Taulukkotiedot!$I$2+(1-Taulukkotiedot!$I$2)*Laskenta!S65+Laskenta!Q65</f>
        <v>283.97947276557881</v>
      </c>
      <c r="V65" s="7">
        <f>R65*Taulukkotiedot!$I$2+(1-Taulukkotiedot!$I$2)*Laskenta!S65+Laskenta!Q65+P65</f>
        <v>296.29335946916808</v>
      </c>
    </row>
    <row r="66" spans="1:22" s="4" customFormat="1" x14ac:dyDescent="0.3">
      <c r="A66" s="10">
        <f t="shared" si="13"/>
        <v>64</v>
      </c>
      <c r="B66" s="51">
        <f t="shared" si="16"/>
        <v>433.89423076923083</v>
      </c>
      <c r="C66" s="51">
        <f t="shared" si="17"/>
        <v>593.75000000000011</v>
      </c>
      <c r="D66" s="51">
        <f t="shared" si="18"/>
        <v>752.08333333333348</v>
      </c>
      <c r="E66" s="51">
        <f t="shared" si="19"/>
        <v>902.50000000000011</v>
      </c>
      <c r="F66" s="51">
        <f t="shared" si="20"/>
        <v>1128.125</v>
      </c>
      <c r="G66" s="51">
        <f t="shared" si="21"/>
        <v>1504.166666666667</v>
      </c>
      <c r="H66" s="51">
        <f t="shared" si="22"/>
        <v>1880.2083333333337</v>
      </c>
      <c r="I66" s="3">
        <f>SLOPE(Taulukkotiedot!$D$4:$D$10*A66,Laskenta!B66:H66)</f>
        <v>856.9883998533121</v>
      </c>
      <c r="J66" s="4">
        <f t="shared" si="23"/>
        <v>206.99541284403671</v>
      </c>
      <c r="K66" s="4">
        <f t="shared" si="24"/>
        <v>317.78169014084511</v>
      </c>
      <c r="L66" s="4">
        <f t="shared" si="25"/>
        <v>480.05319148936184</v>
      </c>
      <c r="M66" s="4">
        <f t="shared" si="26"/>
        <v>867.78846153846166</v>
      </c>
      <c r="N66" s="3">
        <f>SLOPE((Taulukkotiedot!$D$13:$D$16)*A66,Laskenta!J66:M66)</f>
        <v>813.79255440638553</v>
      </c>
      <c r="P66" s="4">
        <f t="shared" ref="P66:P102" si="27">jmrajakustannus</f>
        <v>12.313886703589286</v>
      </c>
      <c r="Q66" s="4">
        <f t="shared" ref="Q66:Q102" si="28">pmrajakust</f>
        <v>11.776199433847699</v>
      </c>
      <c r="R66" s="4">
        <f>AVERAGE($I$2:$I66)</f>
        <v>288.32261746389088</v>
      </c>
      <c r="S66" s="4">
        <f>AVERAGE($N$2:$N66)</f>
        <v>273.41276623951347</v>
      </c>
      <c r="U66" s="7">
        <f>R66*Taulukkotiedot!$I$2+(1-Taulukkotiedot!$I$2)*Laskenta!S66+Laskenta!Q66</f>
        <v>292.64389128554984</v>
      </c>
      <c r="V66" s="7">
        <f>R66*Taulukkotiedot!$I$2+(1-Taulukkotiedot!$I$2)*Laskenta!S66+Laskenta!Q66+P66</f>
        <v>304.95777798913912</v>
      </c>
    </row>
    <row r="67" spans="1:22" s="1" customFormat="1" x14ac:dyDescent="0.3">
      <c r="A67" s="11">
        <f t="shared" si="13"/>
        <v>65</v>
      </c>
      <c r="B67" s="1">
        <f t="shared" ref="B67:B102" si="29">IF(((jän.ale*3*(vaihejännite*cosfii)^2)/(res.70*$A67))/1000&gt;kuorma70,kuorma70,(jän.ale*3*(vaihejännite*cosfii)^2)/(res.70*$A67)/1000)</f>
        <v>427.21893491124263</v>
      </c>
      <c r="C67" s="1">
        <f t="shared" ref="C67:C102" si="30">IF(((jän.ale*3*(vaihejännite*cosfii)^2)/(res.95*$A67))/1000&gt;kuorma95,kuorma95,(jän.ale*3*(vaihejännite*cosfii)^2)/(res.95*$A67)/1000)</f>
        <v>584.61538461538476</v>
      </c>
      <c r="D67" s="1">
        <f t="shared" ref="D67:D102" si="31">IF(((jän.ale*3*(vaihejännite*cosfii)^2)/(res.120*$A67))/1000&gt;kuorma120,kuorma120,(jän.ale*3*(vaihejännite*cosfii)^2)/(res.120*$A67)/1000)</f>
        <v>740.51282051282067</v>
      </c>
      <c r="E67" s="1">
        <f t="shared" ref="E67:E102" si="32">IF(((jän.ale*3*(vaihejännite*cosfii)^2)/(res.150*$A67))/1000&gt;kuorma150,kuorma150,(jän.ale*3*(vaihejännite*cosfii)^2)/(res.150*$A67)/1000)</f>
        <v>888.61538461538476</v>
      </c>
      <c r="F67" s="1">
        <f t="shared" ref="F67:F102" si="33">IF(((jän.ale*3*(vaihejännite*cosfii)^2)/(res.185*$A67))/1000&gt;kuorma185,kuorma185,(jän.ale*3*(vaihejännite*cosfii)^2)/(res.185*$A67)/1000)</f>
        <v>1110.7692307692309</v>
      </c>
      <c r="G67" s="1">
        <f t="shared" ref="G67:G102" si="34">IF(((jän.ale*3*(vaihejännite*cosfii)^2)/(res.240*$A67))/1000&gt;kuorma240,kuorma240,(jän.ale*3*(vaihejännite*cosfii)^2)/(res.240*$A67)/1000)</f>
        <v>1481.0256410256413</v>
      </c>
      <c r="H67" s="1">
        <f t="shared" ref="H67:H102" si="35">IF(((jän.ale*3*(vaihejännite*cosfii)^2)/(res.300*$A67))/1000&gt;kuorma300,kuorma300,(jän.ale*3*(vaihejännite*cosfii)^2)/(res.300*$A67)/1000)</f>
        <v>1851.2820512820515</v>
      </c>
      <c r="I67" s="3">
        <f>SLOPE(Taulukkotiedot!$D$4:$D$10*A67,Laskenta!B67:H67)</f>
        <v>883.97851303228606</v>
      </c>
      <c r="J67" s="1">
        <f t="shared" ref="J67:J102" si="36">IF(((jän.ale*3*(vaihejännite*cosfii)^2)/(res.spar*$A67))/1000&gt;maxkuorm.i1,maxkuorm.i1,(jän.ale*3*(vaihejännite*cosfii)^2)/(res.spar*$A67)/1000)</f>
        <v>203.81086803105151</v>
      </c>
      <c r="K67" s="1">
        <f t="shared" ref="K67:K102" si="37">IF(((jän.ale*3*(vaihejännite*cosfii)^2)/(res.rav*$A67))/1000&gt;maxkuorm.i2,maxkuorm.i2,(jän.ale*3*(vaihejännite*cosfii)^2)/(res.rav*$A67)/1000)</f>
        <v>312.8927410617552</v>
      </c>
      <c r="L67" s="1">
        <f t="shared" ref="L67:L102" si="38">IF(((jän.ale*3*(vaihejännite*cosfii)^2)/(res.pig*$A67))/1000&gt;maxkuorm.i3,maxkuorm.i3,(jän.ale*3*(vaihejännite*cosfii)^2)/(res.pig*$A67)/1000)</f>
        <v>472.66775777414085</v>
      </c>
      <c r="M67" s="1">
        <f t="shared" ref="M67:M102" si="39">IF(((jän.ale*3*(vaihejännite*cosfii)^2)/(res.Al*$A67))/1000&gt;maxkuorm.i4,maxkuorm.i4,(jän.ale*3*(vaihejännite*cosfii)^2)/(res.Al*$A67)/1000)</f>
        <v>854.43786982248525</v>
      </c>
      <c r="N67" s="3">
        <f>SLOPE((Taulukkotiedot!$D$13:$D$16)*A67,Laskenta!J67:M67)</f>
        <v>839.42225155443828</v>
      </c>
      <c r="P67" s="1">
        <f t="shared" si="27"/>
        <v>12.313886703589286</v>
      </c>
      <c r="Q67" s="1">
        <f t="shared" si="28"/>
        <v>11.776199433847699</v>
      </c>
      <c r="R67" s="1">
        <f>AVERAGE($I$2:$I67)</f>
        <v>297.34770679068475</v>
      </c>
      <c r="S67" s="1">
        <f>AVERAGE($N$2:$N67)</f>
        <v>281.9886675321639</v>
      </c>
      <c r="U67" s="7">
        <f>R67*Taulukkotiedot!$I$2+(1-Taulukkotiedot!$I$2)*Laskenta!S67+Laskenta!Q67</f>
        <v>301.44438659527202</v>
      </c>
      <c r="V67" s="7">
        <f>R67*Taulukkotiedot!$I$2+(1-Taulukkotiedot!$I$2)*Laskenta!S67+Laskenta!Q67+P67</f>
        <v>313.7582732988613</v>
      </c>
    </row>
    <row r="68" spans="1:22" s="4" customFormat="1" x14ac:dyDescent="0.3">
      <c r="A68" s="10">
        <f t="shared" si="13"/>
        <v>66</v>
      </c>
      <c r="B68" s="51">
        <f t="shared" si="29"/>
        <v>420.74592074592078</v>
      </c>
      <c r="C68" s="51">
        <f t="shared" si="30"/>
        <v>575.75757575757575</v>
      </c>
      <c r="D68" s="51">
        <f t="shared" si="31"/>
        <v>729.29292929292933</v>
      </c>
      <c r="E68" s="51">
        <f t="shared" si="32"/>
        <v>875.15151515151524</v>
      </c>
      <c r="F68" s="51">
        <f t="shared" si="33"/>
        <v>1093.939393939394</v>
      </c>
      <c r="G68" s="51">
        <f t="shared" si="34"/>
        <v>1458.5858585858587</v>
      </c>
      <c r="H68" s="51">
        <f t="shared" si="35"/>
        <v>1823.2323232323233</v>
      </c>
      <c r="I68" s="3">
        <f>SLOPE(Taulukkotiedot!$D$4:$D$10*A68,Laskenta!B68:H68)</f>
        <v>911.38707757837597</v>
      </c>
      <c r="J68" s="4">
        <f t="shared" si="36"/>
        <v>200.72282457603558</v>
      </c>
      <c r="K68" s="4">
        <f t="shared" si="37"/>
        <v>308.15194195475891</v>
      </c>
      <c r="L68" s="4">
        <f t="shared" si="38"/>
        <v>465.50612508059322</v>
      </c>
      <c r="M68" s="4">
        <f t="shared" si="39"/>
        <v>841.49184149184157</v>
      </c>
      <c r="N68" s="3">
        <f>SLOPE((Taulukkotiedot!$D$13:$D$16)*A68,Laskenta!J68:M68)</f>
        <v>865.44930834819718</v>
      </c>
      <c r="P68" s="4">
        <f t="shared" si="27"/>
        <v>12.313886703589286</v>
      </c>
      <c r="Q68" s="4">
        <f t="shared" si="28"/>
        <v>11.776199433847699</v>
      </c>
      <c r="R68" s="4">
        <f>AVERAGE($I$2:$I68)</f>
        <v>306.51247351885922</v>
      </c>
      <c r="S68" s="4">
        <f>AVERAGE($N$2:$N68)</f>
        <v>290.6970353055375</v>
      </c>
      <c r="U68" s="7">
        <f>R68*Taulukkotiedot!$I$2+(1-Taulukkotiedot!$I$2)*Laskenta!S68+Laskenta!Q68</f>
        <v>310.38095384604605</v>
      </c>
      <c r="V68" s="7">
        <f>R68*Taulukkotiedot!$I$2+(1-Taulukkotiedot!$I$2)*Laskenta!S68+Laskenta!Q68+P68</f>
        <v>322.69484054963533</v>
      </c>
    </row>
    <row r="69" spans="1:22" x14ac:dyDescent="0.3">
      <c r="A69" s="9">
        <f t="shared" ref="A69:A102" si="40">A68+1</f>
        <v>67</v>
      </c>
      <c r="B69" s="51">
        <f t="shared" si="29"/>
        <v>414.46613088404138</v>
      </c>
      <c r="C69" s="51">
        <f t="shared" si="30"/>
        <v>567.16417910447763</v>
      </c>
      <c r="D69" s="51">
        <f t="shared" si="31"/>
        <v>718.40796019900506</v>
      </c>
      <c r="E69" s="51">
        <f t="shared" si="32"/>
        <v>862.08955223880605</v>
      </c>
      <c r="F69" s="51">
        <f t="shared" si="33"/>
        <v>1077.6119402985078</v>
      </c>
      <c r="G69" s="51">
        <f t="shared" si="34"/>
        <v>1436.8159203980101</v>
      </c>
      <c r="H69" s="51">
        <f t="shared" si="35"/>
        <v>1796.0199004975129</v>
      </c>
      <c r="I69" s="3">
        <f>SLOPE(Taulukkotiedot!$D$4:$D$10*A69,Laskenta!B69:H69)</f>
        <v>939.21409349158137</v>
      </c>
      <c r="J69">
        <f t="shared" si="36"/>
        <v>197.72696152266192</v>
      </c>
      <c r="K69">
        <f t="shared" si="37"/>
        <v>303.55265923901624</v>
      </c>
      <c r="L69">
        <f t="shared" si="38"/>
        <v>458.55827246745008</v>
      </c>
      <c r="M69">
        <f t="shared" si="39"/>
        <v>828.93226176808275</v>
      </c>
      <c r="N69" s="3">
        <f>SLOPE((Taulukkotiedot!$D$13:$D$16)*A69,Laskenta!J69:M69)</f>
        <v>891.87372478766224</v>
      </c>
      <c r="P69">
        <f t="shared" si="27"/>
        <v>12.313886703589286</v>
      </c>
      <c r="Q69">
        <f t="shared" si="28"/>
        <v>11.776199433847699</v>
      </c>
      <c r="R69">
        <f>AVERAGE($I$2:$I69)</f>
        <v>315.8169091066934</v>
      </c>
      <c r="S69">
        <f>AVERAGE($N$2:$N69)</f>
        <v>299.53786897439232</v>
      </c>
      <c r="U69" s="7">
        <f>R69*Taulukkotiedot!$I$2+(1-Taulukkotiedot!$I$2)*Laskenta!S69+Laskenta!Q69</f>
        <v>319.45358847439053</v>
      </c>
      <c r="V69" s="7">
        <f>R69*Taulukkotiedot!$I$2+(1-Taulukkotiedot!$I$2)*Laskenta!S69+Laskenta!Q69+P69</f>
        <v>331.7674751779798</v>
      </c>
    </row>
    <row r="70" spans="1:22" s="4" customFormat="1" x14ac:dyDescent="0.3">
      <c r="A70" s="10">
        <f t="shared" si="40"/>
        <v>68</v>
      </c>
      <c r="B70" s="51">
        <f t="shared" si="29"/>
        <v>408.37104072398199</v>
      </c>
      <c r="C70" s="51">
        <f t="shared" si="30"/>
        <v>558.82352941176487</v>
      </c>
      <c r="D70" s="51">
        <f t="shared" si="31"/>
        <v>707.84313725490199</v>
      </c>
      <c r="E70" s="51">
        <f t="shared" si="32"/>
        <v>849.41176470588243</v>
      </c>
      <c r="F70" s="51">
        <f t="shared" si="33"/>
        <v>1061.7647058823529</v>
      </c>
      <c r="G70" s="51">
        <f t="shared" si="34"/>
        <v>1415.686274509804</v>
      </c>
      <c r="H70" s="51">
        <f t="shared" si="35"/>
        <v>1769.6078431372553</v>
      </c>
      <c r="I70" s="3">
        <f>SLOPE(Taulukkotiedot!$D$4:$D$10*A70,Laskenta!B70:H70)</f>
        <v>967.45956077190294</v>
      </c>
      <c r="J70" s="4">
        <f t="shared" si="36"/>
        <v>194.81921208850514</v>
      </c>
      <c r="K70" s="4">
        <f t="shared" si="37"/>
        <v>299.08864954432477</v>
      </c>
      <c r="L70" s="4">
        <f t="shared" si="38"/>
        <v>451.81476846057586</v>
      </c>
      <c r="M70" s="4">
        <f t="shared" si="39"/>
        <v>816.74208144796398</v>
      </c>
      <c r="N70" s="3">
        <f>SLOPE((Taulukkotiedot!$D$13:$D$16)*A70,Laskenta!J70:M70)</f>
        <v>918.69550087283346</v>
      </c>
      <c r="P70" s="4">
        <f t="shared" si="27"/>
        <v>12.313886703589286</v>
      </c>
      <c r="Q70" s="4">
        <f t="shared" si="28"/>
        <v>11.776199433847699</v>
      </c>
      <c r="R70" s="4">
        <f>AVERAGE($I$2:$I70)</f>
        <v>325.2610055076384</v>
      </c>
      <c r="S70" s="4">
        <f>AVERAGE($N$2:$N70)</f>
        <v>308.51116798741316</v>
      </c>
      <c r="U70" s="7">
        <f>R70*Taulukkotiedot!$I$2+(1-Taulukkotiedot!$I$2)*Laskenta!S70+Laskenta!Q70</f>
        <v>328.66228618137347</v>
      </c>
      <c r="V70" s="7">
        <f>R70*Taulukkotiedot!$I$2+(1-Taulukkotiedot!$I$2)*Laskenta!S70+Laskenta!Q70+P70</f>
        <v>340.97617288496275</v>
      </c>
    </row>
    <row r="71" spans="1:22" x14ac:dyDescent="0.3">
      <c r="A71" s="9">
        <f t="shared" si="40"/>
        <v>69</v>
      </c>
      <c r="B71" s="51">
        <f t="shared" si="29"/>
        <v>402.45261984392425</v>
      </c>
      <c r="C71" s="51">
        <f t="shared" si="30"/>
        <v>550.72463768115949</v>
      </c>
      <c r="D71" s="51">
        <f t="shared" si="31"/>
        <v>697.58454106280203</v>
      </c>
      <c r="E71" s="51">
        <f t="shared" si="32"/>
        <v>837.10144927536237</v>
      </c>
      <c r="F71" s="51">
        <f t="shared" si="33"/>
        <v>1046.376811594203</v>
      </c>
      <c r="G71" s="51">
        <f t="shared" si="34"/>
        <v>1395.1690821256041</v>
      </c>
      <c r="H71" s="51">
        <f t="shared" si="35"/>
        <v>1743.9613526570051</v>
      </c>
      <c r="I71" s="3">
        <f>SLOPE(Taulukkotiedot!$D$4:$D$10*A71,Laskenta!B71:H71)</f>
        <v>996.12347941934058</v>
      </c>
      <c r="J71">
        <f t="shared" si="36"/>
        <v>191.99574524664274</v>
      </c>
      <c r="K71">
        <f t="shared" si="37"/>
        <v>294.75403143498681</v>
      </c>
      <c r="L71">
        <f t="shared" si="38"/>
        <v>445.26672833795874</v>
      </c>
      <c r="M71">
        <f t="shared" si="39"/>
        <v>804.90523968784851</v>
      </c>
      <c r="N71" s="3">
        <f>SLOPE((Taulukkotiedot!$D$13:$D$16)*A71,Laskenta!J71:M71)</f>
        <v>945.91463660371119</v>
      </c>
      <c r="P71">
        <f t="shared" si="27"/>
        <v>12.313886703589286</v>
      </c>
      <c r="Q71">
        <f t="shared" si="28"/>
        <v>11.776199433847699</v>
      </c>
      <c r="R71">
        <f>AVERAGE($I$2:$I71)</f>
        <v>334.84475513494846</v>
      </c>
      <c r="S71">
        <f>AVERAGE($N$2:$N71)</f>
        <v>317.61693182478888</v>
      </c>
      <c r="U71" s="7">
        <f>R71*Taulukkotiedot!$I$2+(1-Taulukkotiedot!$I$2)*Laskenta!S71+Laskenta!Q71</f>
        <v>338.00704291371636</v>
      </c>
      <c r="V71" s="7">
        <f>R71*Taulukkotiedot!$I$2+(1-Taulukkotiedot!$I$2)*Laskenta!S71+Laskenta!Q71+P71</f>
        <v>350.32092961730564</v>
      </c>
    </row>
    <row r="72" spans="1:22" s="5" customFormat="1" x14ac:dyDescent="0.3">
      <c r="A72" s="12">
        <f t="shared" si="40"/>
        <v>70</v>
      </c>
      <c r="B72" s="51">
        <f t="shared" si="29"/>
        <v>396.70329670329676</v>
      </c>
      <c r="C72" s="51">
        <f t="shared" si="30"/>
        <v>542.85714285714289</v>
      </c>
      <c r="D72" s="51">
        <f t="shared" si="31"/>
        <v>687.61904761904771</v>
      </c>
      <c r="E72" s="51">
        <f t="shared" si="32"/>
        <v>825.14285714285722</v>
      </c>
      <c r="F72" s="51">
        <f t="shared" si="33"/>
        <v>1031.4285714285716</v>
      </c>
      <c r="G72" s="51">
        <f t="shared" si="34"/>
        <v>1375.2380952380954</v>
      </c>
      <c r="H72" s="51">
        <f t="shared" si="35"/>
        <v>1719.0476190476193</v>
      </c>
      <c r="I72" s="3">
        <f>SLOPE(Taulukkotiedot!$D$4:$D$10*A72,Laskenta!B72:H72)</f>
        <v>1025.2058494338939</v>
      </c>
      <c r="J72" s="5">
        <f t="shared" si="36"/>
        <v>189.25294888597639</v>
      </c>
      <c r="K72" s="5">
        <f t="shared" si="37"/>
        <v>290.54325955734413</v>
      </c>
      <c r="L72" s="5">
        <f t="shared" si="38"/>
        <v>438.90577507598789</v>
      </c>
      <c r="M72" s="5">
        <f t="shared" si="39"/>
        <v>793.40659340659352</v>
      </c>
      <c r="N72" s="3">
        <f>SLOPE((Taulukkotiedot!$D$13:$D$16)*A72,Laskenta!J72:M72)</f>
        <v>973.53113198029496</v>
      </c>
      <c r="P72" s="5">
        <f t="shared" si="27"/>
        <v>12.313886703589286</v>
      </c>
      <c r="Q72" s="5">
        <f t="shared" si="28"/>
        <v>11.776199433847699</v>
      </c>
      <c r="R72" s="5">
        <f>AVERAGE($I$2:$I72)</f>
        <v>344.56815082929978</v>
      </c>
      <c r="S72" s="5">
        <f>AVERAGE($N$2:$N72)</f>
        <v>326.85515999599318</v>
      </c>
      <c r="U72" s="7">
        <f>R72*Taulukkotiedot!$I$2+(1-Taulukkotiedot!$I$2)*Laskenta!S72+Laskenta!Q72</f>
        <v>347.48785484649414</v>
      </c>
      <c r="V72" s="7">
        <f>R72*Taulukkotiedot!$I$2+(1-Taulukkotiedot!$I$2)*Laskenta!S72+Laskenta!Q72+P72</f>
        <v>359.80174155008342</v>
      </c>
    </row>
    <row r="73" spans="1:22" x14ac:dyDescent="0.3">
      <c r="A73" s="9">
        <f t="shared" si="40"/>
        <v>71</v>
      </c>
      <c r="B73" s="51">
        <f t="shared" si="29"/>
        <v>391.11592632719396</v>
      </c>
      <c r="C73" s="51">
        <f t="shared" si="30"/>
        <v>535.21126760563379</v>
      </c>
      <c r="D73" s="51">
        <f t="shared" si="31"/>
        <v>677.93427230046962</v>
      </c>
      <c r="E73" s="51">
        <f t="shared" si="32"/>
        <v>813.52112676056345</v>
      </c>
      <c r="F73" s="51">
        <f t="shared" si="33"/>
        <v>1016.9014084507043</v>
      </c>
      <c r="G73" s="51">
        <f t="shared" si="34"/>
        <v>1355.8685446009392</v>
      </c>
      <c r="H73" s="51">
        <f t="shared" si="35"/>
        <v>1694.8356807511741</v>
      </c>
      <c r="I73" s="3">
        <f>SLOPE(Taulukkotiedot!$D$4:$D$10*A73,Laskenta!B73:H73)</f>
        <v>1054.7066708155628</v>
      </c>
      <c r="J73">
        <f t="shared" si="36"/>
        <v>186.58741439462466</v>
      </c>
      <c r="K73">
        <f t="shared" si="37"/>
        <v>286.45110097202945</v>
      </c>
      <c r="L73">
        <f t="shared" si="38"/>
        <v>432.72400359604444</v>
      </c>
      <c r="M73">
        <f t="shared" si="39"/>
        <v>782.23185265438792</v>
      </c>
      <c r="N73" s="3">
        <f>SLOPE((Taulukkotiedot!$D$13:$D$16)*A73,Laskenta!J73:M73)</f>
        <v>1001.5449870025855</v>
      </c>
      <c r="P73">
        <f t="shared" si="27"/>
        <v>12.313886703589286</v>
      </c>
      <c r="Q73">
        <f t="shared" si="28"/>
        <v>11.776199433847699</v>
      </c>
      <c r="R73">
        <f>AVERAGE($I$2:$I73)</f>
        <v>354.43118582910898</v>
      </c>
      <c r="S73">
        <f>AVERAGE($N$2:$N73)</f>
        <v>336.22585203775139</v>
      </c>
      <c r="U73" s="7">
        <f>R73*Taulukkotiedot!$I$2+(1-Taulukkotiedot!$I$2)*Laskenta!S73+Laskenta!Q73</f>
        <v>357.10471836727788</v>
      </c>
      <c r="V73" s="7">
        <f>R73*Taulukkotiedot!$I$2+(1-Taulukkotiedot!$I$2)*Laskenta!S73+Laskenta!Q73+P73</f>
        <v>369.41860507086716</v>
      </c>
    </row>
    <row r="74" spans="1:22" s="4" customFormat="1" x14ac:dyDescent="0.3">
      <c r="A74" s="10">
        <f t="shared" si="40"/>
        <v>72</v>
      </c>
      <c r="B74" s="51">
        <f t="shared" si="29"/>
        <v>385.68376068376074</v>
      </c>
      <c r="C74" s="51">
        <f t="shared" si="30"/>
        <v>527.77777777777783</v>
      </c>
      <c r="D74" s="51">
        <f t="shared" si="31"/>
        <v>668.5185185185187</v>
      </c>
      <c r="E74" s="51">
        <f t="shared" si="32"/>
        <v>802.2222222222224</v>
      </c>
      <c r="F74" s="51">
        <f t="shared" si="33"/>
        <v>1002.7777777777778</v>
      </c>
      <c r="G74" s="51">
        <f t="shared" si="34"/>
        <v>1337.0370370370374</v>
      </c>
      <c r="H74" s="51">
        <f t="shared" si="35"/>
        <v>1671.2962962962963</v>
      </c>
      <c r="I74" s="3">
        <f>SLOPE(Taulukkotiedot!$D$4:$D$10*A74,Laskenta!B74:H74)</f>
        <v>1084.6259435643481</v>
      </c>
      <c r="J74" s="4">
        <f t="shared" si="36"/>
        <v>183.99592252803262</v>
      </c>
      <c r="K74" s="4">
        <f t="shared" si="37"/>
        <v>282.472613458529</v>
      </c>
      <c r="L74" s="4">
        <f t="shared" si="38"/>
        <v>426.71394799054383</v>
      </c>
      <c r="M74" s="4">
        <f t="shared" si="39"/>
        <v>771.36752136752148</v>
      </c>
      <c r="N74" s="3">
        <f>SLOPE((Taulukkotiedot!$D$13:$D$16)*A74,Laskenta!J74:M74)</f>
        <v>1029.9562016705815</v>
      </c>
      <c r="P74" s="4">
        <f t="shared" si="27"/>
        <v>12.313886703589286</v>
      </c>
      <c r="Q74" s="4">
        <f t="shared" si="28"/>
        <v>11.776199433847699</v>
      </c>
      <c r="R74" s="4">
        <f>AVERAGE($I$2:$I74)</f>
        <v>364.43385374329034</v>
      </c>
      <c r="S74" s="4">
        <f>AVERAGE($N$2:$N74)</f>
        <v>345.72900751217372</v>
      </c>
      <c r="U74" s="7">
        <f>R74*Taulukkotiedot!$I$2+(1-Taulukkotiedot!$I$2)*Laskenta!S74+Laskenta!Q74</f>
        <v>366.85763006157975</v>
      </c>
      <c r="V74" s="7">
        <f>R74*Taulukkotiedot!$I$2+(1-Taulukkotiedot!$I$2)*Laskenta!S74+Laskenta!Q74+P74</f>
        <v>379.17151676516903</v>
      </c>
    </row>
    <row r="75" spans="1:22" x14ac:dyDescent="0.3">
      <c r="A75" s="9">
        <f t="shared" si="40"/>
        <v>73</v>
      </c>
      <c r="B75" s="51">
        <f t="shared" si="29"/>
        <v>380.40042149631194</v>
      </c>
      <c r="C75" s="51">
        <f t="shared" si="30"/>
        <v>520.54794520547944</v>
      </c>
      <c r="D75" s="51">
        <f t="shared" si="31"/>
        <v>659.3607305936074</v>
      </c>
      <c r="E75" s="51">
        <f t="shared" si="32"/>
        <v>791.2328767123289</v>
      </c>
      <c r="F75" s="51">
        <f t="shared" si="33"/>
        <v>989.04109589041093</v>
      </c>
      <c r="G75" s="51">
        <f t="shared" si="34"/>
        <v>1318.7214611872148</v>
      </c>
      <c r="H75" s="51">
        <f t="shared" si="35"/>
        <v>1648.4018264840186</v>
      </c>
      <c r="I75" s="3">
        <f>SLOPE(Taulukkotiedot!$D$4:$D$10*A75,Laskenta!B75:H75)</f>
        <v>1114.963667680249</v>
      </c>
      <c r="J75">
        <f t="shared" si="36"/>
        <v>181.47543043860753</v>
      </c>
      <c r="K75">
        <f t="shared" si="37"/>
        <v>278.60312560293272</v>
      </c>
      <c r="L75">
        <f t="shared" si="38"/>
        <v>420.86855144272818</v>
      </c>
      <c r="M75">
        <f t="shared" si="39"/>
        <v>760.80084299262387</v>
      </c>
      <c r="N75" s="3">
        <f>SLOPE((Taulukkotiedot!$D$13:$D$16)*A75,Laskenta!J75:M75)</f>
        <v>1058.7647759842844</v>
      </c>
      <c r="P75">
        <f t="shared" si="27"/>
        <v>12.313886703589286</v>
      </c>
      <c r="Q75">
        <f t="shared" si="28"/>
        <v>11.776199433847699</v>
      </c>
      <c r="R75">
        <f>AVERAGE($I$2:$I75)</f>
        <v>374.5761485262222</v>
      </c>
      <c r="S75">
        <f>AVERAGE($N$2:$N75)</f>
        <v>355.36462600504007</v>
      </c>
      <c r="U75" s="7">
        <f>R75*Taulukkotiedot!$I$2+(1-Taulukkotiedot!$I$2)*Laskenta!S75+Laskenta!Q75</f>
        <v>376.74658669947883</v>
      </c>
      <c r="V75" s="7">
        <f>R75*Taulukkotiedot!$I$2+(1-Taulukkotiedot!$I$2)*Laskenta!S75+Laskenta!Q75+P75</f>
        <v>389.0604734030681</v>
      </c>
    </row>
    <row r="76" spans="1:22" s="4" customFormat="1" x14ac:dyDescent="0.3">
      <c r="A76" s="10">
        <f t="shared" si="40"/>
        <v>74</v>
      </c>
      <c r="B76" s="51">
        <f t="shared" si="29"/>
        <v>375.25987525987529</v>
      </c>
      <c r="C76" s="51">
        <f t="shared" si="30"/>
        <v>513.51351351351354</v>
      </c>
      <c r="D76" s="51">
        <f t="shared" si="31"/>
        <v>650.45045045045049</v>
      </c>
      <c r="E76" s="51">
        <f t="shared" si="32"/>
        <v>780.54054054054063</v>
      </c>
      <c r="F76" s="51">
        <f t="shared" si="33"/>
        <v>975.67567567567573</v>
      </c>
      <c r="G76" s="51">
        <f t="shared" si="34"/>
        <v>1300.900900900901</v>
      </c>
      <c r="H76" s="51">
        <f t="shared" si="35"/>
        <v>1626.1261261261266</v>
      </c>
      <c r="I76" s="3">
        <f>SLOPE(Taulukkotiedot!$D$4:$D$10*A76,Laskenta!B76:H76)</f>
        <v>1145.7198431632655</v>
      </c>
      <c r="J76" s="4">
        <f t="shared" si="36"/>
        <v>179.02305975700469</v>
      </c>
      <c r="K76" s="4">
        <f t="shared" si="37"/>
        <v>274.83821850019035</v>
      </c>
      <c r="L76" s="4">
        <f t="shared" si="38"/>
        <v>415.18113858539397</v>
      </c>
      <c r="M76" s="4">
        <f t="shared" si="39"/>
        <v>750.51975051975057</v>
      </c>
      <c r="N76" s="3">
        <f>SLOPE((Taulukkotiedot!$D$13:$D$16)*A76,Laskenta!J76:M76)</f>
        <v>1087.970709943693</v>
      </c>
      <c r="P76" s="4">
        <f t="shared" si="27"/>
        <v>12.313886703589286</v>
      </c>
      <c r="Q76" s="4">
        <f t="shared" si="28"/>
        <v>11.776199433847699</v>
      </c>
      <c r="R76" s="4">
        <f>AVERAGE($I$2:$I76)</f>
        <v>384.8580644547161</v>
      </c>
      <c r="S76" s="4">
        <f>AVERAGE($N$2:$N76)</f>
        <v>365.13270712422212</v>
      </c>
      <c r="U76" s="7">
        <f>R76*Taulukkotiedot!$I$2+(1-Taulukkotiedot!$I$2)*Laskenta!S76+Laskenta!Q76</f>
        <v>386.77158522331678</v>
      </c>
      <c r="V76" s="7">
        <f>R76*Taulukkotiedot!$I$2+(1-Taulukkotiedot!$I$2)*Laskenta!S76+Laskenta!Q76+P76</f>
        <v>399.08547192690605</v>
      </c>
    </row>
    <row r="77" spans="1:22" s="1" customFormat="1" x14ac:dyDescent="0.3">
      <c r="A77" s="11">
        <f t="shared" si="40"/>
        <v>75</v>
      </c>
      <c r="B77" s="1">
        <f t="shared" si="29"/>
        <v>370.25641025641033</v>
      </c>
      <c r="C77" s="1">
        <f t="shared" si="30"/>
        <v>506.66666666666674</v>
      </c>
      <c r="D77" s="1">
        <f t="shared" si="31"/>
        <v>641.77777777777783</v>
      </c>
      <c r="E77" s="1">
        <f t="shared" si="32"/>
        <v>770.13333333333344</v>
      </c>
      <c r="F77" s="1">
        <f t="shared" si="33"/>
        <v>962.66666666666674</v>
      </c>
      <c r="G77" s="1">
        <f t="shared" si="34"/>
        <v>1283.5555555555557</v>
      </c>
      <c r="H77" s="1">
        <f t="shared" si="35"/>
        <v>1604.4444444444448</v>
      </c>
      <c r="I77" s="3">
        <f>SLOPE(Taulukkotiedot!$D$4:$D$10*A77,Laskenta!B77:H77)</f>
        <v>1176.8944700133984</v>
      </c>
      <c r="J77" s="1">
        <f t="shared" si="36"/>
        <v>176.63608562691135</v>
      </c>
      <c r="K77" s="1">
        <f t="shared" si="37"/>
        <v>271.17370892018783</v>
      </c>
      <c r="L77" s="1">
        <f t="shared" si="38"/>
        <v>409.64539007092202</v>
      </c>
      <c r="M77" s="1">
        <f t="shared" si="39"/>
        <v>740.51282051282067</v>
      </c>
      <c r="N77" s="3">
        <f>SLOPE((Taulukkotiedot!$D$13:$D$16)*A77,Laskenta!J77:M77)</f>
        <v>1117.5740035488079</v>
      </c>
      <c r="P77" s="1">
        <f t="shared" si="27"/>
        <v>12.313886703589286</v>
      </c>
      <c r="Q77" s="1">
        <f t="shared" si="28"/>
        <v>11.776199433847699</v>
      </c>
      <c r="R77" s="1">
        <f>AVERAGE($I$2:$I77)</f>
        <v>395.27959610680398</v>
      </c>
      <c r="S77" s="1">
        <f>AVERAGE($N$2:$N77)</f>
        <v>375.03325049822985</v>
      </c>
      <c r="U77" s="7">
        <f>R77*Taulukkotiedot!$I$2+(1-Taulukkotiedot!$I$2)*Laskenta!S77+Laskenta!Q77</f>
        <v>396.93262273636464</v>
      </c>
      <c r="V77" s="7">
        <f>R77*Taulukkotiedot!$I$2+(1-Taulukkotiedot!$I$2)*Laskenta!S77+Laskenta!Q77+P77</f>
        <v>409.24650943995391</v>
      </c>
    </row>
    <row r="78" spans="1:22" s="4" customFormat="1" x14ac:dyDescent="0.3">
      <c r="A78" s="10">
        <f t="shared" si="40"/>
        <v>76</v>
      </c>
      <c r="B78" s="51">
        <f t="shared" si="29"/>
        <v>365.38461538461536</v>
      </c>
      <c r="C78" s="51">
        <f t="shared" si="30"/>
        <v>500.00000000000006</v>
      </c>
      <c r="D78" s="51">
        <f t="shared" si="31"/>
        <v>633.33333333333337</v>
      </c>
      <c r="E78" s="51">
        <f t="shared" si="32"/>
        <v>760.00000000000011</v>
      </c>
      <c r="F78" s="51">
        <f t="shared" si="33"/>
        <v>950</v>
      </c>
      <c r="G78" s="51">
        <f t="shared" si="34"/>
        <v>1266.6666666666667</v>
      </c>
      <c r="H78" s="51">
        <f t="shared" si="35"/>
        <v>1583.3333333333337</v>
      </c>
      <c r="I78" s="3">
        <f>SLOPE(Taulukkotiedot!$D$4:$D$10*A78,Laskenta!B78:H78)</f>
        <v>1208.4875482306468</v>
      </c>
      <c r="J78" s="4">
        <f t="shared" si="36"/>
        <v>174.3119266055046</v>
      </c>
      <c r="K78" s="4">
        <f t="shared" si="37"/>
        <v>267.60563380281695</v>
      </c>
      <c r="L78" s="4">
        <f t="shared" si="38"/>
        <v>404.25531914893622</v>
      </c>
      <c r="M78" s="4">
        <f t="shared" si="39"/>
        <v>730.76923076923072</v>
      </c>
      <c r="N78" s="3">
        <f>SLOPE((Taulukkotiedot!$D$13:$D$16)*A78,Laskenta!J78:M78)</f>
        <v>1147.5746567996298</v>
      </c>
      <c r="P78" s="4">
        <f t="shared" si="27"/>
        <v>12.313886703589286</v>
      </c>
      <c r="Q78" s="4">
        <f t="shared" si="28"/>
        <v>11.776199433847699</v>
      </c>
      <c r="R78" s="4">
        <f>AVERAGE($I$2:$I78)</f>
        <v>405.84073834217855</v>
      </c>
      <c r="S78" s="4">
        <f>AVERAGE($N$2:$N78)</f>
        <v>385.06625577487137</v>
      </c>
      <c r="U78" s="7">
        <f>R78*Taulukkotiedot!$I$2+(1-Taulukkotiedot!$I$2)*Laskenta!S78+Laskenta!Q78</f>
        <v>407.22969649237263</v>
      </c>
      <c r="V78" s="7">
        <f>R78*Taulukkotiedot!$I$2+(1-Taulukkotiedot!$I$2)*Laskenta!S78+Laskenta!Q78+P78</f>
        <v>419.5435831959619</v>
      </c>
    </row>
    <row r="79" spans="1:22" x14ac:dyDescent="0.3">
      <c r="A79" s="9">
        <f t="shared" si="40"/>
        <v>77</v>
      </c>
      <c r="B79" s="51">
        <f t="shared" si="29"/>
        <v>360.63936063936069</v>
      </c>
      <c r="C79" s="51">
        <f t="shared" si="30"/>
        <v>493.5064935064936</v>
      </c>
      <c r="D79" s="51">
        <f t="shared" si="31"/>
        <v>625.10822510822527</v>
      </c>
      <c r="E79" s="51">
        <f t="shared" si="32"/>
        <v>750.12987012987026</v>
      </c>
      <c r="F79" s="51">
        <f t="shared" si="33"/>
        <v>937.66233766233779</v>
      </c>
      <c r="G79" s="51">
        <f t="shared" si="34"/>
        <v>1250.2164502164505</v>
      </c>
      <c r="H79" s="51">
        <f t="shared" si="35"/>
        <v>1562.7705627705629</v>
      </c>
      <c r="I79" s="3">
        <f>SLOPE(Taulukkotiedot!$D$4:$D$10*A79,Laskenta!B79:H79)</f>
        <v>1240.4990778150113</v>
      </c>
      <c r="J79">
        <f t="shared" si="36"/>
        <v>172.04813535088766</v>
      </c>
      <c r="K79">
        <f t="shared" si="37"/>
        <v>264.1302359612219</v>
      </c>
      <c r="L79">
        <f t="shared" si="38"/>
        <v>399.00525006907992</v>
      </c>
      <c r="M79">
        <f t="shared" si="39"/>
        <v>721.27872127872138</v>
      </c>
      <c r="N79" s="3">
        <f>SLOPE((Taulukkotiedot!$D$13:$D$16)*A79,Laskenta!J79:M79)</f>
        <v>1177.9726696961568</v>
      </c>
      <c r="P79">
        <f t="shared" si="27"/>
        <v>12.313886703589286</v>
      </c>
      <c r="Q79">
        <f t="shared" si="28"/>
        <v>11.776199433847699</v>
      </c>
      <c r="R79">
        <f>AVERAGE($I$2:$I79)</f>
        <v>416.54148628413793</v>
      </c>
      <c r="S79">
        <f>AVERAGE($N$2:$N79)</f>
        <v>395.23172262001606</v>
      </c>
      <c r="U79" s="7">
        <f>R79*Taulukkotiedot!$I$2+(1-Taulukkotiedot!$I$2)*Laskenta!S79+Laskenta!Q79</f>
        <v>417.66280388592469</v>
      </c>
      <c r="V79" s="7">
        <f>R79*Taulukkotiedot!$I$2+(1-Taulukkotiedot!$I$2)*Laskenta!S79+Laskenta!Q79+P79</f>
        <v>429.97669058951396</v>
      </c>
    </row>
    <row r="80" spans="1:22" s="4" customFormat="1" x14ac:dyDescent="0.3">
      <c r="A80" s="10">
        <f t="shared" si="40"/>
        <v>78</v>
      </c>
      <c r="B80" s="51">
        <f t="shared" si="29"/>
        <v>356.01577909270219</v>
      </c>
      <c r="C80" s="51">
        <f t="shared" si="30"/>
        <v>487.17948717948724</v>
      </c>
      <c r="D80" s="51">
        <f t="shared" si="31"/>
        <v>617.0940170940172</v>
      </c>
      <c r="E80" s="51">
        <f t="shared" si="32"/>
        <v>740.51282051282067</v>
      </c>
      <c r="F80" s="51">
        <f t="shared" si="33"/>
        <v>925.64102564102564</v>
      </c>
      <c r="G80" s="51">
        <f t="shared" si="34"/>
        <v>1234.1880341880344</v>
      </c>
      <c r="H80" s="51">
        <f t="shared" si="35"/>
        <v>1542.735042735043</v>
      </c>
      <c r="I80" s="3">
        <f>SLOPE(Taulukkotiedot!$D$4:$D$10*A80,Laskenta!B80:H80)</f>
        <v>1272.9290587664916</v>
      </c>
      <c r="J80" s="4">
        <f t="shared" si="36"/>
        <v>169.84239002587626</v>
      </c>
      <c r="K80" s="4">
        <f t="shared" si="37"/>
        <v>260.74395088479599</v>
      </c>
      <c r="L80" s="4">
        <f t="shared" si="38"/>
        <v>393.88979814511737</v>
      </c>
      <c r="M80" s="4">
        <f t="shared" si="39"/>
        <v>712.03155818540438</v>
      </c>
      <c r="N80" s="3">
        <f>SLOPE((Taulukkotiedot!$D$13:$D$16)*A80,Laskenta!J80:M80)</f>
        <v>1208.768042238391</v>
      </c>
      <c r="P80" s="4">
        <f t="shared" si="27"/>
        <v>12.313886703589286</v>
      </c>
      <c r="Q80" s="4">
        <f t="shared" si="28"/>
        <v>11.776199433847699</v>
      </c>
      <c r="R80" s="4">
        <f>AVERAGE($I$2:$I80)</f>
        <v>427.38183530290195</v>
      </c>
      <c r="S80" s="4">
        <f>AVERAGE($N$2:$N80)</f>
        <v>405.52965071645121</v>
      </c>
      <c r="U80" s="7">
        <f>R80*Taulukkotiedot!$I$2+(1-Taulukkotiedot!$I$2)*Laskenta!S80+Laskenta!Q80</f>
        <v>428.23194244352425</v>
      </c>
      <c r="V80" s="7">
        <f>R80*Taulukkotiedot!$I$2+(1-Taulukkotiedot!$I$2)*Laskenta!S80+Laskenta!Q80+P80</f>
        <v>440.54582914711352</v>
      </c>
    </row>
    <row r="81" spans="1:22" x14ac:dyDescent="0.3">
      <c r="A81" s="9">
        <f t="shared" si="40"/>
        <v>79</v>
      </c>
      <c r="B81" s="51">
        <f t="shared" si="29"/>
        <v>351.50925024342752</v>
      </c>
      <c r="C81" s="51">
        <f t="shared" si="30"/>
        <v>481.01265822784819</v>
      </c>
      <c r="D81" s="51">
        <f t="shared" si="31"/>
        <v>609.28270042194094</v>
      </c>
      <c r="E81" s="51">
        <f t="shared" si="32"/>
        <v>731.1392405063292</v>
      </c>
      <c r="F81" s="51">
        <f t="shared" si="33"/>
        <v>913.92405063291153</v>
      </c>
      <c r="G81" s="51">
        <f t="shared" si="34"/>
        <v>1218.5654008438819</v>
      </c>
      <c r="H81" s="51">
        <f t="shared" si="35"/>
        <v>1523.2067510548525</v>
      </c>
      <c r="I81" s="3">
        <f>SLOPE(Taulukkotiedot!$D$4:$D$10*A81,Laskenta!B81:H81)</f>
        <v>1305.7774910850883</v>
      </c>
      <c r="J81">
        <f t="shared" si="36"/>
        <v>167.69248635466266</v>
      </c>
      <c r="K81">
        <f t="shared" si="37"/>
        <v>257.44339454448215</v>
      </c>
      <c r="L81">
        <f t="shared" si="38"/>
        <v>388.90385133315391</v>
      </c>
      <c r="M81">
        <f t="shared" si="39"/>
        <v>703.01850048685503</v>
      </c>
      <c r="N81" s="3">
        <f>SLOPE((Taulukkotiedot!$D$13:$D$16)*A81,Laskenta!J81:M81)</f>
        <v>1239.960774426331</v>
      </c>
      <c r="P81">
        <f t="shared" si="27"/>
        <v>12.313886703589286</v>
      </c>
      <c r="Q81">
        <f t="shared" si="28"/>
        <v>11.776199433847699</v>
      </c>
      <c r="R81">
        <f>AVERAGE($I$2:$I81)</f>
        <v>438.36178100017923</v>
      </c>
      <c r="S81">
        <f>AVERAGE($N$2:$N81)</f>
        <v>415.96003976282475</v>
      </c>
      <c r="U81" s="7">
        <f>R81*Taulukkotiedot!$I$2+(1-Taulukkotiedot!$I$2)*Laskenta!S81+Laskenta!Q81</f>
        <v>438.93710981534969</v>
      </c>
      <c r="V81" s="7">
        <f>R81*Taulukkotiedot!$I$2+(1-Taulukkotiedot!$I$2)*Laskenta!S81+Laskenta!Q81+P81</f>
        <v>451.25099651893896</v>
      </c>
    </row>
    <row r="82" spans="1:22" s="5" customFormat="1" x14ac:dyDescent="0.3">
      <c r="A82" s="12">
        <f t="shared" si="40"/>
        <v>80</v>
      </c>
      <c r="B82" s="51">
        <f t="shared" si="29"/>
        <v>347.11538461538464</v>
      </c>
      <c r="C82" s="51">
        <f t="shared" si="30"/>
        <v>475.00000000000006</v>
      </c>
      <c r="D82" s="51">
        <f t="shared" si="31"/>
        <v>601.66666666666674</v>
      </c>
      <c r="E82" s="51">
        <f t="shared" si="32"/>
        <v>722.00000000000011</v>
      </c>
      <c r="F82" s="51">
        <f t="shared" si="33"/>
        <v>902.50000000000011</v>
      </c>
      <c r="G82" s="51">
        <f t="shared" si="34"/>
        <v>1203.3333333333335</v>
      </c>
      <c r="H82" s="51">
        <f t="shared" si="35"/>
        <v>1504.166666666667</v>
      </c>
      <c r="I82" s="3">
        <f>SLOPE(Taulukkotiedot!$D$4:$D$10*A82,Laskenta!B82:H82)</f>
        <v>1339.0443747707998</v>
      </c>
      <c r="J82" s="5">
        <f t="shared" si="36"/>
        <v>165.59633027522938</v>
      </c>
      <c r="K82" s="5">
        <f t="shared" si="37"/>
        <v>254.22535211267609</v>
      </c>
      <c r="L82" s="5">
        <f t="shared" si="38"/>
        <v>384.0425531914895</v>
      </c>
      <c r="M82" s="5">
        <f t="shared" si="39"/>
        <v>694.23076923076928</v>
      </c>
      <c r="N82" s="3">
        <f>SLOPE((Taulukkotiedot!$D$13:$D$16)*A82,Laskenta!J82:M82)</f>
        <v>1271.5508662599775</v>
      </c>
      <c r="P82" s="5">
        <f t="shared" si="27"/>
        <v>12.313886703589286</v>
      </c>
      <c r="Q82" s="5">
        <f t="shared" si="28"/>
        <v>11.776199433847699</v>
      </c>
      <c r="R82" s="5">
        <f>AVERAGE($I$2:$I82)</f>
        <v>449.48131919487821</v>
      </c>
      <c r="S82" s="5">
        <f>AVERAGE($N$2:$N82)</f>
        <v>426.52288947266607</v>
      </c>
      <c r="U82" s="7">
        <f>R82*Taulukkotiedot!$I$2+(1-Taulukkotiedot!$I$2)*Laskenta!S82+Laskenta!Q82</f>
        <v>449.77830376761983</v>
      </c>
      <c r="V82" s="7">
        <f>R82*Taulukkotiedot!$I$2+(1-Taulukkotiedot!$I$2)*Laskenta!S82+Laskenta!Q82+P82</f>
        <v>462.09219047120911</v>
      </c>
    </row>
    <row r="83" spans="1:22" x14ac:dyDescent="0.3">
      <c r="A83" s="9">
        <f t="shared" si="40"/>
        <v>81</v>
      </c>
      <c r="B83" s="51">
        <f t="shared" si="29"/>
        <v>342.83000949667615</v>
      </c>
      <c r="C83" s="51">
        <f t="shared" si="30"/>
        <v>469.13580246913585</v>
      </c>
      <c r="D83" s="51">
        <f t="shared" si="31"/>
        <v>594.23868312757202</v>
      </c>
      <c r="E83" s="51">
        <f t="shared" si="32"/>
        <v>713.08641975308649</v>
      </c>
      <c r="F83" s="51">
        <f t="shared" si="33"/>
        <v>891.3580246913582</v>
      </c>
      <c r="G83" s="51">
        <f t="shared" si="34"/>
        <v>1188.477366255144</v>
      </c>
      <c r="H83" s="51">
        <f t="shared" si="35"/>
        <v>1485.5967078189306</v>
      </c>
      <c r="I83" s="3">
        <f>SLOPE(Taulukkotiedot!$D$4:$D$10*A83,Laskenta!B83:H83)</f>
        <v>1372.7297098236277</v>
      </c>
      <c r="J83">
        <f t="shared" si="36"/>
        <v>163.55193113602903</v>
      </c>
      <c r="K83">
        <f t="shared" si="37"/>
        <v>251.08676751869245</v>
      </c>
      <c r="L83">
        <f t="shared" si="38"/>
        <v>379.30128710270554</v>
      </c>
      <c r="M83">
        <f t="shared" si="39"/>
        <v>685.66001899335231</v>
      </c>
      <c r="N83" s="3">
        <f>SLOPE((Taulukkotiedot!$D$13:$D$16)*A83,Laskenta!J83:M83)</f>
        <v>1303.5383177393301</v>
      </c>
      <c r="P83">
        <f t="shared" si="27"/>
        <v>12.313886703589286</v>
      </c>
      <c r="Q83">
        <f t="shared" si="28"/>
        <v>11.776199433847699</v>
      </c>
      <c r="R83">
        <f>AVERAGE($I$2:$I83)</f>
        <v>460.74044590986301</v>
      </c>
      <c r="S83">
        <f>AVERAGE($N$2:$N83)</f>
        <v>437.21819957347907</v>
      </c>
      <c r="U83" s="7">
        <f>R83*Taulukkotiedot!$I$2+(1-Taulukkotiedot!$I$2)*Laskenta!S83+Laskenta!Q83</f>
        <v>460.75552217551871</v>
      </c>
      <c r="V83" s="7">
        <f>R83*Taulukkotiedot!$I$2+(1-Taulukkotiedot!$I$2)*Laskenta!S83+Laskenta!Q83+P83</f>
        <v>473.06940887910798</v>
      </c>
    </row>
    <row r="84" spans="1:22" s="4" customFormat="1" x14ac:dyDescent="0.3">
      <c r="A84" s="10">
        <f t="shared" si="40"/>
        <v>82</v>
      </c>
      <c r="B84" s="51">
        <f t="shared" si="29"/>
        <v>338.6491557223265</v>
      </c>
      <c r="C84" s="51">
        <f t="shared" si="30"/>
        <v>463.41463414634154</v>
      </c>
      <c r="D84" s="51">
        <f t="shared" si="31"/>
        <v>586.99186991869931</v>
      </c>
      <c r="E84" s="51">
        <f t="shared" si="32"/>
        <v>704.39024390243912</v>
      </c>
      <c r="F84" s="51">
        <f t="shared" si="33"/>
        <v>880.48780487804879</v>
      </c>
      <c r="G84" s="51">
        <f t="shared" si="34"/>
        <v>1173.9837398373986</v>
      </c>
      <c r="H84" s="51">
        <f t="shared" si="35"/>
        <v>1467.4796747967482</v>
      </c>
      <c r="I84" s="3">
        <f>SLOPE(Taulukkotiedot!$D$4:$D$10*A84,Laskenta!B84:H84)</f>
        <v>1406.8334962435717</v>
      </c>
      <c r="J84" s="4">
        <f t="shared" si="36"/>
        <v>161.55739539046766</v>
      </c>
      <c r="K84" s="4">
        <f t="shared" si="37"/>
        <v>248.02473376846447</v>
      </c>
      <c r="L84" s="4">
        <f t="shared" si="38"/>
        <v>374.67566165023356</v>
      </c>
      <c r="M84" s="4">
        <f t="shared" si="39"/>
        <v>677.298311444653</v>
      </c>
      <c r="N84" s="3">
        <f>SLOPE((Taulukkotiedot!$D$13:$D$16)*A84,Laskenta!J84:M84)</f>
        <v>1335.9231288643884</v>
      </c>
      <c r="P84" s="4">
        <f t="shared" si="27"/>
        <v>12.313886703589286</v>
      </c>
      <c r="Q84" s="4">
        <f t="shared" si="28"/>
        <v>11.776199433847699</v>
      </c>
      <c r="R84" s="4">
        <f>AVERAGE($I$2:$I84)</f>
        <v>472.13915735966668</v>
      </c>
      <c r="S84" s="4">
        <f>AVERAGE($N$2:$N84)</f>
        <v>448.04596980589963</v>
      </c>
      <c r="U84" s="7">
        <f>R84*Taulukkotiedot!$I$2+(1-Taulukkotiedot!$I$2)*Laskenta!S84+Laskenta!Q84</f>
        <v>471.86876301663085</v>
      </c>
      <c r="V84" s="7">
        <f>R84*Taulukkotiedot!$I$2+(1-Taulukkotiedot!$I$2)*Laskenta!S84+Laskenta!Q84+P84</f>
        <v>484.18264972022013</v>
      </c>
    </row>
    <row r="85" spans="1:22" x14ac:dyDescent="0.3">
      <c r="A85" s="9">
        <f t="shared" si="40"/>
        <v>83</v>
      </c>
      <c r="B85" s="51">
        <f t="shared" si="29"/>
        <v>334.56904541241892</v>
      </c>
      <c r="C85" s="51">
        <f t="shared" si="30"/>
        <v>457.83132530120486</v>
      </c>
      <c r="D85" s="51">
        <f t="shared" si="31"/>
        <v>579.91967871485951</v>
      </c>
      <c r="E85" s="51">
        <f t="shared" si="32"/>
        <v>695.9036144578314</v>
      </c>
      <c r="F85" s="51">
        <f t="shared" si="33"/>
        <v>869.87951807228922</v>
      </c>
      <c r="G85" s="51">
        <f t="shared" si="34"/>
        <v>1159.839357429719</v>
      </c>
      <c r="H85" s="51">
        <f t="shared" si="35"/>
        <v>1449.799196787149</v>
      </c>
      <c r="I85" s="3">
        <f>SLOPE(Taulukkotiedot!$D$4:$D$10*A85,Laskenta!B85:H85)</f>
        <v>1441.3557340306311</v>
      </c>
      <c r="J85">
        <f t="shared" si="36"/>
        <v>159.61092074720901</v>
      </c>
      <c r="K85">
        <f t="shared" si="37"/>
        <v>245.03648396402517</v>
      </c>
      <c r="L85">
        <f t="shared" si="38"/>
        <v>370.16149705203804</v>
      </c>
      <c r="M85">
        <f t="shared" si="39"/>
        <v>669.13809082483783</v>
      </c>
      <c r="N85" s="3">
        <f>SLOPE((Taulukkotiedot!$D$13:$D$16)*A85,Laskenta!J85:M85)</f>
        <v>1368.705299635154</v>
      </c>
      <c r="P85">
        <f t="shared" si="27"/>
        <v>12.313886703589286</v>
      </c>
      <c r="Q85">
        <f t="shared" si="28"/>
        <v>11.776199433847699</v>
      </c>
      <c r="R85">
        <f>AVERAGE($I$2:$I85)</f>
        <v>483.67744993908292</v>
      </c>
      <c r="S85">
        <f>AVERAGE($N$2:$N85)</f>
        <v>459.00619992291456</v>
      </c>
      <c r="U85" s="7">
        <f>R85*Taulukkotiedot!$I$2+(1-Taulukkotiedot!$I$2)*Laskenta!S85+Laskenta!Q85</f>
        <v>483.11802436484646</v>
      </c>
      <c r="V85" s="7">
        <f>R85*Taulukkotiedot!$I$2+(1-Taulukkotiedot!$I$2)*Laskenta!S85+Laskenta!Q85+P85</f>
        <v>495.43191106843574</v>
      </c>
    </row>
    <row r="86" spans="1:22" s="4" customFormat="1" x14ac:dyDescent="0.3">
      <c r="A86" s="10">
        <f t="shared" si="40"/>
        <v>84</v>
      </c>
      <c r="B86" s="51">
        <f t="shared" si="29"/>
        <v>330.58608058608064</v>
      </c>
      <c r="C86" s="51">
        <f t="shared" si="30"/>
        <v>452.38095238095241</v>
      </c>
      <c r="D86" s="51">
        <f t="shared" si="31"/>
        <v>573.01587301587313</v>
      </c>
      <c r="E86" s="51">
        <f t="shared" si="32"/>
        <v>687.61904761904771</v>
      </c>
      <c r="F86" s="51">
        <f t="shared" si="33"/>
        <v>859.52380952380963</v>
      </c>
      <c r="G86" s="51">
        <f t="shared" si="34"/>
        <v>1146.0317460317463</v>
      </c>
      <c r="H86" s="51">
        <f t="shared" si="35"/>
        <v>1432.5396825396826</v>
      </c>
      <c r="I86" s="3">
        <f>SLOPE(Taulukkotiedot!$D$4:$D$10*A86,Laskenta!B86:H86)</f>
        <v>1476.2964231848073</v>
      </c>
      <c r="J86" s="4">
        <f t="shared" si="36"/>
        <v>157.7107907383137</v>
      </c>
      <c r="K86" s="4">
        <f t="shared" si="37"/>
        <v>242.11938296445342</v>
      </c>
      <c r="L86" s="4">
        <f t="shared" si="38"/>
        <v>365.7548125633233</v>
      </c>
      <c r="M86" s="4">
        <f t="shared" si="39"/>
        <v>661.17216117216128</v>
      </c>
      <c r="N86" s="3">
        <f>SLOPE((Taulukkotiedot!$D$13:$D$16)*A86,Laskenta!J86:M86)</f>
        <v>1401.8848300516249</v>
      </c>
      <c r="P86" s="4">
        <f t="shared" si="27"/>
        <v>12.313886703589286</v>
      </c>
      <c r="Q86" s="4">
        <f t="shared" si="28"/>
        <v>11.776199433847699</v>
      </c>
      <c r="R86" s="4">
        <f>AVERAGE($I$2:$I86)</f>
        <v>495.35532021256205</v>
      </c>
      <c r="S86" s="4">
        <f>AVERAGE($N$2:$N86)</f>
        <v>470.09888968913469</v>
      </c>
      <c r="U86" s="7">
        <f>R86*Taulukkotiedot!$I$2+(1-Taulukkotiedot!$I$2)*Laskenta!S86+Laskenta!Q86</f>
        <v>494.50330438469604</v>
      </c>
      <c r="V86" s="7">
        <f>R86*Taulukkotiedot!$I$2+(1-Taulukkotiedot!$I$2)*Laskenta!S86+Laskenta!Q86+P86</f>
        <v>506.81719108828531</v>
      </c>
    </row>
    <row r="87" spans="1:22" s="1" customFormat="1" x14ac:dyDescent="0.3">
      <c r="A87" s="11">
        <f t="shared" si="40"/>
        <v>85</v>
      </c>
      <c r="B87" s="1">
        <f t="shared" si="29"/>
        <v>326.69683257918552</v>
      </c>
      <c r="C87" s="1">
        <f t="shared" si="30"/>
        <v>447.05882352941188</v>
      </c>
      <c r="D87" s="1">
        <f t="shared" si="31"/>
        <v>566.27450980392166</v>
      </c>
      <c r="E87" s="1">
        <f t="shared" si="32"/>
        <v>679.52941176470597</v>
      </c>
      <c r="F87" s="1">
        <f t="shared" si="33"/>
        <v>849.41176470588243</v>
      </c>
      <c r="G87" s="1">
        <f t="shared" si="34"/>
        <v>1132.5490196078433</v>
      </c>
      <c r="H87" s="1">
        <f t="shared" si="35"/>
        <v>1415.686274509804</v>
      </c>
      <c r="I87" s="3">
        <f>SLOPE(Taulukkotiedot!$D$4:$D$10*A87,Laskenta!B87:H87)</f>
        <v>1511.6555637060985</v>
      </c>
      <c r="J87" s="1">
        <f t="shared" si="36"/>
        <v>155.85536967080412</v>
      </c>
      <c r="K87" s="1">
        <f t="shared" si="37"/>
        <v>239.27091963545988</v>
      </c>
      <c r="L87" s="1">
        <f t="shared" si="38"/>
        <v>361.45181476846062</v>
      </c>
      <c r="M87" s="1">
        <f t="shared" si="39"/>
        <v>653.39366515837105</v>
      </c>
      <c r="N87" s="3">
        <f>SLOPE((Taulukkotiedot!$D$13:$D$16)*A87,Laskenta!J87:M87)</f>
        <v>1435.4617201138028</v>
      </c>
      <c r="P87" s="1">
        <f t="shared" si="27"/>
        <v>12.313886703589286</v>
      </c>
      <c r="Q87" s="1">
        <f t="shared" si="28"/>
        <v>11.776199433847699</v>
      </c>
      <c r="R87" s="1">
        <f>AVERAGE($I$2:$I87)</f>
        <v>507.17276490434733</v>
      </c>
      <c r="S87" s="1">
        <f>AVERAGE($N$2:$N87)</f>
        <v>481.32403888011925</v>
      </c>
      <c r="U87" s="7">
        <f>R87*Taulukkotiedot!$I$2+(1-Taulukkotiedot!$I$2)*Laskenta!S87+Laskenta!Q87</f>
        <v>506.02460132608098</v>
      </c>
      <c r="V87" s="7">
        <f>R87*Taulukkotiedot!$I$2+(1-Taulukkotiedot!$I$2)*Laskenta!S87+Laskenta!Q87+P87</f>
        <v>518.33848802967032</v>
      </c>
    </row>
    <row r="88" spans="1:22" s="4" customFormat="1" x14ac:dyDescent="0.3">
      <c r="A88" s="10">
        <f t="shared" si="40"/>
        <v>86</v>
      </c>
      <c r="B88" s="51">
        <f t="shared" si="29"/>
        <v>322.89803220035782</v>
      </c>
      <c r="C88" s="51">
        <f t="shared" si="30"/>
        <v>441.86046511627916</v>
      </c>
      <c r="D88" s="51">
        <f t="shared" si="31"/>
        <v>559.68992248062023</v>
      </c>
      <c r="E88" s="51">
        <f t="shared" si="32"/>
        <v>671.62790697674427</v>
      </c>
      <c r="F88" s="51">
        <f t="shared" si="33"/>
        <v>839.53488372093045</v>
      </c>
      <c r="G88" s="51">
        <f t="shared" si="34"/>
        <v>1119.3798449612405</v>
      </c>
      <c r="H88" s="51">
        <f t="shared" si="35"/>
        <v>1399.2248062015506</v>
      </c>
      <c r="I88" s="3">
        <f>SLOPE(Taulukkotiedot!$D$4:$D$10*A88,Laskenta!B88:H88)</f>
        <v>1547.4331555945062</v>
      </c>
      <c r="J88" s="4">
        <f t="shared" si="36"/>
        <v>154.04309793044592</v>
      </c>
      <c r="K88" s="4">
        <f t="shared" si="37"/>
        <v>236.48869963969869</v>
      </c>
      <c r="L88" s="4">
        <f t="shared" si="38"/>
        <v>357.24888668975763</v>
      </c>
      <c r="M88" s="4">
        <f t="shared" si="39"/>
        <v>645.79606440071564</v>
      </c>
      <c r="N88" s="3">
        <f>SLOPE((Taulukkotiedot!$D$13:$D$16)*A88,Laskenta!J88:M88)</f>
        <v>1469.4359698216863</v>
      </c>
      <c r="P88" s="4">
        <f t="shared" si="27"/>
        <v>12.313886703589286</v>
      </c>
      <c r="Q88" s="4">
        <f t="shared" si="28"/>
        <v>11.776199433847699</v>
      </c>
      <c r="R88" s="4">
        <f>AVERAGE($I$2:$I88)</f>
        <v>519.12978088929162</v>
      </c>
      <c r="S88" s="4">
        <f>AVERAGE($N$2:$N88)</f>
        <v>492.68164728174645</v>
      </c>
      <c r="U88" s="7">
        <f>R88*Taulukkotiedot!$I$2+(1-Taulukkotiedot!$I$2)*Laskenta!S88+Laskenta!Q88</f>
        <v>517.68191351936673</v>
      </c>
      <c r="V88" s="7">
        <f>R88*Taulukkotiedot!$I$2+(1-Taulukkotiedot!$I$2)*Laskenta!S88+Laskenta!Q88+P88</f>
        <v>529.99580022295606</v>
      </c>
    </row>
    <row r="89" spans="1:22" x14ac:dyDescent="0.3">
      <c r="A89" s="9">
        <f t="shared" si="40"/>
        <v>87</v>
      </c>
      <c r="B89" s="51">
        <f t="shared" si="29"/>
        <v>319.18656056587093</v>
      </c>
      <c r="C89" s="51">
        <f t="shared" si="30"/>
        <v>436.78160919540232</v>
      </c>
      <c r="D89" s="51">
        <f t="shared" si="31"/>
        <v>553.25670498084298</v>
      </c>
      <c r="E89" s="51">
        <f t="shared" si="32"/>
        <v>663.90804597701151</v>
      </c>
      <c r="F89" s="51">
        <f t="shared" si="33"/>
        <v>829.88505747126442</v>
      </c>
      <c r="G89" s="51">
        <f t="shared" si="34"/>
        <v>1106.513409961686</v>
      </c>
      <c r="H89" s="51">
        <f t="shared" si="35"/>
        <v>1383.1417624521075</v>
      </c>
      <c r="I89" s="3">
        <f>SLOPE(Taulukkotiedot!$D$4:$D$10*A89,Laskenta!B89:H89)</f>
        <v>1583.6291988500288</v>
      </c>
      <c r="J89">
        <f t="shared" si="36"/>
        <v>152.27248760940628</v>
      </c>
      <c r="K89">
        <f t="shared" si="37"/>
        <v>233.77043872429985</v>
      </c>
      <c r="L89">
        <f t="shared" si="38"/>
        <v>353.14257764734657</v>
      </c>
      <c r="M89">
        <f t="shared" si="39"/>
        <v>638.37312113174187</v>
      </c>
      <c r="N89" s="3">
        <f>SLOPE((Taulukkotiedot!$D$13:$D$16)*A89,Laskenta!J89:M89)</f>
        <v>1503.8075791752763</v>
      </c>
      <c r="P89">
        <f t="shared" si="27"/>
        <v>12.313886703589286</v>
      </c>
      <c r="Q89">
        <f t="shared" si="28"/>
        <v>11.776199433847699</v>
      </c>
      <c r="R89">
        <f>AVERAGE($I$2:$I89)</f>
        <v>531.22636518429999</v>
      </c>
      <c r="S89">
        <f>AVERAGE($N$2:$N89)</f>
        <v>504.17171468962749</v>
      </c>
      <c r="U89" s="7">
        <f>R89*Taulukkotiedot!$I$2+(1-Taulukkotiedot!$I$2)*Laskenta!S89+Laskenta!Q89</f>
        <v>529.47523937081155</v>
      </c>
      <c r="V89" s="7">
        <f>R89*Taulukkotiedot!$I$2+(1-Taulukkotiedot!$I$2)*Laskenta!S89+Laskenta!Q89+P89</f>
        <v>541.78912607440088</v>
      </c>
    </row>
    <row r="90" spans="1:22" s="4" customFormat="1" x14ac:dyDescent="0.3">
      <c r="A90" s="10">
        <f t="shared" si="40"/>
        <v>88</v>
      </c>
      <c r="B90" s="51">
        <f t="shared" si="29"/>
        <v>315.55944055944059</v>
      </c>
      <c r="C90" s="51">
        <f t="shared" si="30"/>
        <v>431.81818181818187</v>
      </c>
      <c r="D90" s="51">
        <f t="shared" si="31"/>
        <v>546.969696969697</v>
      </c>
      <c r="E90" s="51">
        <f t="shared" si="32"/>
        <v>656.36363636363649</v>
      </c>
      <c r="F90" s="51">
        <f t="shared" si="33"/>
        <v>820.4545454545455</v>
      </c>
      <c r="G90" s="51">
        <f t="shared" si="34"/>
        <v>1093.939393939394</v>
      </c>
      <c r="H90" s="51">
        <f t="shared" si="35"/>
        <v>1367.4242424242427</v>
      </c>
      <c r="I90" s="3">
        <f>SLOPE(Taulukkotiedot!$D$4:$D$10*A90,Laskenta!B90:H90)</f>
        <v>1620.2436934726679</v>
      </c>
      <c r="J90" s="4">
        <f t="shared" si="36"/>
        <v>150.54211843202671</v>
      </c>
      <c r="K90" s="4">
        <f t="shared" si="37"/>
        <v>231.11395646606917</v>
      </c>
      <c r="L90" s="4">
        <f t="shared" si="38"/>
        <v>349.12959381044493</v>
      </c>
      <c r="M90" s="4">
        <f t="shared" si="39"/>
        <v>631.11888111888118</v>
      </c>
      <c r="N90" s="3">
        <f>SLOPE((Taulukkotiedot!$D$13:$D$16)*A90,Laskenta!J90:M90)</f>
        <v>1538.5765481745727</v>
      </c>
      <c r="P90" s="4">
        <f t="shared" si="27"/>
        <v>12.313886703589286</v>
      </c>
      <c r="Q90" s="4">
        <f t="shared" si="28"/>
        <v>11.776199433847699</v>
      </c>
      <c r="R90" s="4">
        <f>AVERAGE($I$2:$I90)</f>
        <v>543.46251494034902</v>
      </c>
      <c r="S90" s="4">
        <f>AVERAGE($N$2:$N90)</f>
        <v>515.79424090855946</v>
      </c>
      <c r="U90" s="7">
        <f>R90*Taulukkotiedot!$I$2+(1-Taulukkotiedot!$I$2)*Laskenta!S90+Laskenta!Q90</f>
        <v>541.40457735830205</v>
      </c>
      <c r="V90" s="7">
        <f>R90*Taulukkotiedot!$I$2+(1-Taulukkotiedot!$I$2)*Laskenta!S90+Laskenta!Q90+P90</f>
        <v>553.71846406189138</v>
      </c>
    </row>
    <row r="91" spans="1:22" x14ac:dyDescent="0.3">
      <c r="A91" s="9">
        <f t="shared" si="40"/>
        <v>89</v>
      </c>
      <c r="B91" s="51">
        <f t="shared" si="29"/>
        <v>312.0138288677615</v>
      </c>
      <c r="C91" s="51">
        <f t="shared" si="30"/>
        <v>426.96629213483146</v>
      </c>
      <c r="D91" s="51">
        <f t="shared" si="31"/>
        <v>540.82397003745325</v>
      </c>
      <c r="E91" s="51">
        <f t="shared" si="32"/>
        <v>648.98876404494388</v>
      </c>
      <c r="F91" s="51">
        <f t="shared" si="33"/>
        <v>811.23595505617993</v>
      </c>
      <c r="G91" s="51">
        <f t="shared" si="34"/>
        <v>1081.6479400749065</v>
      </c>
      <c r="H91" s="51">
        <f t="shared" si="35"/>
        <v>1352.0599250936332</v>
      </c>
      <c r="I91" s="3">
        <f>SLOPE(Taulukkotiedot!$D$4:$D$10*A91,Laskenta!B91:H91)</f>
        <v>1657.2766394624227</v>
      </c>
      <c r="J91">
        <f t="shared" si="36"/>
        <v>148.85063395526237</v>
      </c>
      <c r="K91">
        <f t="shared" si="37"/>
        <v>228.51717043836055</v>
      </c>
      <c r="L91">
        <f t="shared" si="38"/>
        <v>345.20678938560843</v>
      </c>
      <c r="M91">
        <f t="shared" si="39"/>
        <v>624.02765773552301</v>
      </c>
      <c r="N91" s="3">
        <f>SLOPE((Taulukkotiedot!$D$13:$D$16)*A91,Laskenta!J91:M91)</f>
        <v>1573.7428768195748</v>
      </c>
      <c r="P91">
        <f t="shared" si="27"/>
        <v>12.313886703589286</v>
      </c>
      <c r="Q91">
        <f t="shared" si="28"/>
        <v>11.776199433847699</v>
      </c>
      <c r="R91">
        <f>AVERAGE($I$2:$I91)</f>
        <v>555.83822743503879</v>
      </c>
      <c r="S91">
        <f>AVERAGE($N$2:$N91)</f>
        <v>527.5492257520151</v>
      </c>
      <c r="U91" s="7">
        <f>R91*Taulukkotiedot!$I$2+(1-Taulukkotiedot!$I$2)*Laskenta!S91+Laskenta!Q91</f>
        <v>553.46992602737464</v>
      </c>
      <c r="V91" s="7">
        <f>R91*Taulukkotiedot!$I$2+(1-Taulukkotiedot!$I$2)*Laskenta!S91+Laskenta!Q91+P91</f>
        <v>565.78381273096397</v>
      </c>
    </row>
    <row r="92" spans="1:22" x14ac:dyDescent="0.3">
      <c r="A92" s="9">
        <f t="shared" si="40"/>
        <v>90</v>
      </c>
      <c r="B92" s="51">
        <f t="shared" si="29"/>
        <v>308.54700854700855</v>
      </c>
      <c r="C92" s="51">
        <f t="shared" si="30"/>
        <v>422.22222222222223</v>
      </c>
      <c r="D92" s="51">
        <f t="shared" si="31"/>
        <v>534.81481481481478</v>
      </c>
      <c r="E92" s="51">
        <f t="shared" si="32"/>
        <v>641.77777777777783</v>
      </c>
      <c r="F92" s="51">
        <f t="shared" si="33"/>
        <v>802.2222222222224</v>
      </c>
      <c r="G92" s="51">
        <f t="shared" si="34"/>
        <v>1069.6296296296296</v>
      </c>
      <c r="H92" s="51">
        <f t="shared" si="35"/>
        <v>1337.0370370370374</v>
      </c>
      <c r="I92" s="3">
        <f>SLOPE(Taulukkotiedot!$D$4:$D$10*A92,Laskenta!B92:H92)</f>
        <v>1694.7280368192933</v>
      </c>
      <c r="J92">
        <f t="shared" si="36"/>
        <v>147.1967380224261</v>
      </c>
      <c r="K92">
        <f t="shared" si="37"/>
        <v>225.97809076682319</v>
      </c>
      <c r="L92">
        <f t="shared" si="38"/>
        <v>341.37115839243506</v>
      </c>
      <c r="M92">
        <f t="shared" si="39"/>
        <v>617.09401709401709</v>
      </c>
      <c r="N92" s="3">
        <f>SLOPE((Taulukkotiedot!$D$13:$D$16)*A92,Laskenta!J92:M92)</f>
        <v>1609.3065651102841</v>
      </c>
      <c r="P92">
        <f t="shared" si="27"/>
        <v>12.313886703589286</v>
      </c>
      <c r="Q92">
        <f t="shared" si="28"/>
        <v>11.776199433847699</v>
      </c>
      <c r="R92">
        <f>AVERAGE($I$2:$I92)</f>
        <v>568.35350006563499</v>
      </c>
      <c r="S92">
        <f>AVERAGE($N$2:$N92)</f>
        <v>539.43666904166639</v>
      </c>
      <c r="U92" s="7">
        <f>R92*Taulukkotiedot!$I$2+(1-Taulukkotiedot!$I$2)*Laskenta!S92+Laskenta!Q92</f>
        <v>565.67128398749844</v>
      </c>
      <c r="V92" s="7">
        <f>R92*Taulukkotiedot!$I$2+(1-Taulukkotiedot!$I$2)*Laskenta!S92+Laskenta!Q92+P92</f>
        <v>577.98517069108777</v>
      </c>
    </row>
    <row r="93" spans="1:22" x14ac:dyDescent="0.3">
      <c r="A93" s="9">
        <f t="shared" si="40"/>
        <v>91</v>
      </c>
      <c r="B93" s="51">
        <f t="shared" si="29"/>
        <v>305.15638207945904</v>
      </c>
      <c r="C93" s="51">
        <f t="shared" si="30"/>
        <v>417.58241758241769</v>
      </c>
      <c r="D93" s="51">
        <f t="shared" si="31"/>
        <v>528.93772893772905</v>
      </c>
      <c r="E93" s="51">
        <f t="shared" si="32"/>
        <v>634.72527472527474</v>
      </c>
      <c r="F93" s="51">
        <f t="shared" si="33"/>
        <v>793.40659340659352</v>
      </c>
      <c r="G93" s="51">
        <f t="shared" si="34"/>
        <v>1057.8754578754581</v>
      </c>
      <c r="H93" s="51">
        <f t="shared" si="35"/>
        <v>1322.3443223443226</v>
      </c>
      <c r="I93" s="3">
        <f>SLOPE(Taulukkotiedot!$D$4:$D$10*A93,Laskenta!B93:H93)</f>
        <v>1732.5978855432804</v>
      </c>
      <c r="J93">
        <f t="shared" si="36"/>
        <v>145.5791914507511</v>
      </c>
      <c r="K93">
        <f t="shared" si="37"/>
        <v>223.49481504411085</v>
      </c>
      <c r="L93">
        <f t="shared" si="38"/>
        <v>337.61982698152917</v>
      </c>
      <c r="M93">
        <f t="shared" si="39"/>
        <v>610.31276415891807</v>
      </c>
      <c r="N93" s="3">
        <f>SLOPE((Taulukkotiedot!$D$13:$D$16)*A93,Laskenta!J93:M93)</f>
        <v>1645.2676130466989</v>
      </c>
      <c r="P93">
        <f t="shared" si="27"/>
        <v>12.313886703589286</v>
      </c>
      <c r="Q93">
        <f t="shared" si="28"/>
        <v>11.776199433847699</v>
      </c>
      <c r="R93">
        <f>AVERAGE($I$2:$I93)</f>
        <v>581.00833034256596</v>
      </c>
      <c r="S93">
        <f>AVERAGE($N$2:$N93)</f>
        <v>551.4565706069385</v>
      </c>
      <c r="U93" s="7">
        <f>R93*Taulukkotiedot!$I$2+(1-Taulukkotiedot!$I$2)*Laskenta!S93+Laskenta!Q93</f>
        <v>578.00864990859998</v>
      </c>
      <c r="V93" s="7">
        <f>R93*Taulukkotiedot!$I$2+(1-Taulukkotiedot!$I$2)*Laskenta!S93+Laskenta!Q93+P93</f>
        <v>590.32253661218931</v>
      </c>
    </row>
    <row r="94" spans="1:22" x14ac:dyDescent="0.3">
      <c r="A94" s="9">
        <f t="shared" si="40"/>
        <v>92</v>
      </c>
      <c r="B94" s="51">
        <f t="shared" si="29"/>
        <v>301.83946488294316</v>
      </c>
      <c r="C94" s="51">
        <f t="shared" si="30"/>
        <v>413.04347826086962</v>
      </c>
      <c r="D94" s="51">
        <f t="shared" si="31"/>
        <v>523.18840579710161</v>
      </c>
      <c r="E94" s="51">
        <f t="shared" si="32"/>
        <v>627.82608695652186</v>
      </c>
      <c r="F94" s="51">
        <f t="shared" si="33"/>
        <v>784.78260869565224</v>
      </c>
      <c r="G94" s="51">
        <f t="shared" si="34"/>
        <v>1046.3768115942032</v>
      </c>
      <c r="H94" s="51">
        <f t="shared" si="35"/>
        <v>1307.971014492754</v>
      </c>
      <c r="I94" s="3">
        <f>SLOPE(Taulukkotiedot!$D$4:$D$10*A94,Laskenta!B94:H94)</f>
        <v>1770.8861856343824</v>
      </c>
      <c r="J94">
        <f t="shared" si="36"/>
        <v>143.99680893498208</v>
      </c>
      <c r="K94">
        <f t="shared" si="37"/>
        <v>221.06552357624011</v>
      </c>
      <c r="L94">
        <f t="shared" si="38"/>
        <v>333.95004625346905</v>
      </c>
      <c r="M94">
        <f t="shared" si="39"/>
        <v>603.67892976588632</v>
      </c>
      <c r="N94" s="3">
        <f>SLOPE((Taulukkotiedot!$D$13:$D$16)*A94,Laskenta!J94:M94)</f>
        <v>1681.6260206288205</v>
      </c>
      <c r="P94">
        <f t="shared" si="27"/>
        <v>12.313886703589286</v>
      </c>
      <c r="Q94">
        <f t="shared" si="28"/>
        <v>11.776199433847699</v>
      </c>
      <c r="R94">
        <f>AVERAGE($I$2:$I94)</f>
        <v>593.80271588333812</v>
      </c>
      <c r="S94">
        <f>AVERAGE($N$2:$N94)</f>
        <v>563.60893028459316</v>
      </c>
      <c r="U94" s="7">
        <f>R94*Taulukkotiedot!$I$2+(1-Taulukkotiedot!$I$2)*Laskenta!S94+Laskenta!Q94</f>
        <v>590.48202251781345</v>
      </c>
      <c r="V94" s="7">
        <f>R94*Taulukkotiedot!$I$2+(1-Taulukkotiedot!$I$2)*Laskenta!S94+Laskenta!Q94+P94</f>
        <v>602.79590922140278</v>
      </c>
    </row>
    <row r="95" spans="1:22" x14ac:dyDescent="0.3">
      <c r="A95" s="9">
        <f t="shared" si="40"/>
        <v>93</v>
      </c>
      <c r="B95" s="51">
        <f t="shared" si="29"/>
        <v>298.59387923904052</v>
      </c>
      <c r="C95" s="51">
        <f t="shared" si="30"/>
        <v>408.60215053763443</v>
      </c>
      <c r="D95" s="51">
        <f t="shared" si="31"/>
        <v>517.56272401433705</v>
      </c>
      <c r="E95" s="51">
        <f t="shared" si="32"/>
        <v>621.07526881720435</v>
      </c>
      <c r="F95" s="51">
        <f t="shared" si="33"/>
        <v>776.3440860215054</v>
      </c>
      <c r="G95" s="51">
        <f t="shared" si="34"/>
        <v>1035.1254480286741</v>
      </c>
      <c r="H95" s="51">
        <f t="shared" si="35"/>
        <v>1293.9068100358425</v>
      </c>
      <c r="I95" s="3">
        <f>SLOPE(Taulukkotiedot!$D$4:$D$10*A95,Laskenta!B95:H95)</f>
        <v>1809.5929370926012</v>
      </c>
      <c r="J95">
        <f t="shared" si="36"/>
        <v>142.44845615073496</v>
      </c>
      <c r="K95">
        <f t="shared" si="37"/>
        <v>218.68847493563536</v>
      </c>
      <c r="L95">
        <f t="shared" si="38"/>
        <v>330.35918554106615</v>
      </c>
      <c r="M95">
        <f t="shared" si="39"/>
        <v>597.18775847808104</v>
      </c>
      <c r="N95" s="3">
        <f>SLOPE((Taulukkotiedot!$D$13:$D$16)*A95,Laskenta!J95:M95)</f>
        <v>1718.3817878566476</v>
      </c>
      <c r="P95">
        <f t="shared" si="27"/>
        <v>12.313886703589286</v>
      </c>
      <c r="Q95">
        <f t="shared" si="28"/>
        <v>11.776199433847699</v>
      </c>
      <c r="R95">
        <f>AVERAGE($I$2:$I95)</f>
        <v>606.7366544068409</v>
      </c>
      <c r="S95">
        <f>AVERAGE($N$2:$N95)</f>
        <v>575.89374791833848</v>
      </c>
      <c r="U95" s="7">
        <f>R95*Taulukkotiedot!$I$2+(1-Taulukkotiedot!$I$2)*Laskenta!S95+Laskenta!Q95</f>
        <v>603.09140059643744</v>
      </c>
      <c r="V95" s="7">
        <f>R95*Taulukkotiedot!$I$2+(1-Taulukkotiedot!$I$2)*Laskenta!S95+Laskenta!Q95+P95</f>
        <v>615.40528730002677</v>
      </c>
    </row>
    <row r="96" spans="1:22" x14ac:dyDescent="0.3">
      <c r="A96" s="9">
        <f t="shared" si="40"/>
        <v>94</v>
      </c>
      <c r="B96" s="51">
        <f t="shared" si="29"/>
        <v>295.41734860883798</v>
      </c>
      <c r="C96" s="51">
        <f t="shared" si="30"/>
        <v>404.25531914893622</v>
      </c>
      <c r="D96" s="51">
        <f t="shared" si="31"/>
        <v>512.0567375886526</v>
      </c>
      <c r="E96" s="51">
        <f t="shared" si="32"/>
        <v>614.46808510638311</v>
      </c>
      <c r="F96" s="51">
        <f t="shared" si="33"/>
        <v>768.08510638297889</v>
      </c>
      <c r="G96" s="51">
        <f t="shared" si="34"/>
        <v>1024.1134751773052</v>
      </c>
      <c r="H96" s="51">
        <f t="shared" si="35"/>
        <v>1280.1418439716315</v>
      </c>
      <c r="I96" s="3">
        <f>SLOPE(Taulukkotiedot!$D$4:$D$10*A96,Laskenta!B96:H96)</f>
        <v>1848.7181399179356</v>
      </c>
      <c r="J96">
        <f t="shared" si="36"/>
        <v>140.9330470427484</v>
      </c>
      <c r="K96">
        <f t="shared" si="37"/>
        <v>216.36200179802222</v>
      </c>
      <c r="L96">
        <f t="shared" si="38"/>
        <v>326.84472612041657</v>
      </c>
      <c r="M96">
        <f t="shared" si="39"/>
        <v>590.83469721767597</v>
      </c>
      <c r="N96" s="3">
        <f>SLOPE((Taulukkotiedot!$D$13:$D$16)*A96,Laskenta!J96:M96)</f>
        <v>1755.5349147301815</v>
      </c>
      <c r="P96">
        <f t="shared" si="27"/>
        <v>12.313886703589286</v>
      </c>
      <c r="Q96">
        <f t="shared" si="28"/>
        <v>11.776199433847699</v>
      </c>
      <c r="R96">
        <f>AVERAGE($I$2:$I96)</f>
        <v>619.81014372801042</v>
      </c>
      <c r="S96">
        <f>AVERAGE($N$2:$N96)</f>
        <v>588.3110233584631</v>
      </c>
      <c r="U96" s="7">
        <f>R96*Taulukkotiedot!$I$2+(1-Taulukkotiedot!$I$2)*Laskenta!S96+Laskenta!Q96</f>
        <v>615.83678297708457</v>
      </c>
      <c r="V96" s="7">
        <f>R96*Taulukkotiedot!$I$2+(1-Taulukkotiedot!$I$2)*Laskenta!S96+Laskenta!Q96+P96</f>
        <v>628.1506696806739</v>
      </c>
    </row>
    <row r="97" spans="1:22" x14ac:dyDescent="0.3">
      <c r="A97" s="9">
        <f t="shared" si="40"/>
        <v>95</v>
      </c>
      <c r="B97" s="51">
        <f t="shared" si="29"/>
        <v>292.30769230769238</v>
      </c>
      <c r="C97" s="51">
        <f t="shared" si="30"/>
        <v>400.00000000000006</v>
      </c>
      <c r="D97" s="51">
        <f t="shared" si="31"/>
        <v>506.66666666666674</v>
      </c>
      <c r="E97" s="51">
        <f t="shared" si="32"/>
        <v>608.00000000000011</v>
      </c>
      <c r="F97" s="51">
        <f t="shared" si="33"/>
        <v>760.00000000000011</v>
      </c>
      <c r="G97" s="51">
        <f t="shared" si="34"/>
        <v>1013.3333333333335</v>
      </c>
      <c r="H97" s="51">
        <f t="shared" si="35"/>
        <v>1266.6666666666667</v>
      </c>
      <c r="I97" s="3">
        <f>SLOPE(Taulukkotiedot!$D$4:$D$10*A97,Laskenta!B97:H97)</f>
        <v>1888.2617941103867</v>
      </c>
      <c r="J97">
        <f t="shared" si="36"/>
        <v>139.44954128440367</v>
      </c>
      <c r="K97">
        <f t="shared" si="37"/>
        <v>214.08450704225353</v>
      </c>
      <c r="L97">
        <f t="shared" si="38"/>
        <v>323.404255319149</v>
      </c>
      <c r="M97">
        <f t="shared" si="39"/>
        <v>584.61538461538476</v>
      </c>
      <c r="N97" s="3">
        <f>SLOPE((Taulukkotiedot!$D$13:$D$16)*A97,Laskenta!J97:M97)</f>
        <v>1793.0854012494206</v>
      </c>
      <c r="P97">
        <f t="shared" si="27"/>
        <v>12.313886703589286</v>
      </c>
      <c r="Q97">
        <f t="shared" si="28"/>
        <v>11.776199433847699</v>
      </c>
      <c r="R97">
        <f>AVERAGE($I$2:$I97)</f>
        <v>633.02318175282687</v>
      </c>
      <c r="S97">
        <f>AVERAGE($N$2:$N97)</f>
        <v>600.86075646149391</v>
      </c>
      <c r="U97" s="7">
        <f>R97*Taulukkotiedot!$I$2+(1-Taulukkotiedot!$I$2)*Laskenta!S97+Laskenta!Q97</f>
        <v>628.71816854100814</v>
      </c>
      <c r="V97" s="7">
        <f>R97*Taulukkotiedot!$I$2+(1-Taulukkotiedot!$I$2)*Laskenta!S97+Laskenta!Q97+P97</f>
        <v>641.03205524459747</v>
      </c>
    </row>
    <row r="98" spans="1:22" x14ac:dyDescent="0.3">
      <c r="A98" s="9">
        <f t="shared" si="40"/>
        <v>96</v>
      </c>
      <c r="B98" s="51">
        <f t="shared" si="29"/>
        <v>289.26282051282055</v>
      </c>
      <c r="C98" s="51">
        <f t="shared" si="30"/>
        <v>395.83333333333331</v>
      </c>
      <c r="D98" s="51">
        <f t="shared" si="31"/>
        <v>501.38888888888897</v>
      </c>
      <c r="E98" s="51">
        <f t="shared" si="32"/>
        <v>601.66666666666674</v>
      </c>
      <c r="F98" s="51">
        <f t="shared" si="33"/>
        <v>752.08333333333337</v>
      </c>
      <c r="G98" s="51">
        <f t="shared" si="34"/>
        <v>1002.7777777777779</v>
      </c>
      <c r="H98" s="51">
        <f t="shared" si="35"/>
        <v>1253.4722222222224</v>
      </c>
      <c r="I98" s="3">
        <f>SLOPE(Taulukkotiedot!$D$4:$D$10*A98,Laskenta!B98:H98)</f>
        <v>1928.2238996699518</v>
      </c>
      <c r="J98">
        <f t="shared" si="36"/>
        <v>137.99694189602445</v>
      </c>
      <c r="K98">
        <f t="shared" si="37"/>
        <v>211.85446009389676</v>
      </c>
      <c r="L98">
        <f t="shared" si="38"/>
        <v>320.03546099290787</v>
      </c>
      <c r="M98">
        <f t="shared" si="39"/>
        <v>578.52564102564111</v>
      </c>
      <c r="N98" s="3">
        <f>SLOPE((Taulukkotiedot!$D$13:$D$16)*A98,Laskenta!J98:M98)</f>
        <v>1831.033247414367</v>
      </c>
      <c r="P98">
        <f t="shared" si="27"/>
        <v>12.313886703589286</v>
      </c>
      <c r="Q98">
        <f t="shared" si="28"/>
        <v>11.776199433847699</v>
      </c>
      <c r="R98">
        <f>AVERAGE($I$2:$I98)</f>
        <v>646.37576647362198</v>
      </c>
      <c r="S98">
        <f>AVERAGE($N$2:$N98)</f>
        <v>613.54294708987402</v>
      </c>
      <c r="U98" s="7">
        <f>R98*Taulukkotiedot!$I$2+(1-Taulukkotiedot!$I$2)*Laskenta!S98+Laskenta!Q98</f>
        <v>641.73555621559581</v>
      </c>
      <c r="V98" s="7">
        <f>R98*Taulukkotiedot!$I$2+(1-Taulukkotiedot!$I$2)*Laskenta!S98+Laskenta!Q98+P98</f>
        <v>654.04944291918514</v>
      </c>
    </row>
    <row r="99" spans="1:22" x14ac:dyDescent="0.3">
      <c r="A99" s="9">
        <f t="shared" si="40"/>
        <v>97</v>
      </c>
      <c r="B99" s="51">
        <f t="shared" si="29"/>
        <v>286.28072957969863</v>
      </c>
      <c r="C99" s="51">
        <f t="shared" si="30"/>
        <v>391.75257731958772</v>
      </c>
      <c r="D99" s="51">
        <f t="shared" si="31"/>
        <v>496.21993127147778</v>
      </c>
      <c r="E99" s="51">
        <f t="shared" si="32"/>
        <v>595.46391752577324</v>
      </c>
      <c r="F99" s="51">
        <f t="shared" si="33"/>
        <v>744.32989690721649</v>
      </c>
      <c r="G99" s="51">
        <f t="shared" si="34"/>
        <v>992.43986254295555</v>
      </c>
      <c r="H99" s="51">
        <f t="shared" si="35"/>
        <v>1240.5498281786945</v>
      </c>
      <c r="I99" s="3">
        <f>SLOPE(Taulukkotiedot!$D$4:$D$10*A99,Laskenta!B99:H99)</f>
        <v>1968.6044565966333</v>
      </c>
      <c r="J99">
        <f t="shared" si="36"/>
        <v>136.57429301049845</v>
      </c>
      <c r="K99">
        <f t="shared" si="37"/>
        <v>209.67039349499063</v>
      </c>
      <c r="L99">
        <f t="shared" si="38"/>
        <v>316.73612634349644</v>
      </c>
      <c r="M99">
        <f t="shared" si="39"/>
        <v>572.56145915939726</v>
      </c>
      <c r="N99" s="3">
        <f>SLOPE((Taulukkotiedot!$D$13:$D$16)*A99,Laskenta!J99:M99)</f>
        <v>1869.3784532250204</v>
      </c>
      <c r="P99">
        <f t="shared" si="27"/>
        <v>12.313886703589286</v>
      </c>
      <c r="Q99">
        <f t="shared" si="28"/>
        <v>11.776199433847699</v>
      </c>
      <c r="R99">
        <f>AVERAGE($I$2:$I99)</f>
        <v>659.86789596467315</v>
      </c>
      <c r="S99">
        <f>AVERAGE($N$2:$N99)</f>
        <v>626.35759511166123</v>
      </c>
      <c r="U99" s="7">
        <f>R99*Taulukkotiedot!$I$2+(1-Taulukkotiedot!$I$2)*Laskenta!S99+Laskenta!Q99</f>
        <v>654.888944972015</v>
      </c>
      <c r="V99" s="7">
        <f>R99*Taulukkotiedot!$I$2+(1-Taulukkotiedot!$I$2)*Laskenta!S99+Laskenta!Q99+P99</f>
        <v>667.20283167560433</v>
      </c>
    </row>
    <row r="100" spans="1:22" x14ac:dyDescent="0.3">
      <c r="A100" s="9">
        <f t="shared" si="40"/>
        <v>98</v>
      </c>
      <c r="B100" s="51">
        <f t="shared" si="29"/>
        <v>283.359497645212</v>
      </c>
      <c r="C100" s="51">
        <f t="shared" si="30"/>
        <v>387.75510204081633</v>
      </c>
      <c r="D100" s="51">
        <f t="shared" si="31"/>
        <v>491.15646258503409</v>
      </c>
      <c r="E100" s="51">
        <f t="shared" si="32"/>
        <v>589.38775510204096</v>
      </c>
      <c r="F100" s="51">
        <f t="shared" si="33"/>
        <v>736.73469387755097</v>
      </c>
      <c r="G100" s="51">
        <f t="shared" si="34"/>
        <v>982.31292517006818</v>
      </c>
      <c r="H100" s="51">
        <f t="shared" si="35"/>
        <v>1227.8911564625853</v>
      </c>
      <c r="I100" s="3">
        <f>SLOPE(Taulukkotiedot!$D$4:$D$10*A100,Laskenta!B100:H100)</f>
        <v>2009.4034648904315</v>
      </c>
      <c r="J100">
        <f t="shared" si="36"/>
        <v>135.18067777569743</v>
      </c>
      <c r="K100">
        <f t="shared" si="37"/>
        <v>207.53089968381724</v>
      </c>
      <c r="L100">
        <f t="shared" si="38"/>
        <v>313.50412505427715</v>
      </c>
      <c r="M100">
        <f t="shared" si="39"/>
        <v>566.718995290424</v>
      </c>
      <c r="N100" s="3">
        <f>SLOPE((Taulukkotiedot!$D$13:$D$16)*A100,Laskenta!J100:M100)</f>
        <v>1908.121018681378</v>
      </c>
      <c r="P100">
        <f t="shared" si="27"/>
        <v>12.313886703589286</v>
      </c>
      <c r="Q100">
        <f t="shared" si="28"/>
        <v>11.776199433847699</v>
      </c>
      <c r="R100">
        <f>AVERAGE($I$2:$I100)</f>
        <v>673.49956837806462</v>
      </c>
      <c r="S100">
        <f>AVERAGE($N$2:$N100)</f>
        <v>639.30470040024431</v>
      </c>
      <c r="U100" s="7">
        <f>R100*Taulukkotiedot!$I$2+(1-Taulukkotiedot!$I$2)*Laskenta!S100+Laskenta!Q100</f>
        <v>668.17833382300228</v>
      </c>
      <c r="V100" s="7">
        <f>R100*Taulukkotiedot!$I$2+(1-Taulukkotiedot!$I$2)*Laskenta!S100+Laskenta!Q100+P100</f>
        <v>680.49222052659161</v>
      </c>
    </row>
    <row r="101" spans="1:22" x14ac:dyDescent="0.3">
      <c r="A101" s="9">
        <f t="shared" si="40"/>
        <v>99</v>
      </c>
      <c r="B101" s="51">
        <f t="shared" si="29"/>
        <v>280.49728049728054</v>
      </c>
      <c r="C101" s="51">
        <f t="shared" si="30"/>
        <v>383.83838383838389</v>
      </c>
      <c r="D101" s="51">
        <f t="shared" si="31"/>
        <v>486.19528619528626</v>
      </c>
      <c r="E101" s="51">
        <f t="shared" si="32"/>
        <v>583.43434343434342</v>
      </c>
      <c r="F101" s="51">
        <f t="shared" si="33"/>
        <v>729.29292929292933</v>
      </c>
      <c r="G101" s="51">
        <f t="shared" si="34"/>
        <v>972.39057239057252</v>
      </c>
      <c r="H101" s="51">
        <f t="shared" si="35"/>
        <v>1215.4882154882157</v>
      </c>
      <c r="I101" s="3">
        <f>SLOPE(Taulukkotiedot!$D$4:$D$10*A101,Laskenta!B101:H101)</f>
        <v>2050.6209245513455</v>
      </c>
      <c r="J101">
        <f t="shared" si="36"/>
        <v>133.81521638402373</v>
      </c>
      <c r="K101">
        <f t="shared" si="37"/>
        <v>205.43462796983928</v>
      </c>
      <c r="L101">
        <f t="shared" si="38"/>
        <v>310.33741672039548</v>
      </c>
      <c r="M101">
        <f t="shared" si="39"/>
        <v>560.99456099456108</v>
      </c>
      <c r="N101" s="3">
        <f>SLOPE((Taulukkotiedot!$D$13:$D$16)*A101,Laskenta!J101:M101)</f>
        <v>1947.2609437834433</v>
      </c>
      <c r="P101">
        <f t="shared" si="27"/>
        <v>12.313886703589286</v>
      </c>
      <c r="Q101">
        <f t="shared" si="28"/>
        <v>11.776199433847699</v>
      </c>
      <c r="R101">
        <f>AVERAGE($I$2:$I101)</f>
        <v>687.27078193979742</v>
      </c>
      <c r="S101">
        <f>AVERAGE($N$2:$N101)</f>
        <v>652.38426283407625</v>
      </c>
      <c r="U101" s="7">
        <f>R101*Taulukkotiedot!$I$2+(1-Taulukkotiedot!$I$2)*Laskenta!S101+Laskenta!Q101</f>
        <v>681.60372182078459</v>
      </c>
      <c r="V101" s="7">
        <f>R101*Taulukkotiedot!$I$2+(1-Taulukkotiedot!$I$2)*Laskenta!S101+Laskenta!Q101+P101</f>
        <v>693.91760852437392</v>
      </c>
    </row>
    <row r="102" spans="1:22" x14ac:dyDescent="0.3">
      <c r="A102" s="9">
        <f t="shared" si="40"/>
        <v>100</v>
      </c>
      <c r="B102" s="51">
        <f t="shared" si="29"/>
        <v>277.69230769230774</v>
      </c>
      <c r="C102" s="51">
        <f t="shared" si="30"/>
        <v>380.00000000000006</v>
      </c>
      <c r="D102" s="51">
        <f t="shared" si="31"/>
        <v>481.33333333333337</v>
      </c>
      <c r="E102" s="51">
        <f t="shared" si="32"/>
        <v>577.60000000000014</v>
      </c>
      <c r="F102" s="51">
        <f t="shared" si="33"/>
        <v>722.00000000000011</v>
      </c>
      <c r="G102" s="51">
        <f t="shared" si="34"/>
        <v>962.66666666666674</v>
      </c>
      <c r="H102" s="51">
        <f t="shared" si="35"/>
        <v>1203.3333333333335</v>
      </c>
      <c r="I102" s="3">
        <f>SLOPE(Taulukkotiedot!$D$4:$D$10*A102,Laskenta!B102:H102)</f>
        <v>2092.2568355793751</v>
      </c>
      <c r="J102">
        <f t="shared" si="36"/>
        <v>132.47706422018351</v>
      </c>
      <c r="K102">
        <f t="shared" si="37"/>
        <v>203.38028169014086</v>
      </c>
      <c r="L102">
        <f t="shared" si="38"/>
        <v>307.23404255319156</v>
      </c>
      <c r="M102">
        <f t="shared" si="39"/>
        <v>555.38461538461547</v>
      </c>
      <c r="N102" s="3">
        <f>SLOPE((Taulukkotiedot!$D$13:$D$16)*A102,Laskenta!J102:M102)</f>
        <v>1986.7982285312141</v>
      </c>
      <c r="P102">
        <f t="shared" si="27"/>
        <v>12.313886703589286</v>
      </c>
      <c r="Q102">
        <f t="shared" si="28"/>
        <v>11.776199433847699</v>
      </c>
      <c r="R102">
        <f>AVERAGE($I$2:$I102)</f>
        <v>701.18153494612989</v>
      </c>
      <c r="S102">
        <f>AVERAGE($N$2:$N102)</f>
        <v>665.59628229642419</v>
      </c>
      <c r="U102" s="7">
        <f>R102*Taulukkotiedot!$I$2+(1-Taulukkotiedot!$I$2)*Laskenta!S102+Laskenta!Q102</f>
        <v>695.16510805512485</v>
      </c>
      <c r="V102" s="7">
        <f>R102*Taulukkotiedot!$I$2+(1-Taulukkotiedot!$I$2)*Laskenta!S102+Laskenta!Q102+P102</f>
        <v>707.47899475871418</v>
      </c>
    </row>
  </sheetData>
  <sheetProtection algorithmName="SHA-512" hashValue="FXYn9dkdbkxClVxqdvetvYwAX3umkORM6wLJNRpia/9YaTZZ8yDwTYWx+UXWzyz/8aGqNWiS8185CI+t1rfdbQ==" saltValue="u52R7SUKoa02ipkzY+KuKA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3" sqref="E3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55</vt:i4>
      </vt:variant>
    </vt:vector>
  </HeadingPairs>
  <TitlesOfParts>
    <vt:vector size="59" baseType="lpstr">
      <vt:lpstr>Lähtötiedot</vt:lpstr>
      <vt:lpstr>Taulukkotiedot</vt:lpstr>
      <vt:lpstr>Laskenta</vt:lpstr>
      <vt:lpstr>Taul3</vt:lpstr>
      <vt:lpstr>cosfii</vt:lpstr>
      <vt:lpstr>hinta120</vt:lpstr>
      <vt:lpstr>hinta150</vt:lpstr>
      <vt:lpstr>hinta185</vt:lpstr>
      <vt:lpstr>hinta240</vt:lpstr>
      <vt:lpstr>hinta300</vt:lpstr>
      <vt:lpstr>hinta70</vt:lpstr>
      <vt:lpstr>hinta95</vt:lpstr>
      <vt:lpstr>jmrajakustannus</vt:lpstr>
      <vt:lpstr>jän.ale</vt:lpstr>
      <vt:lpstr>kuorma120</vt:lpstr>
      <vt:lpstr>kuorma150</vt:lpstr>
      <vt:lpstr>kuorma185</vt:lpstr>
      <vt:lpstr>kuorma240</vt:lpstr>
      <vt:lpstr>kuorma300</vt:lpstr>
      <vt:lpstr>kuorma70</vt:lpstr>
      <vt:lpstr>kuorma95</vt:lpstr>
      <vt:lpstr>lähdonpituus</vt:lpstr>
      <vt:lpstr>maxkuorm.i1</vt:lpstr>
      <vt:lpstr>maxkuorm.i2</vt:lpstr>
      <vt:lpstr>maxkuorm.i3</vt:lpstr>
      <vt:lpstr>maxkuorm.i4</vt:lpstr>
      <vt:lpstr>maxkuorm.k1</vt:lpstr>
      <vt:lpstr>maxkuorm.k2</vt:lpstr>
      <vt:lpstr>maxkuorm.k3</vt:lpstr>
      <vt:lpstr>maxkuorm.k4</vt:lpstr>
      <vt:lpstr>maxkuorm.k5</vt:lpstr>
      <vt:lpstr>maxkuorm.k6</vt:lpstr>
      <vt:lpstr>maxkuormk7</vt:lpstr>
      <vt:lpstr>mk70.kuorma</vt:lpstr>
      <vt:lpstr>pmrajakust</vt:lpstr>
      <vt:lpstr>res.120</vt:lpstr>
      <vt:lpstr>res.150</vt:lpstr>
      <vt:lpstr>res.185</vt:lpstr>
      <vt:lpstr>res.240</vt:lpstr>
      <vt:lpstr>res.300</vt:lpstr>
      <vt:lpstr>res.70</vt:lpstr>
      <vt:lpstr>res.95</vt:lpstr>
      <vt:lpstr>res.Al</vt:lpstr>
      <vt:lpstr>res.kaap.120</vt:lpstr>
      <vt:lpstr>res.kaap.185</vt:lpstr>
      <vt:lpstr>res.kaap.300</vt:lpstr>
      <vt:lpstr>res.kaap.70</vt:lpstr>
      <vt:lpstr>res.pig</vt:lpstr>
      <vt:lpstr>res.rav</vt:lpstr>
      <vt:lpstr>res.spar</vt:lpstr>
      <vt:lpstr>vaihejännite</vt:lpstr>
      <vt:lpstr>yksikköhinta.120kaap</vt:lpstr>
      <vt:lpstr>yksikköhinta.185kaap</vt:lpstr>
      <vt:lpstr>yksikköhinta.300kaap</vt:lpstr>
      <vt:lpstr>yksikköhinta.70kaap</vt:lpstr>
      <vt:lpstr>yksikköhinta.Al</vt:lpstr>
      <vt:lpstr>yksikköhinta.pig</vt:lpstr>
      <vt:lpstr>yksikköhinta.rav</vt:lpstr>
      <vt:lpstr>yksikköhinta.spar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lsimola</dc:creator>
  <cp:lastModifiedBy>Simola Lasse</cp:lastModifiedBy>
  <cp:lastPrinted>2016-01-05T08:53:37Z</cp:lastPrinted>
  <dcterms:created xsi:type="dcterms:W3CDTF">2010-09-30T10:01:27Z</dcterms:created>
  <dcterms:modified xsi:type="dcterms:W3CDTF">2016-01-05T12:55:56Z</dcterms:modified>
</cp:coreProperties>
</file>