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60113\AppData\Local\Microsoft\Windows\INetCache\Content.Outlook\FMMQKMWA\"/>
    </mc:Choice>
  </mc:AlternateContent>
  <xr:revisionPtr revIDLastSave="0" documentId="13_ncr:1_{0C06DD16-4441-4D29-A1B2-6792B962B9EA}" xr6:coauthVersionLast="46" xr6:coauthVersionMax="46" xr10:uidLastSave="{00000000-0000-0000-0000-000000000000}"/>
  <bookViews>
    <workbookView xWindow="3855" yWindow="3855" windowWidth="23940" windowHeight="15600" tabRatio="797" firstSheet="2" activeTab="6" xr2:uid="{00000000-000D-0000-FFFF-FFFF00000000}"/>
  </bookViews>
  <sheets>
    <sheet name="Tuloslaskelma" sheetId="12" r:id="rId1"/>
    <sheet name="Vastaavaa" sheetId="14" r:id="rId2"/>
    <sheet name="Vastattavaa" sheetId="15" r:id="rId3"/>
    <sheet name="Parametrit" sheetId="9" r:id="rId4"/>
    <sheet name="Laatukannustin" sheetId="7" r:id="rId5"/>
    <sheet name="Tehostamiskannustin" sheetId="11" r:id="rId6"/>
    <sheet name="Kohtuullinen tuotto" sheetId="10" r:id="rId7"/>
    <sheet name="Toimitusvarmuuskannustin" sheetId="16" r:id="rId8"/>
    <sheet name="Innovaatiokannustin" sheetId="8" r:id="rId9"/>
    <sheet name="Investointikannustin" sheetId="6" r:id="rId10"/>
  </sheets>
  <externalReferences>
    <externalReference r:id="rId11"/>
  </externalReferences>
  <definedNames>
    <definedName name="AloittavaTaseTarkistus" localSheetId="0">#REF!</definedName>
    <definedName name="AloittavaTaseTarkistus" localSheetId="1">#REF!</definedName>
    <definedName name="AloittavaTaseTarkistus" localSheetId="2">#REF!</definedName>
    <definedName name="AloittavaTaseTarkistus">#REF!</definedName>
    <definedName name="EliminointiTarkistus" localSheetId="0">#REF!</definedName>
    <definedName name="EliminointiTarkistus" localSheetId="1">#REF!</definedName>
    <definedName name="EliminointiTarkistus" localSheetId="2">#REF!</definedName>
    <definedName name="EliminointiTarkistus">#REF!</definedName>
    <definedName name="HenkilostoTarkistus" localSheetId="0">#REF!</definedName>
    <definedName name="HenkilostoTarkistus" localSheetId="1">#REF!</definedName>
    <definedName name="HenkilostoTarkistus" localSheetId="2">#REF!</definedName>
    <definedName name="HenkilostoTarkistus">#REF!</definedName>
    <definedName name="InvestointiTarkistus" localSheetId="0">#REF!</definedName>
    <definedName name="InvestointiTarkistus" localSheetId="1">#REF!</definedName>
    <definedName name="InvestointiTarkistus" localSheetId="2">#REF!</definedName>
    <definedName name="InvestointiTarkistus">#REF!</definedName>
    <definedName name="kieliversio" localSheetId="0">#REF!</definedName>
    <definedName name="kieliversio" localSheetId="1">#REF!</definedName>
    <definedName name="kieliversio" localSheetId="2">#REF!</definedName>
    <definedName name="kieliversio">#REF!</definedName>
    <definedName name="KorvausInvestointiTarkistus" localSheetId="0">#REF!</definedName>
    <definedName name="KorvausInvestointiTarkistus" localSheetId="1">#REF!</definedName>
    <definedName name="KorvausInvestointiTarkistus" localSheetId="2">#REF!</definedName>
    <definedName name="KorvausInvestointiTarkistus">#REF!</definedName>
    <definedName name="LiittymisMaksuTuloutusTarkistus" localSheetId="0">#REF!</definedName>
    <definedName name="LiittymisMaksuTuloutusTarkistus" localSheetId="1">#REF!</definedName>
    <definedName name="LiittymisMaksuTuloutusTarkistus" localSheetId="2">#REF!</definedName>
    <definedName name="LiittymisMaksuTuloutusTarkistus">#REF!</definedName>
    <definedName name="MaakaasuInvestointiTarkistus" localSheetId="0">#REF!</definedName>
    <definedName name="MaakaasuInvestointiTarkistus" localSheetId="1">#REF!</definedName>
    <definedName name="MaakaasuInvestointiTarkistus" localSheetId="2">#REF!</definedName>
    <definedName name="MaakaasuInvestointiTarkistus">#REF!</definedName>
    <definedName name="MaakaasuLeasingTarkistus" localSheetId="0">#REF!</definedName>
    <definedName name="MaakaasuLeasingTarkistus" localSheetId="1">#REF!</definedName>
    <definedName name="MaakaasuLeasingTarkistus" localSheetId="2">#REF!</definedName>
    <definedName name="MaakaasuLeasingTarkistus">#REF!</definedName>
    <definedName name="MaakaasuMaksutTarkistus">#REF!</definedName>
    <definedName name="MaakaasuOsingotTarkistus">#REF!</definedName>
    <definedName name="MaakaasuVerkonarvoTarkistus">#REF!</definedName>
    <definedName name="SahkonostotTarkistus">#REF!</definedName>
    <definedName name="sallittupoikkeama">#REF!</definedName>
    <definedName name="suojaussalasana">#REF!</definedName>
    <definedName name="SuurinVerkkoInvestointiTarkistus">#REF!</definedName>
    <definedName name="TaseenloppusummaTarkistus">#REF!</definedName>
    <definedName name="TuloslaskelmaOsuudetTarkistus">#REF!</definedName>
    <definedName name="TuloslaskelmaTaseTarkistus">#REF!</definedName>
    <definedName name="TulosTarkistus">#REF!</definedName>
    <definedName name="Tulostatarkistusraportti">#REF!</definedName>
    <definedName name="_xlnm.Print_Area" localSheetId="4">Laatukannustin!$B$1:$I$42</definedName>
    <definedName name="_xlnm.Print_Area" localSheetId="0">Tuloslaskelma!$A$1:$I$78</definedName>
    <definedName name="_xlnm.Print_Area" localSheetId="1">Vastaavaa!$A$1:$I$36</definedName>
    <definedName name="_xlnm.Print_Area" localSheetId="2">Vastattavaa!$A$1:$I$49</definedName>
    <definedName name="TulotKulutTarkistus" localSheetId="0">#REF!</definedName>
    <definedName name="TulotKulutTarkistus" localSheetId="1">#REF!</definedName>
    <definedName name="TulotKulutTarkistus" localSheetId="2">#REF!</definedName>
    <definedName name="TulotKulutTarkistus">#REF!</definedName>
    <definedName name="valuutta">[1]Settings!$B$33</definedName>
    <definedName name="Verkko_havioTarkistus" localSheetId="0">#REF!</definedName>
    <definedName name="Verkko_havioTarkistus" localSheetId="1">#REF!</definedName>
    <definedName name="Verkko_havioTarkistus" localSheetId="2">#REF!</definedName>
    <definedName name="Verkko_havioTarkistus">#REF!</definedName>
    <definedName name="Verkko_kvmaksuTarkistus" localSheetId="0">#REF!</definedName>
    <definedName name="Verkko_kvmaksuTarkistus" localSheetId="1">#REF!</definedName>
    <definedName name="Verkko_kvmaksuTarkistus" localSheetId="2">#REF!</definedName>
    <definedName name="Verkko_kvmaksuTarkistus">#REF!</definedName>
    <definedName name="Verkko_LeasingTarkistus" localSheetId="0">#REF!</definedName>
    <definedName name="Verkko_LeasingTarkistus" localSheetId="1">#REF!</definedName>
    <definedName name="Verkko_LeasingTarkistus" localSheetId="2">#REF!</definedName>
    <definedName name="Verkko_LeasingTarkistus">#REF!</definedName>
    <definedName name="Verkko_LisayksetJaVahennyksetTarkistus">#REF!</definedName>
    <definedName name="Verkko_SIPOTarkistus">#REF!</definedName>
    <definedName name="VerkonarvoTarkistus">#REF!</definedName>
    <definedName name="vuosiversio">#REF!</definedName>
    <definedName name="Z_8386F830_B269_4ACC_A789_9E42C0FB51D1_.wvu.PrintArea" localSheetId="4" hidden="1">Laatukannustin!$B$1:$I$42</definedName>
    <definedName name="Z_8386F830_B269_4ACC_A789_9E42C0FB51D1_.wvu.PrintArea" localSheetId="0" hidden="1">Tuloslaskelma!$A$1:$I$78</definedName>
    <definedName name="Z_8386F830_B269_4ACC_A789_9E42C0FB51D1_.wvu.PrintArea" localSheetId="1" hidden="1">Vastaavaa!$A$1:$I$36</definedName>
    <definedName name="Z_8386F830_B269_4ACC_A789_9E42C0FB51D1_.wvu.PrintArea" localSheetId="2" hidden="1">Vastattavaa!$A$1:$I$49</definedName>
    <definedName name="Z_8386F830_B269_4ACC_A789_9E42C0FB51D1_.wvu.Rows" localSheetId="0" hidden="1">Tuloslaskelma!#REF!</definedName>
    <definedName name="Z_C44CE6ED_446D_4E43_AC42_1BADDBA87353_.wvu.PrintArea" localSheetId="4" hidden="1">Laatukannustin!$B$1:$I$42</definedName>
    <definedName name="Z_C44CE6ED_446D_4E43_AC42_1BADDBA87353_.wvu.PrintArea" localSheetId="0" hidden="1">Tuloslaskelma!$A$1:$I$78</definedName>
    <definedName name="Z_C44CE6ED_446D_4E43_AC42_1BADDBA87353_.wvu.PrintArea" localSheetId="1" hidden="1">Vastaavaa!$A$1:$I$36</definedName>
    <definedName name="Z_C44CE6ED_446D_4E43_AC42_1BADDBA87353_.wvu.PrintArea" localSheetId="2" hidden="1">Vastattavaa!$A$1:$I$49</definedName>
    <definedName name="Z_C44CE6ED_446D_4E43_AC42_1BADDBA87353_.wvu.Rows" localSheetId="0" hidden="1">Tuloslaskelma!#REF!</definedName>
  </definedNames>
  <calcPr calcId="191029"/>
  <customWorkbookViews>
    <customWorkbookView name="Matti Ilonen - Oma näkymä" guid="{C44CE6ED-446D-4E43-AC42-1BADDBA87353}" mergeInterval="0" personalView="1" maximized="1" xWindow="1" yWindow="1" windowWidth="1920" windowHeight="970" tabRatio="797" activeSheetId="11"/>
    <customWorkbookView name="Tkarppinen - Oma näkymä" guid="{8386F830-B269-4ACC-A789-9E42C0FB51D1}" mergeInterval="0" personalView="1" maximized="1" xWindow="1" yWindow="1" windowWidth="1447" windowHeight="851" tabRatio="797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" i="10" l="1"/>
  <c r="D71" i="10"/>
  <c r="C71" i="10"/>
  <c r="K41" i="7" l="1"/>
  <c r="L41" i="7"/>
  <c r="M41" i="7"/>
  <c r="N41" i="7"/>
  <c r="K26" i="7"/>
  <c r="L26" i="7"/>
  <c r="L8" i="7" s="1"/>
  <c r="M26" i="7"/>
  <c r="N26" i="7"/>
  <c r="N8" i="7" s="1"/>
  <c r="K8" i="7" l="1"/>
  <c r="M8" i="7"/>
  <c r="C41" i="7" l="1"/>
  <c r="C26" i="7"/>
  <c r="D41" i="7"/>
  <c r="E41" i="7"/>
  <c r="F41" i="7"/>
  <c r="G41" i="7"/>
  <c r="H41" i="7"/>
  <c r="I41" i="7"/>
  <c r="J41" i="7"/>
  <c r="E26" i="7"/>
  <c r="F26" i="7"/>
  <c r="F8" i="7" s="1"/>
  <c r="G26" i="7"/>
  <c r="G8" i="7" s="1"/>
  <c r="H26" i="7"/>
  <c r="I26" i="7"/>
  <c r="J26" i="7"/>
  <c r="D26" i="7"/>
  <c r="D8" i="7" s="1"/>
  <c r="J8" i="7" l="1"/>
  <c r="I8" i="7"/>
  <c r="E8" i="7"/>
  <c r="C8" i="7"/>
  <c r="H8" i="7"/>
  <c r="G19" i="15"/>
  <c r="H19" i="15"/>
  <c r="I19" i="15"/>
  <c r="F19" i="15"/>
  <c r="F42" i="15" l="1"/>
  <c r="F36" i="15"/>
  <c r="F30" i="15"/>
  <c r="F26" i="15"/>
  <c r="F24" i="15" l="1"/>
  <c r="F25" i="15"/>
  <c r="C29" i="9" l="1"/>
  <c r="D29" i="9"/>
  <c r="E29" i="9"/>
  <c r="B29" i="9"/>
  <c r="C62" i="10"/>
  <c r="D62" i="10"/>
  <c r="E62" i="10"/>
  <c r="B62" i="10"/>
  <c r="F37" i="12"/>
  <c r="F36" i="12" s="1"/>
  <c r="C38" i="10"/>
  <c r="D38" i="10"/>
  <c r="E38" i="10"/>
  <c r="B38" i="10"/>
  <c r="B36" i="10"/>
  <c r="C31" i="10"/>
  <c r="D31" i="10"/>
  <c r="E31" i="10"/>
  <c r="B31" i="10"/>
  <c r="C28" i="10"/>
  <c r="D28" i="10"/>
  <c r="E28" i="10"/>
  <c r="B28" i="10"/>
  <c r="G26" i="15"/>
  <c r="H26" i="15"/>
  <c r="I26" i="15"/>
  <c r="G11" i="15"/>
  <c r="H11" i="15"/>
  <c r="I11" i="15"/>
  <c r="F11" i="15"/>
  <c r="F72" i="12" l="1"/>
  <c r="F69" i="12"/>
  <c r="F64" i="12"/>
  <c r="F63" i="12" s="1"/>
  <c r="I72" i="12"/>
  <c r="H72" i="12"/>
  <c r="G72" i="12"/>
  <c r="I69" i="12"/>
  <c r="H69" i="12"/>
  <c r="G69" i="12"/>
  <c r="F54" i="12"/>
  <c r="G54" i="12"/>
  <c r="H54" i="12"/>
  <c r="I54" i="12"/>
  <c r="G16" i="12"/>
  <c r="F16" i="12"/>
  <c r="H16" i="12"/>
  <c r="I16" i="12"/>
  <c r="G45" i="12"/>
  <c r="H45" i="12"/>
  <c r="I45" i="12"/>
  <c r="F45" i="12"/>
  <c r="I10" i="14"/>
  <c r="H10" i="14"/>
  <c r="G10" i="14"/>
  <c r="F10" i="14"/>
  <c r="I17" i="14"/>
  <c r="H17" i="14"/>
  <c r="G17" i="14"/>
  <c r="F17" i="14"/>
  <c r="B22" i="9"/>
  <c r="C22" i="9"/>
  <c r="D22" i="9"/>
  <c r="K15" i="11" l="1"/>
  <c r="K16" i="11" s="1"/>
  <c r="K17" i="11" s="1"/>
  <c r="K18" i="11" s="1"/>
  <c r="J15" i="11"/>
  <c r="J16" i="11" s="1"/>
  <c r="J17" i="11" s="1"/>
  <c r="J18" i="11" s="1"/>
  <c r="I15" i="11"/>
  <c r="I16" i="11" s="1"/>
  <c r="I17" i="11" s="1"/>
  <c r="I18" i="11" s="1"/>
  <c r="H15" i="11"/>
  <c r="O59" i="11" s="1"/>
  <c r="G15" i="11"/>
  <c r="N59" i="11" s="1"/>
  <c r="F15" i="11"/>
  <c r="L59" i="11" s="1"/>
  <c r="E15" i="11"/>
  <c r="K59" i="11" s="1"/>
  <c r="D15" i="11"/>
  <c r="D16" i="11" s="1"/>
  <c r="D17" i="11" s="1"/>
  <c r="D18" i="11" s="1"/>
  <c r="E16" i="11" l="1"/>
  <c r="F16" i="11"/>
  <c r="G16" i="11"/>
  <c r="H16" i="11"/>
  <c r="N60" i="11" l="1"/>
  <c r="G17" i="11"/>
  <c r="L60" i="11"/>
  <c r="F17" i="11"/>
  <c r="O60" i="11"/>
  <c r="H17" i="11"/>
  <c r="K60" i="11"/>
  <c r="E17" i="11"/>
  <c r="K61" i="11" l="1"/>
  <c r="E18" i="11"/>
  <c r="K62" i="11" s="1"/>
  <c r="N61" i="11"/>
  <c r="G18" i="11"/>
  <c r="N62" i="11" s="1"/>
  <c r="L61" i="11"/>
  <c r="F18" i="11"/>
  <c r="L62" i="11" s="1"/>
  <c r="O61" i="11"/>
  <c r="H18" i="11"/>
  <c r="O62" i="11" s="1"/>
  <c r="I25" i="9" l="1"/>
  <c r="B23" i="11" s="1"/>
  <c r="I26" i="9"/>
  <c r="I24" i="9"/>
  <c r="L5" i="11" l="1"/>
  <c r="B47" i="11" l="1"/>
  <c r="I23" i="9" l="1"/>
  <c r="I22" i="9"/>
  <c r="C50" i="11"/>
  <c r="D50" i="11"/>
  <c r="E50" i="11"/>
  <c r="B50" i="11"/>
  <c r="F9" i="8" l="1"/>
  <c r="C9" i="8"/>
  <c r="D9" i="8" l="1"/>
  <c r="E9" i="8"/>
  <c r="C39" i="11" l="1"/>
  <c r="D39" i="11"/>
  <c r="E39" i="11"/>
  <c r="C41" i="11"/>
  <c r="D41" i="11"/>
  <c r="E41" i="11"/>
  <c r="C42" i="11"/>
  <c r="D42" i="11"/>
  <c r="E42" i="11"/>
  <c r="C43" i="11"/>
  <c r="D43" i="11"/>
  <c r="E43" i="11"/>
  <c r="C44" i="11"/>
  <c r="D44" i="11"/>
  <c r="E44" i="11"/>
  <c r="C47" i="11"/>
  <c r="D47" i="11"/>
  <c r="E47" i="11"/>
  <c r="C48" i="11"/>
  <c r="D48" i="11"/>
  <c r="E48" i="11"/>
  <c r="F23" i="12"/>
  <c r="B48" i="11"/>
  <c r="B44" i="11"/>
  <c r="B43" i="11"/>
  <c r="B42" i="11"/>
  <c r="B41" i="11"/>
  <c r="B39" i="11"/>
  <c r="B28" i="9"/>
  <c r="B58" i="10"/>
  <c r="B57" i="10"/>
  <c r="F22" i="12" l="1"/>
  <c r="B38" i="11"/>
  <c r="I9" i="9"/>
  <c r="C61" i="10" l="1"/>
  <c r="D61" i="10"/>
  <c r="E61" i="10"/>
  <c r="C60" i="10"/>
  <c r="D60" i="10"/>
  <c r="E60" i="10"/>
  <c r="B61" i="10"/>
  <c r="B60" i="10"/>
  <c r="B41" i="10" l="1"/>
  <c r="B42" i="10" l="1"/>
  <c r="C43" i="10"/>
  <c r="D43" i="10"/>
  <c r="E43" i="10"/>
  <c r="B43" i="10"/>
  <c r="G18" i="15" l="1"/>
  <c r="F18" i="15"/>
  <c r="C45" i="10" l="1"/>
  <c r="D45" i="10"/>
  <c r="E45" i="10"/>
  <c r="B45" i="10"/>
  <c r="C29" i="10"/>
  <c r="D29" i="10"/>
  <c r="E29" i="10"/>
  <c r="B29" i="10"/>
  <c r="H18" i="15"/>
  <c r="I18" i="15"/>
  <c r="C9" i="16" l="1"/>
  <c r="C82" i="10" s="1"/>
  <c r="D9" i="16"/>
  <c r="D82" i="10" s="1"/>
  <c r="E9" i="16"/>
  <c r="E82" i="10" s="1"/>
  <c r="I8" i="9"/>
  <c r="I10" i="9"/>
  <c r="I11" i="9"/>
  <c r="I12" i="9"/>
  <c r="I13" i="9"/>
  <c r="I14" i="9"/>
  <c r="I15" i="9"/>
  <c r="I16" i="9"/>
  <c r="I17" i="9"/>
  <c r="I18" i="9"/>
  <c r="I19" i="9"/>
  <c r="I20" i="9"/>
  <c r="I21" i="9"/>
  <c r="I7" i="9"/>
  <c r="F9" i="14"/>
  <c r="B44" i="10"/>
  <c r="K10" i="7" l="1"/>
  <c r="B71" i="10" s="1"/>
  <c r="L10" i="7"/>
  <c r="N10" i="7"/>
  <c r="M10" i="7"/>
  <c r="M51" i="7"/>
  <c r="D72" i="10" s="1"/>
  <c r="L51" i="7"/>
  <c r="C72" i="10" s="1"/>
  <c r="K51" i="7"/>
  <c r="B72" i="10" s="1"/>
  <c r="N51" i="7"/>
  <c r="E72" i="10" s="1"/>
  <c r="C10" i="7"/>
  <c r="D56" i="11"/>
  <c r="M15" i="11"/>
  <c r="M16" i="11"/>
  <c r="M17" i="11"/>
  <c r="M18" i="11"/>
  <c r="B56" i="11"/>
  <c r="C56" i="11"/>
  <c r="E56" i="11"/>
  <c r="F56" i="11"/>
  <c r="H63" i="11" l="1"/>
  <c r="H67" i="11"/>
  <c r="H71" i="11"/>
  <c r="H75" i="11"/>
  <c r="H79" i="11"/>
  <c r="H83" i="11"/>
  <c r="H87" i="11"/>
  <c r="H91" i="11"/>
  <c r="H95" i="11"/>
  <c r="H99" i="11"/>
  <c r="H103" i="11"/>
  <c r="H107" i="11"/>
  <c r="H111" i="11"/>
  <c r="H115" i="11"/>
  <c r="H119" i="11"/>
  <c r="H123" i="11"/>
  <c r="H127" i="11"/>
  <c r="H131" i="11"/>
  <c r="H135" i="11"/>
  <c r="H139" i="11"/>
  <c r="H143" i="11"/>
  <c r="H147" i="11"/>
  <c r="H151" i="11"/>
  <c r="H155" i="11"/>
  <c r="H159" i="11"/>
  <c r="H163" i="11"/>
  <c r="H167" i="11"/>
  <c r="H171" i="11"/>
  <c r="H175" i="11"/>
  <c r="H179" i="11"/>
  <c r="H183" i="11"/>
  <c r="H187" i="11"/>
  <c r="H191" i="11"/>
  <c r="H195" i="11"/>
  <c r="H199" i="11"/>
  <c r="H203" i="11"/>
  <c r="H207" i="11"/>
  <c r="H211" i="11"/>
  <c r="H215" i="11"/>
  <c r="H219" i="11"/>
  <c r="H223" i="11"/>
  <c r="H227" i="11"/>
  <c r="H231" i="11"/>
  <c r="H235" i="11"/>
  <c r="H239" i="11"/>
  <c r="H243" i="11"/>
  <c r="H247" i="11"/>
  <c r="H251" i="11"/>
  <c r="H255" i="11"/>
  <c r="H259" i="11"/>
  <c r="H263" i="11"/>
  <c r="H267" i="11"/>
  <c r="H271" i="11"/>
  <c r="H275" i="11"/>
  <c r="H279" i="11"/>
  <c r="H283" i="11"/>
  <c r="H287" i="11"/>
  <c r="H291" i="11"/>
  <c r="H295" i="11"/>
  <c r="H299" i="11"/>
  <c r="H303" i="11"/>
  <c r="H307" i="11"/>
  <c r="H311" i="11"/>
  <c r="H315" i="11"/>
  <c r="H319" i="11"/>
  <c r="H323" i="11"/>
  <c r="H327" i="11"/>
  <c r="H331" i="11"/>
  <c r="H335" i="11"/>
  <c r="H339" i="11"/>
  <c r="H343" i="11"/>
  <c r="H347" i="11"/>
  <c r="H351" i="11"/>
  <c r="H355" i="11"/>
  <c r="H359" i="11"/>
  <c r="H363" i="11"/>
  <c r="H367" i="11"/>
  <c r="H371" i="11"/>
  <c r="H375" i="11"/>
  <c r="H379" i="11"/>
  <c r="H383" i="11"/>
  <c r="H387" i="11"/>
  <c r="H391" i="11"/>
  <c r="H395" i="11"/>
  <c r="H399" i="11"/>
  <c r="H403" i="11"/>
  <c r="H407" i="11"/>
  <c r="H411" i="11"/>
  <c r="H415" i="11"/>
  <c r="H419" i="11"/>
  <c r="H423" i="11"/>
  <c r="H427" i="11"/>
  <c r="H431" i="11"/>
  <c r="H435" i="11"/>
  <c r="H439" i="11"/>
  <c r="H443" i="11"/>
  <c r="H447" i="11"/>
  <c r="H451" i="11"/>
  <c r="H455" i="11"/>
  <c r="H459" i="11"/>
  <c r="H463" i="11"/>
  <c r="H467" i="11"/>
  <c r="H471" i="11"/>
  <c r="H475" i="11"/>
  <c r="H479" i="11"/>
  <c r="H483" i="11"/>
  <c r="H487" i="11"/>
  <c r="H491" i="11"/>
  <c r="H495" i="11"/>
  <c r="H499" i="11"/>
  <c r="H503" i="11"/>
  <c r="H507" i="11"/>
  <c r="H511" i="11"/>
  <c r="H515" i="11"/>
  <c r="H519" i="11"/>
  <c r="H523" i="11"/>
  <c r="H527" i="11"/>
  <c r="H531" i="11"/>
  <c r="H535" i="11"/>
  <c r="H539" i="11"/>
  <c r="H543" i="11"/>
  <c r="H547" i="11"/>
  <c r="H551" i="11"/>
  <c r="H555" i="11"/>
  <c r="H559" i="11"/>
  <c r="H563" i="11"/>
  <c r="H567" i="11"/>
  <c r="H571" i="11"/>
  <c r="H575" i="11"/>
  <c r="H579" i="11"/>
  <c r="H583" i="11"/>
  <c r="H587" i="11"/>
  <c r="H591" i="11"/>
  <c r="H595" i="11"/>
  <c r="H599" i="11"/>
  <c r="H603" i="11"/>
  <c r="H607" i="11"/>
  <c r="H611" i="11"/>
  <c r="H60" i="11"/>
  <c r="H64" i="11"/>
  <c r="H68" i="11"/>
  <c r="H72" i="11"/>
  <c r="H76" i="11"/>
  <c r="H80" i="11"/>
  <c r="H84" i="11"/>
  <c r="H88" i="11"/>
  <c r="H92" i="11"/>
  <c r="H96" i="11"/>
  <c r="H100" i="11"/>
  <c r="H104" i="11"/>
  <c r="H108" i="11"/>
  <c r="H112" i="11"/>
  <c r="H116" i="11"/>
  <c r="H120" i="11"/>
  <c r="H124" i="11"/>
  <c r="H128" i="11"/>
  <c r="H132" i="11"/>
  <c r="H136" i="11"/>
  <c r="H140" i="11"/>
  <c r="H144" i="11"/>
  <c r="H148" i="11"/>
  <c r="H152" i="11"/>
  <c r="H156" i="11"/>
  <c r="H160" i="11"/>
  <c r="H164" i="11"/>
  <c r="H168" i="11"/>
  <c r="H172" i="11"/>
  <c r="H176" i="11"/>
  <c r="H180" i="11"/>
  <c r="H184" i="11"/>
  <c r="H188" i="11"/>
  <c r="H192" i="11"/>
  <c r="H196" i="11"/>
  <c r="H200" i="11"/>
  <c r="H204" i="11"/>
  <c r="H208" i="11"/>
  <c r="H212" i="11"/>
  <c r="H216" i="11"/>
  <c r="H220" i="11"/>
  <c r="H224" i="11"/>
  <c r="H228" i="11"/>
  <c r="H232" i="11"/>
  <c r="H236" i="11"/>
  <c r="H240" i="11"/>
  <c r="H244" i="11"/>
  <c r="H248" i="11"/>
  <c r="H252" i="11"/>
  <c r="H256" i="11"/>
  <c r="H260" i="11"/>
  <c r="H264" i="11"/>
  <c r="H268" i="11"/>
  <c r="H272" i="11"/>
  <c r="H276" i="11"/>
  <c r="H280" i="11"/>
  <c r="H284" i="11"/>
  <c r="H288" i="11"/>
  <c r="H292" i="11"/>
  <c r="H296" i="11"/>
  <c r="H300" i="11"/>
  <c r="H304" i="11"/>
  <c r="H308" i="11"/>
  <c r="H312" i="11"/>
  <c r="H316" i="11"/>
  <c r="H320" i="11"/>
  <c r="H324" i="11"/>
  <c r="H328" i="11"/>
  <c r="H332" i="11"/>
  <c r="H336" i="11"/>
  <c r="H340" i="11"/>
  <c r="H344" i="11"/>
  <c r="H348" i="11"/>
  <c r="H352" i="11"/>
  <c r="H356" i="11"/>
  <c r="H360" i="11"/>
  <c r="H364" i="11"/>
  <c r="H368" i="11"/>
  <c r="H372" i="11"/>
  <c r="H376" i="11"/>
  <c r="H380" i="11"/>
  <c r="H384" i="11"/>
  <c r="H388" i="11"/>
  <c r="H392" i="11"/>
  <c r="H396" i="11"/>
  <c r="H400" i="11"/>
  <c r="H404" i="11"/>
  <c r="H408" i="11"/>
  <c r="H412" i="11"/>
  <c r="H416" i="11"/>
  <c r="H420" i="11"/>
  <c r="H424" i="11"/>
  <c r="H428" i="11"/>
  <c r="H432" i="11"/>
  <c r="H436" i="11"/>
  <c r="H440" i="11"/>
  <c r="H444" i="11"/>
  <c r="H448" i="11"/>
  <c r="H452" i="11"/>
  <c r="H456" i="11"/>
  <c r="H460" i="11"/>
  <c r="H464" i="11"/>
  <c r="H468" i="11"/>
  <c r="H472" i="11"/>
  <c r="H476" i="11"/>
  <c r="H480" i="11"/>
  <c r="H484" i="11"/>
  <c r="H488" i="11"/>
  <c r="H492" i="11"/>
  <c r="H496" i="11"/>
  <c r="H500" i="11"/>
  <c r="H504" i="11"/>
  <c r="H508" i="11"/>
  <c r="H512" i="11"/>
  <c r="H516" i="11"/>
  <c r="H520" i="11"/>
  <c r="H524" i="11"/>
  <c r="H528" i="11"/>
  <c r="H532" i="11"/>
  <c r="H536" i="11"/>
  <c r="H540" i="11"/>
  <c r="H544" i="11"/>
  <c r="H548" i="11"/>
  <c r="H552" i="11"/>
  <c r="H556" i="11"/>
  <c r="H560" i="11"/>
  <c r="H564" i="11"/>
  <c r="H568" i="11"/>
  <c r="H572" i="11"/>
  <c r="H576" i="11"/>
  <c r="H580" i="11"/>
  <c r="H584" i="11"/>
  <c r="H588" i="11"/>
  <c r="H592" i="11"/>
  <c r="H596" i="11"/>
  <c r="H600" i="11"/>
  <c r="H604" i="11"/>
  <c r="H608" i="11"/>
  <c r="H59" i="11"/>
  <c r="H65" i="11"/>
  <c r="H73" i="11"/>
  <c r="H81" i="11"/>
  <c r="H89" i="11"/>
  <c r="H97" i="11"/>
  <c r="H105" i="11"/>
  <c r="H113" i="11"/>
  <c r="H121" i="11"/>
  <c r="H129" i="11"/>
  <c r="H137" i="11"/>
  <c r="H145" i="11"/>
  <c r="H153" i="11"/>
  <c r="H161" i="11"/>
  <c r="H169" i="11"/>
  <c r="H177" i="11"/>
  <c r="H185" i="11"/>
  <c r="H193" i="11"/>
  <c r="H201" i="11"/>
  <c r="H209" i="11"/>
  <c r="H217" i="11"/>
  <c r="H225" i="11"/>
  <c r="H233" i="11"/>
  <c r="H241" i="11"/>
  <c r="H249" i="11"/>
  <c r="H257" i="11"/>
  <c r="H265" i="11"/>
  <c r="H273" i="11"/>
  <c r="H281" i="11"/>
  <c r="H289" i="11"/>
  <c r="H297" i="11"/>
  <c r="H305" i="11"/>
  <c r="H313" i="11"/>
  <c r="H321" i="11"/>
  <c r="H329" i="11"/>
  <c r="H337" i="11"/>
  <c r="H345" i="11"/>
  <c r="H353" i="11"/>
  <c r="H361" i="11"/>
  <c r="H369" i="11"/>
  <c r="H377" i="11"/>
  <c r="H385" i="11"/>
  <c r="H393" i="11"/>
  <c r="H401" i="11"/>
  <c r="H409" i="11"/>
  <c r="H417" i="11"/>
  <c r="H425" i="11"/>
  <c r="H433" i="11"/>
  <c r="H441" i="11"/>
  <c r="H449" i="11"/>
  <c r="H457" i="11"/>
  <c r="H465" i="11"/>
  <c r="H473" i="11"/>
  <c r="H481" i="11"/>
  <c r="H489" i="11"/>
  <c r="H497" i="11"/>
  <c r="H505" i="11"/>
  <c r="H513" i="11"/>
  <c r="H521" i="11"/>
  <c r="H529" i="11"/>
  <c r="H537" i="11"/>
  <c r="H545" i="11"/>
  <c r="H553" i="11"/>
  <c r="H561" i="11"/>
  <c r="H569" i="11"/>
  <c r="H577" i="11"/>
  <c r="H585" i="11"/>
  <c r="H593" i="11"/>
  <c r="H601" i="11"/>
  <c r="H609" i="11"/>
  <c r="H66" i="11"/>
  <c r="H82" i="11"/>
  <c r="H90" i="11"/>
  <c r="H106" i="11"/>
  <c r="H122" i="11"/>
  <c r="H138" i="11"/>
  <c r="H146" i="11"/>
  <c r="H162" i="11"/>
  <c r="H178" i="11"/>
  <c r="H186" i="11"/>
  <c r="H202" i="11"/>
  <c r="H218" i="11"/>
  <c r="H234" i="11"/>
  <c r="H250" i="11"/>
  <c r="H266" i="11"/>
  <c r="H274" i="11"/>
  <c r="H290" i="11"/>
  <c r="H306" i="11"/>
  <c r="H314" i="11"/>
  <c r="H330" i="11"/>
  <c r="H346" i="11"/>
  <c r="H362" i="11"/>
  <c r="H378" i="11"/>
  <c r="H394" i="11"/>
  <c r="H410" i="11"/>
  <c r="H426" i="11"/>
  <c r="H442" i="11"/>
  <c r="H458" i="11"/>
  <c r="H474" i="11"/>
  <c r="H490" i="11"/>
  <c r="H506" i="11"/>
  <c r="H522" i="11"/>
  <c r="H530" i="11"/>
  <c r="H546" i="11"/>
  <c r="H562" i="11"/>
  <c r="H578" i="11"/>
  <c r="H594" i="11"/>
  <c r="H610" i="11"/>
  <c r="H61" i="11"/>
  <c r="H69" i="11"/>
  <c r="H85" i="11"/>
  <c r="H101" i="11"/>
  <c r="H109" i="11"/>
  <c r="H125" i="11"/>
  <c r="H141" i="11"/>
  <c r="H157" i="11"/>
  <c r="H173" i="11"/>
  <c r="H189" i="11"/>
  <c r="H197" i="11"/>
  <c r="H213" i="11"/>
  <c r="H229" i="11"/>
  <c r="H245" i="11"/>
  <c r="H253" i="11"/>
  <c r="H269" i="11"/>
  <c r="H285" i="11"/>
  <c r="H301" i="11"/>
  <c r="H317" i="11"/>
  <c r="H333" i="11"/>
  <c r="H349" i="11"/>
  <c r="H357" i="11"/>
  <c r="H373" i="11"/>
  <c r="H389" i="11"/>
  <c r="H397" i="11"/>
  <c r="H413" i="11"/>
  <c r="H429" i="11"/>
  <c r="H445" i="11"/>
  <c r="H461" i="11"/>
  <c r="H477" i="11"/>
  <c r="H493" i="11"/>
  <c r="H509" i="11"/>
  <c r="H533" i="11"/>
  <c r="H549" i="11"/>
  <c r="H565" i="11"/>
  <c r="H581" i="11"/>
  <c r="H597" i="11"/>
  <c r="H62" i="11"/>
  <c r="H78" i="11"/>
  <c r="H86" i="11"/>
  <c r="H102" i="11"/>
  <c r="H118" i="11"/>
  <c r="H134" i="11"/>
  <c r="H142" i="11"/>
  <c r="H158" i="11"/>
  <c r="H174" i="11"/>
  <c r="H182" i="11"/>
  <c r="H198" i="11"/>
  <c r="H214" i="11"/>
  <c r="H230" i="11"/>
  <c r="H246" i="11"/>
  <c r="H254" i="11"/>
  <c r="H270" i="11"/>
  <c r="H286" i="11"/>
  <c r="H302" i="11"/>
  <c r="H318" i="11"/>
  <c r="H334" i="11"/>
  <c r="H342" i="11"/>
  <c r="H358" i="11"/>
  <c r="H374" i="11"/>
  <c r="H390" i="11"/>
  <c r="H406" i="11"/>
  <c r="H422" i="11"/>
  <c r="H438" i="11"/>
  <c r="H446" i="11"/>
  <c r="H462" i="11"/>
  <c r="H478" i="11"/>
  <c r="H494" i="11"/>
  <c r="H510" i="11"/>
  <c r="H526" i="11"/>
  <c r="H542" i="11"/>
  <c r="H558" i="11"/>
  <c r="H574" i="11"/>
  <c r="H590" i="11"/>
  <c r="H598" i="11"/>
  <c r="H74" i="11"/>
  <c r="H98" i="11"/>
  <c r="H114" i="11"/>
  <c r="H130" i="11"/>
  <c r="H154" i="11"/>
  <c r="H170" i="11"/>
  <c r="H194" i="11"/>
  <c r="H210" i="11"/>
  <c r="H226" i="11"/>
  <c r="H242" i="11"/>
  <c r="H258" i="11"/>
  <c r="H282" i="11"/>
  <c r="H298" i="11"/>
  <c r="H322" i="11"/>
  <c r="H338" i="11"/>
  <c r="H354" i="11"/>
  <c r="H370" i="11"/>
  <c r="H386" i="11"/>
  <c r="H402" i="11"/>
  <c r="H418" i="11"/>
  <c r="H434" i="11"/>
  <c r="H450" i="11"/>
  <c r="H466" i="11"/>
  <c r="H482" i="11"/>
  <c r="H498" i="11"/>
  <c r="H514" i="11"/>
  <c r="H538" i="11"/>
  <c r="H554" i="11"/>
  <c r="H570" i="11"/>
  <c r="H586" i="11"/>
  <c r="H602" i="11"/>
  <c r="H77" i="11"/>
  <c r="H93" i="11"/>
  <c r="H117" i="11"/>
  <c r="H133" i="11"/>
  <c r="H149" i="11"/>
  <c r="H165" i="11"/>
  <c r="H181" i="11"/>
  <c r="H205" i="11"/>
  <c r="H221" i="11"/>
  <c r="H237" i="11"/>
  <c r="H261" i="11"/>
  <c r="H277" i="11"/>
  <c r="H293" i="11"/>
  <c r="H309" i="11"/>
  <c r="H325" i="11"/>
  <c r="H341" i="11"/>
  <c r="H365" i="11"/>
  <c r="H381" i="11"/>
  <c r="H405" i="11"/>
  <c r="H421" i="11"/>
  <c r="H437" i="11"/>
  <c r="H453" i="11"/>
  <c r="H469" i="11"/>
  <c r="H485" i="11"/>
  <c r="H501" i="11"/>
  <c r="H517" i="11"/>
  <c r="H525" i="11"/>
  <c r="H541" i="11"/>
  <c r="H557" i="11"/>
  <c r="H573" i="11"/>
  <c r="H589" i="11"/>
  <c r="H605" i="11"/>
  <c r="H70" i="11"/>
  <c r="H94" i="11"/>
  <c r="H110" i="11"/>
  <c r="H126" i="11"/>
  <c r="H150" i="11"/>
  <c r="H166" i="11"/>
  <c r="H190" i="11"/>
  <c r="H206" i="11"/>
  <c r="H222" i="11"/>
  <c r="H238" i="11"/>
  <c r="H262" i="11"/>
  <c r="H278" i="11"/>
  <c r="H294" i="11"/>
  <c r="H310" i="11"/>
  <c r="H326" i="11"/>
  <c r="H350" i="11"/>
  <c r="H366" i="11"/>
  <c r="H382" i="11"/>
  <c r="H398" i="11"/>
  <c r="H414" i="11"/>
  <c r="H430" i="11"/>
  <c r="H454" i="11"/>
  <c r="H470" i="11"/>
  <c r="H486" i="11"/>
  <c r="H502" i="11"/>
  <c r="H518" i="11"/>
  <c r="H534" i="11"/>
  <c r="H550" i="11"/>
  <c r="H566" i="11"/>
  <c r="H582" i="11"/>
  <c r="H606" i="11"/>
  <c r="H55" i="11" l="1"/>
  <c r="B8" i="11" l="1"/>
  <c r="D8" i="11" s="1"/>
  <c r="E8" i="11" s="1"/>
  <c r="L15" i="11"/>
  <c r="M59" i="11" s="1"/>
  <c r="C8" i="11" l="1"/>
  <c r="R63" i="11"/>
  <c r="R68" i="11"/>
  <c r="R73" i="11"/>
  <c r="R79" i="11"/>
  <c r="R84" i="11"/>
  <c r="R89" i="11"/>
  <c r="R95" i="11"/>
  <c r="R100" i="11"/>
  <c r="R105" i="11"/>
  <c r="R111" i="11"/>
  <c r="R116" i="11"/>
  <c r="R121" i="11"/>
  <c r="R127" i="11"/>
  <c r="R132" i="11"/>
  <c r="R137" i="11"/>
  <c r="R143" i="11"/>
  <c r="R148" i="11"/>
  <c r="R153" i="11"/>
  <c r="R159" i="11"/>
  <c r="R164" i="11"/>
  <c r="R169" i="11"/>
  <c r="R175" i="11"/>
  <c r="R180" i="11"/>
  <c r="R185" i="11"/>
  <c r="R191" i="11"/>
  <c r="R196" i="11"/>
  <c r="R201" i="11"/>
  <c r="R207" i="11"/>
  <c r="R212" i="11"/>
  <c r="R217" i="11"/>
  <c r="R223" i="11"/>
  <c r="R228" i="11"/>
  <c r="R233" i="11"/>
  <c r="R239" i="11"/>
  <c r="R244" i="11"/>
  <c r="R249" i="11"/>
  <c r="R255" i="11"/>
  <c r="R260" i="11"/>
  <c r="R265" i="11"/>
  <c r="R271" i="11"/>
  <c r="R276" i="11"/>
  <c r="R281" i="11"/>
  <c r="R287" i="11"/>
  <c r="R292" i="11"/>
  <c r="R297" i="11"/>
  <c r="R303" i="11"/>
  <c r="R308" i="11"/>
  <c r="R313" i="11"/>
  <c r="R319" i="11"/>
  <c r="R324" i="11"/>
  <c r="R329" i="11"/>
  <c r="R335" i="11"/>
  <c r="R340" i="11"/>
  <c r="R345" i="11"/>
  <c r="R351" i="11"/>
  <c r="R356" i="11"/>
  <c r="R361" i="11"/>
  <c r="R367" i="11"/>
  <c r="R372" i="11"/>
  <c r="R377" i="11"/>
  <c r="R383" i="11"/>
  <c r="R388" i="11"/>
  <c r="R393" i="11"/>
  <c r="R399" i="11"/>
  <c r="R404" i="11"/>
  <c r="R409" i="11"/>
  <c r="R415" i="11"/>
  <c r="R420" i="11"/>
  <c r="R425" i="11"/>
  <c r="R431" i="11"/>
  <c r="R436" i="11"/>
  <c r="R441" i="11"/>
  <c r="R447" i="11"/>
  <c r="R452" i="11"/>
  <c r="R457" i="11"/>
  <c r="R463" i="11"/>
  <c r="R468" i="11"/>
  <c r="R473" i="11"/>
  <c r="R479" i="11"/>
  <c r="R484" i="11"/>
  <c r="R489" i="11"/>
  <c r="R495" i="11"/>
  <c r="R500" i="11"/>
  <c r="R505" i="11"/>
  <c r="R511" i="11"/>
  <c r="R516" i="11"/>
  <c r="R521" i="11"/>
  <c r="R527" i="11"/>
  <c r="R532" i="11"/>
  <c r="R537" i="11"/>
  <c r="R543" i="11"/>
  <c r="R548" i="11"/>
  <c r="R553" i="11"/>
  <c r="R559" i="11"/>
  <c r="R564" i="11"/>
  <c r="R569" i="11"/>
  <c r="R575" i="11"/>
  <c r="R580" i="11"/>
  <c r="R585" i="11"/>
  <c r="R591" i="11"/>
  <c r="R596" i="11"/>
  <c r="R601" i="11"/>
  <c r="R605" i="11"/>
  <c r="R609" i="11"/>
  <c r="R64" i="11"/>
  <c r="R75" i="11"/>
  <c r="R85" i="11"/>
  <c r="R96" i="11"/>
  <c r="R107" i="11"/>
  <c r="R117" i="11"/>
  <c r="R128" i="11"/>
  <c r="R139" i="11"/>
  <c r="R149" i="11"/>
  <c r="R160" i="11"/>
  <c r="R171" i="11"/>
  <c r="R181" i="11"/>
  <c r="R192" i="11"/>
  <c r="R203" i="11"/>
  <c r="R213" i="11"/>
  <c r="R224" i="11"/>
  <c r="R235" i="11"/>
  <c r="R245" i="11"/>
  <c r="R256" i="11"/>
  <c r="R267" i="11"/>
  <c r="R277" i="11"/>
  <c r="R288" i="11"/>
  <c r="R299" i="11"/>
  <c r="R309" i="11"/>
  <c r="R320" i="11"/>
  <c r="R331" i="11"/>
  <c r="R341" i="11"/>
  <c r="R352" i="11"/>
  <c r="R363" i="11"/>
  <c r="R373" i="11"/>
  <c r="R384" i="11"/>
  <c r="R395" i="11"/>
  <c r="R405" i="11"/>
  <c r="R416" i="11"/>
  <c r="R427" i="11"/>
  <c r="R437" i="11"/>
  <c r="R448" i="11"/>
  <c r="R459" i="11"/>
  <c r="R469" i="11"/>
  <c r="R480" i="11"/>
  <c r="R491" i="11"/>
  <c r="R501" i="11"/>
  <c r="R512" i="11"/>
  <c r="R523" i="11"/>
  <c r="R533" i="11"/>
  <c r="R544" i="11"/>
  <c r="R555" i="11"/>
  <c r="R565" i="11"/>
  <c r="R576" i="11"/>
  <c r="R587" i="11"/>
  <c r="R597" i="11"/>
  <c r="R606" i="11"/>
  <c r="R65" i="11"/>
  <c r="R76" i="11"/>
  <c r="R87" i="11"/>
  <c r="R97" i="11"/>
  <c r="R108" i="11"/>
  <c r="R119" i="11"/>
  <c r="R129" i="11"/>
  <c r="R140" i="11"/>
  <c r="R151" i="11"/>
  <c r="R161" i="11"/>
  <c r="R172" i="11"/>
  <c r="R193" i="11"/>
  <c r="R204" i="11"/>
  <c r="R215" i="11"/>
  <c r="R225" i="11"/>
  <c r="R236" i="11"/>
  <c r="R247" i="11"/>
  <c r="R257" i="11"/>
  <c r="R268" i="11"/>
  <c r="R289" i="11"/>
  <c r="R311" i="11"/>
  <c r="R321" i="11"/>
  <c r="R343" i="11"/>
  <c r="R364" i="11"/>
  <c r="R385" i="11"/>
  <c r="R407" i="11"/>
  <c r="R428" i="11"/>
  <c r="R449" i="11"/>
  <c r="R471" i="11"/>
  <c r="R492" i="11"/>
  <c r="R513" i="11"/>
  <c r="R524" i="11"/>
  <c r="R545" i="11"/>
  <c r="R567" i="11"/>
  <c r="R588" i="11"/>
  <c r="R607" i="11"/>
  <c r="R80" i="11"/>
  <c r="R101" i="11"/>
  <c r="R123" i="11"/>
  <c r="R144" i="11"/>
  <c r="R165" i="11"/>
  <c r="R187" i="11"/>
  <c r="R208" i="11"/>
  <c r="R229" i="11"/>
  <c r="R251" i="11"/>
  <c r="R272" i="11"/>
  <c r="R293" i="11"/>
  <c r="R315" i="11"/>
  <c r="R336" i="11"/>
  <c r="R357" i="11"/>
  <c r="R368" i="11"/>
  <c r="R389" i="11"/>
  <c r="R411" i="11"/>
  <c r="R432" i="11"/>
  <c r="R453" i="11"/>
  <c r="R475" i="11"/>
  <c r="R496" i="11"/>
  <c r="R517" i="11"/>
  <c r="R528" i="11"/>
  <c r="R549" i="11"/>
  <c r="R571" i="11"/>
  <c r="R592" i="11"/>
  <c r="R610" i="11"/>
  <c r="R71" i="11"/>
  <c r="R92" i="11"/>
  <c r="R113" i="11"/>
  <c r="R135" i="11"/>
  <c r="R145" i="11"/>
  <c r="R167" i="11"/>
  <c r="R188" i="11"/>
  <c r="R209" i="11"/>
  <c r="R231" i="11"/>
  <c r="R252" i="11"/>
  <c r="R273" i="11"/>
  <c r="R295" i="11"/>
  <c r="R316" i="11"/>
  <c r="R327" i="11"/>
  <c r="R348" i="11"/>
  <c r="R369" i="11"/>
  <c r="R391" i="11"/>
  <c r="R412" i="11"/>
  <c r="R433" i="11"/>
  <c r="R444" i="11"/>
  <c r="R465" i="11"/>
  <c r="R476" i="11"/>
  <c r="R497" i="11"/>
  <c r="R508" i="11"/>
  <c r="R529" i="11"/>
  <c r="R551" i="11"/>
  <c r="R572" i="11"/>
  <c r="R593" i="11"/>
  <c r="R603" i="11"/>
  <c r="R183" i="11"/>
  <c r="R279" i="11"/>
  <c r="R300" i="11"/>
  <c r="R332" i="11"/>
  <c r="R353" i="11"/>
  <c r="R375" i="11"/>
  <c r="R396" i="11"/>
  <c r="R417" i="11"/>
  <c r="R439" i="11"/>
  <c r="R460" i="11"/>
  <c r="R481" i="11"/>
  <c r="R503" i="11"/>
  <c r="R535" i="11"/>
  <c r="R556" i="11"/>
  <c r="R577" i="11"/>
  <c r="R599" i="11"/>
  <c r="R69" i="11"/>
  <c r="R91" i="11"/>
  <c r="R112" i="11"/>
  <c r="R133" i="11"/>
  <c r="R155" i="11"/>
  <c r="R176" i="11"/>
  <c r="R197" i="11"/>
  <c r="R219" i="11"/>
  <c r="R240" i="11"/>
  <c r="R261" i="11"/>
  <c r="R283" i="11"/>
  <c r="R304" i="11"/>
  <c r="R325" i="11"/>
  <c r="R347" i="11"/>
  <c r="R379" i="11"/>
  <c r="R400" i="11"/>
  <c r="R421" i="11"/>
  <c r="R443" i="11"/>
  <c r="R464" i="11"/>
  <c r="R485" i="11"/>
  <c r="R507" i="11"/>
  <c r="R539" i="11"/>
  <c r="R560" i="11"/>
  <c r="R581" i="11"/>
  <c r="R602" i="11"/>
  <c r="R60" i="11"/>
  <c r="R81" i="11"/>
  <c r="R103" i="11"/>
  <c r="R124" i="11"/>
  <c r="R156" i="11"/>
  <c r="R177" i="11"/>
  <c r="R199" i="11"/>
  <c r="R220" i="11"/>
  <c r="R241" i="11"/>
  <c r="R263" i="11"/>
  <c r="R284" i="11"/>
  <c r="R305" i="11"/>
  <c r="R337" i="11"/>
  <c r="R359" i="11"/>
  <c r="R380" i="11"/>
  <c r="R401" i="11"/>
  <c r="R423" i="11"/>
  <c r="R455" i="11"/>
  <c r="R487" i="11"/>
  <c r="R519" i="11"/>
  <c r="R540" i="11"/>
  <c r="R561" i="11"/>
  <c r="R583" i="11"/>
  <c r="R611" i="11"/>
  <c r="R70" i="11"/>
  <c r="R86" i="11"/>
  <c r="R102" i="11"/>
  <c r="R118" i="11"/>
  <c r="R134" i="11"/>
  <c r="R150" i="11"/>
  <c r="R166" i="11"/>
  <c r="R182" i="11"/>
  <c r="R198" i="11"/>
  <c r="R214" i="11"/>
  <c r="R230" i="11"/>
  <c r="R246" i="11"/>
  <c r="R262" i="11"/>
  <c r="R278" i="11"/>
  <c r="R294" i="11"/>
  <c r="R310" i="11"/>
  <c r="R326" i="11"/>
  <c r="R342" i="11"/>
  <c r="R358" i="11"/>
  <c r="R374" i="11"/>
  <c r="R390" i="11"/>
  <c r="R406" i="11"/>
  <c r="R422" i="11"/>
  <c r="R438" i="11"/>
  <c r="R454" i="11"/>
  <c r="R470" i="11"/>
  <c r="R486" i="11"/>
  <c r="R502" i="11"/>
  <c r="R518" i="11"/>
  <c r="R534" i="11"/>
  <c r="R550" i="11"/>
  <c r="R566" i="11"/>
  <c r="R582" i="11"/>
  <c r="R598" i="11"/>
  <c r="R600" i="11"/>
  <c r="R579" i="11"/>
  <c r="R557" i="11"/>
  <c r="R536" i="11"/>
  <c r="R515" i="11"/>
  <c r="R493" i="11"/>
  <c r="R472" i="11"/>
  <c r="R451" i="11"/>
  <c r="R429" i="11"/>
  <c r="R408" i="11"/>
  <c r="R387" i="11"/>
  <c r="R365" i="11"/>
  <c r="R344" i="11"/>
  <c r="R323" i="11"/>
  <c r="R301" i="11"/>
  <c r="R280" i="11"/>
  <c r="R259" i="11"/>
  <c r="R237" i="11"/>
  <c r="R216" i="11"/>
  <c r="R195" i="11"/>
  <c r="R173" i="11"/>
  <c r="R152" i="11"/>
  <c r="R131" i="11"/>
  <c r="R109" i="11"/>
  <c r="R88" i="11"/>
  <c r="R67" i="11"/>
  <c r="R66" i="11"/>
  <c r="R114" i="11"/>
  <c r="R146" i="11"/>
  <c r="R178" i="11"/>
  <c r="R210" i="11"/>
  <c r="R242" i="11"/>
  <c r="R274" i="11"/>
  <c r="R290" i="11"/>
  <c r="R322" i="11"/>
  <c r="R354" i="11"/>
  <c r="R386" i="11"/>
  <c r="R418" i="11"/>
  <c r="R450" i="11"/>
  <c r="R498" i="11"/>
  <c r="R530" i="11"/>
  <c r="R546" i="11"/>
  <c r="R594" i="11"/>
  <c r="R584" i="11"/>
  <c r="R563" i="11"/>
  <c r="R520" i="11"/>
  <c r="R477" i="11"/>
  <c r="R435" i="11"/>
  <c r="R392" i="11"/>
  <c r="R349" i="11"/>
  <c r="R307" i="11"/>
  <c r="R264" i="11"/>
  <c r="R221" i="11"/>
  <c r="R179" i="11"/>
  <c r="R136" i="11"/>
  <c r="R93" i="11"/>
  <c r="R74" i="11"/>
  <c r="R90" i="11"/>
  <c r="R106" i="11"/>
  <c r="R122" i="11"/>
  <c r="R138" i="11"/>
  <c r="R154" i="11"/>
  <c r="R170" i="11"/>
  <c r="R186" i="11"/>
  <c r="R202" i="11"/>
  <c r="R218" i="11"/>
  <c r="R234" i="11"/>
  <c r="R250" i="11"/>
  <c r="R266" i="11"/>
  <c r="R282" i="11"/>
  <c r="R298" i="11"/>
  <c r="R314" i="11"/>
  <c r="R330" i="11"/>
  <c r="R346" i="11"/>
  <c r="R362" i="11"/>
  <c r="R378" i="11"/>
  <c r="R394" i="11"/>
  <c r="R410" i="11"/>
  <c r="R426" i="11"/>
  <c r="R442" i="11"/>
  <c r="R458" i="11"/>
  <c r="R474" i="11"/>
  <c r="R490" i="11"/>
  <c r="R506" i="11"/>
  <c r="R522" i="11"/>
  <c r="R538" i="11"/>
  <c r="R554" i="11"/>
  <c r="R570" i="11"/>
  <c r="R586" i="11"/>
  <c r="R59" i="11"/>
  <c r="R595" i="11"/>
  <c r="R573" i="11"/>
  <c r="R552" i="11"/>
  <c r="R531" i="11"/>
  <c r="R509" i="11"/>
  <c r="R488" i="11"/>
  <c r="R467" i="11"/>
  <c r="R445" i="11"/>
  <c r="R424" i="11"/>
  <c r="R403" i="11"/>
  <c r="R381" i="11"/>
  <c r="R360" i="11"/>
  <c r="R339" i="11"/>
  <c r="R317" i="11"/>
  <c r="R296" i="11"/>
  <c r="R275" i="11"/>
  <c r="R253" i="11"/>
  <c r="R232" i="11"/>
  <c r="R211" i="11"/>
  <c r="R189" i="11"/>
  <c r="R168" i="11"/>
  <c r="R147" i="11"/>
  <c r="R125" i="11"/>
  <c r="R104" i="11"/>
  <c r="R83" i="11"/>
  <c r="R61" i="11"/>
  <c r="R62" i="11"/>
  <c r="R78" i="11"/>
  <c r="R94" i="11"/>
  <c r="R110" i="11"/>
  <c r="R126" i="11"/>
  <c r="R142" i="11"/>
  <c r="R158" i="11"/>
  <c r="R174" i="11"/>
  <c r="R190" i="11"/>
  <c r="R206" i="11"/>
  <c r="R222" i="11"/>
  <c r="R238" i="11"/>
  <c r="R254" i="11"/>
  <c r="R270" i="11"/>
  <c r="R286" i="11"/>
  <c r="R302" i="11"/>
  <c r="R318" i="11"/>
  <c r="R334" i="11"/>
  <c r="R350" i="11"/>
  <c r="R366" i="11"/>
  <c r="R382" i="11"/>
  <c r="R398" i="11"/>
  <c r="R414" i="11"/>
  <c r="R430" i="11"/>
  <c r="R446" i="11"/>
  <c r="R462" i="11"/>
  <c r="R478" i="11"/>
  <c r="R494" i="11"/>
  <c r="R510" i="11"/>
  <c r="R526" i="11"/>
  <c r="R542" i="11"/>
  <c r="R558" i="11"/>
  <c r="R574" i="11"/>
  <c r="R590" i="11"/>
  <c r="R608" i="11"/>
  <c r="R589" i="11"/>
  <c r="R568" i="11"/>
  <c r="R547" i="11"/>
  <c r="R525" i="11"/>
  <c r="R504" i="11"/>
  <c r="R483" i="11"/>
  <c r="R461" i="11"/>
  <c r="R440" i="11"/>
  <c r="R419" i="11"/>
  <c r="R397" i="11"/>
  <c r="R376" i="11"/>
  <c r="R355" i="11"/>
  <c r="R333" i="11"/>
  <c r="R312" i="11"/>
  <c r="R291" i="11"/>
  <c r="R269" i="11"/>
  <c r="R248" i="11"/>
  <c r="R227" i="11"/>
  <c r="R205" i="11"/>
  <c r="R184" i="11"/>
  <c r="R163" i="11"/>
  <c r="R141" i="11"/>
  <c r="R120" i="11"/>
  <c r="R99" i="11"/>
  <c r="R77" i="11"/>
  <c r="R82" i="11"/>
  <c r="R98" i="11"/>
  <c r="R130" i="11"/>
  <c r="R162" i="11"/>
  <c r="R194" i="11"/>
  <c r="R226" i="11"/>
  <c r="R258" i="11"/>
  <c r="R306" i="11"/>
  <c r="R338" i="11"/>
  <c r="R370" i="11"/>
  <c r="R402" i="11"/>
  <c r="R434" i="11"/>
  <c r="R466" i="11"/>
  <c r="R482" i="11"/>
  <c r="R514" i="11"/>
  <c r="R562" i="11"/>
  <c r="R578" i="11"/>
  <c r="R604" i="11"/>
  <c r="R541" i="11"/>
  <c r="R499" i="11"/>
  <c r="R456" i="11"/>
  <c r="R413" i="11"/>
  <c r="R371" i="11"/>
  <c r="R328" i="11"/>
  <c r="R285" i="11"/>
  <c r="R243" i="11"/>
  <c r="R200" i="11"/>
  <c r="R157" i="11"/>
  <c r="R115" i="11"/>
  <c r="R72" i="11"/>
  <c r="L16" i="11"/>
  <c r="M60" i="11" s="1"/>
  <c r="Q59" i="11" l="1"/>
  <c r="B15" i="11" s="1"/>
  <c r="B77" i="10" s="1"/>
  <c r="S73" i="11"/>
  <c r="S121" i="11"/>
  <c r="S141" i="11"/>
  <c r="S157" i="11"/>
  <c r="S173" i="11"/>
  <c r="S189" i="11"/>
  <c r="S205" i="11"/>
  <c r="S221" i="11"/>
  <c r="S237" i="11"/>
  <c r="S253" i="11"/>
  <c r="S277" i="11"/>
  <c r="S293" i="11"/>
  <c r="S378" i="11"/>
  <c r="S89" i="11"/>
  <c r="S105" i="11"/>
  <c r="S133" i="11"/>
  <c r="S149" i="11"/>
  <c r="S165" i="11"/>
  <c r="S181" i="11"/>
  <c r="S197" i="11"/>
  <c r="S213" i="11"/>
  <c r="S229" i="11"/>
  <c r="S245" i="11"/>
  <c r="S261" i="11"/>
  <c r="S269" i="11"/>
  <c r="S285" i="11"/>
  <c r="S301" i="11"/>
  <c r="S106" i="11"/>
  <c r="S150" i="11"/>
  <c r="S182" i="11"/>
  <c r="S214" i="11"/>
  <c r="S246" i="11"/>
  <c r="S278" i="11"/>
  <c r="S309" i="11"/>
  <c r="S325" i="11"/>
  <c r="S341" i="11"/>
  <c r="S357" i="11"/>
  <c r="S373" i="11"/>
  <c r="S389" i="11"/>
  <c r="S405" i="11"/>
  <c r="S421" i="11"/>
  <c r="S436" i="11"/>
  <c r="S446" i="11"/>
  <c r="S457" i="11"/>
  <c r="S468" i="11"/>
  <c r="S478" i="11"/>
  <c r="S489" i="11"/>
  <c r="S500" i="11"/>
  <c r="S510" i="11"/>
  <c r="S521" i="11"/>
  <c r="S532" i="11"/>
  <c r="S542" i="11"/>
  <c r="S553" i="11"/>
  <c r="S564" i="11"/>
  <c r="S574" i="11"/>
  <c r="S585" i="11"/>
  <c r="S596" i="11"/>
  <c r="S606" i="11"/>
  <c r="S122" i="11"/>
  <c r="S158" i="11"/>
  <c r="S190" i="11"/>
  <c r="S222" i="11"/>
  <c r="S254" i="11"/>
  <c r="S286" i="11"/>
  <c r="S310" i="11"/>
  <c r="S326" i="11"/>
  <c r="S342" i="11"/>
  <c r="S358" i="11"/>
  <c r="S374" i="11"/>
  <c r="S390" i="11"/>
  <c r="S406" i="11"/>
  <c r="S422" i="11"/>
  <c r="S437" i="11"/>
  <c r="S448" i="11"/>
  <c r="S458" i="11"/>
  <c r="S469" i="11"/>
  <c r="S480" i="11"/>
  <c r="S490" i="11"/>
  <c r="S501" i="11"/>
  <c r="S512" i="11"/>
  <c r="S522" i="11"/>
  <c r="S533" i="11"/>
  <c r="S544" i="11"/>
  <c r="S554" i="11"/>
  <c r="S565" i="11"/>
  <c r="S576" i="11"/>
  <c r="S586" i="11"/>
  <c r="S597" i="11"/>
  <c r="S608" i="11"/>
  <c r="S134" i="11"/>
  <c r="S198" i="11"/>
  <c r="S262" i="11"/>
  <c r="S317" i="11"/>
  <c r="S349" i="11"/>
  <c r="S381" i="11"/>
  <c r="S429" i="11"/>
  <c r="S452" i="11"/>
  <c r="S473" i="11"/>
  <c r="S484" i="11"/>
  <c r="S505" i="11"/>
  <c r="S526" i="11"/>
  <c r="S548" i="11"/>
  <c r="S569" i="11"/>
  <c r="S590" i="11"/>
  <c r="S59" i="11"/>
  <c r="S142" i="11"/>
  <c r="S206" i="11"/>
  <c r="S270" i="11"/>
  <c r="S302" i="11"/>
  <c r="S334" i="11"/>
  <c r="S366" i="11"/>
  <c r="S398" i="11"/>
  <c r="S430" i="11"/>
  <c r="S442" i="11"/>
  <c r="S464" i="11"/>
  <c r="S485" i="11"/>
  <c r="S506" i="11"/>
  <c r="S528" i="11"/>
  <c r="S549" i="11"/>
  <c r="S570" i="11"/>
  <c r="S581" i="11"/>
  <c r="S602" i="11"/>
  <c r="S74" i="11"/>
  <c r="S166" i="11"/>
  <c r="S230" i="11"/>
  <c r="S294" i="11"/>
  <c r="S333" i="11"/>
  <c r="S365" i="11"/>
  <c r="S397" i="11"/>
  <c r="S413" i="11"/>
  <c r="S441" i="11"/>
  <c r="S462" i="11"/>
  <c r="S494" i="11"/>
  <c r="S516" i="11"/>
  <c r="S537" i="11"/>
  <c r="S558" i="11"/>
  <c r="S580" i="11"/>
  <c r="S601" i="11"/>
  <c r="S90" i="11"/>
  <c r="S174" i="11"/>
  <c r="S238" i="11"/>
  <c r="S318" i="11"/>
  <c r="S350" i="11"/>
  <c r="S382" i="11"/>
  <c r="S414" i="11"/>
  <c r="S453" i="11"/>
  <c r="S474" i="11"/>
  <c r="S496" i="11"/>
  <c r="S517" i="11"/>
  <c r="S538" i="11"/>
  <c r="S560" i="11"/>
  <c r="S592" i="11"/>
  <c r="S66" i="11"/>
  <c r="S370" i="11"/>
  <c r="S338" i="11"/>
  <c r="S306" i="11"/>
  <c r="S274" i="11"/>
  <c r="S242" i="11"/>
  <c r="S210" i="11"/>
  <c r="S178" i="11"/>
  <c r="S146" i="11"/>
  <c r="S98" i="11"/>
  <c r="S71" i="11"/>
  <c r="S87" i="11"/>
  <c r="S103" i="11"/>
  <c r="S119" i="11"/>
  <c r="S64" i="11"/>
  <c r="S80" i="11"/>
  <c r="S96" i="11"/>
  <c r="S112" i="11"/>
  <c r="S128" i="11"/>
  <c r="S85" i="11"/>
  <c r="S117" i="11"/>
  <c r="S139" i="11"/>
  <c r="S155" i="11"/>
  <c r="S362" i="11"/>
  <c r="S330" i="11"/>
  <c r="S298" i="11"/>
  <c r="S266" i="11"/>
  <c r="S234" i="11"/>
  <c r="S202" i="11"/>
  <c r="S170" i="11"/>
  <c r="S138" i="11"/>
  <c r="S82" i="11"/>
  <c r="S75" i="11"/>
  <c r="S91" i="11"/>
  <c r="S107" i="11"/>
  <c r="S123" i="11"/>
  <c r="S68" i="11"/>
  <c r="S84" i="11"/>
  <c r="S100" i="11"/>
  <c r="S116" i="11"/>
  <c r="S61" i="11"/>
  <c r="S93" i="11"/>
  <c r="S125" i="11"/>
  <c r="S143" i="11"/>
  <c r="S159" i="11"/>
  <c r="S175" i="11"/>
  <c r="S191" i="11"/>
  <c r="S207" i="11"/>
  <c r="S223" i="11"/>
  <c r="S239" i="11"/>
  <c r="S255" i="11"/>
  <c r="S271" i="11"/>
  <c r="S287" i="11"/>
  <c r="S303" i="11"/>
  <c r="S319" i="11"/>
  <c r="S335" i="11"/>
  <c r="S351" i="11"/>
  <c r="S367" i="11"/>
  <c r="S383" i="11"/>
  <c r="S399" i="11"/>
  <c r="S415" i="11"/>
  <c r="S431" i="11"/>
  <c r="S447" i="11"/>
  <c r="S463" i="11"/>
  <c r="S479" i="11"/>
  <c r="S495" i="11"/>
  <c r="S511" i="11"/>
  <c r="S527" i="11"/>
  <c r="S543" i="11"/>
  <c r="S559" i="11"/>
  <c r="S575" i="11"/>
  <c r="S591" i="11"/>
  <c r="S607" i="11"/>
  <c r="S78" i="11"/>
  <c r="S110" i="11"/>
  <c r="S136" i="11"/>
  <c r="S152" i="11"/>
  <c r="S168" i="11"/>
  <c r="S184" i="11"/>
  <c r="S200" i="11"/>
  <c r="S216" i="11"/>
  <c r="S232" i="11"/>
  <c r="S248" i="11"/>
  <c r="S264" i="11"/>
  <c r="S280" i="11"/>
  <c r="S296" i="11"/>
  <c r="S312" i="11"/>
  <c r="S328" i="11"/>
  <c r="S344" i="11"/>
  <c r="S322" i="11"/>
  <c r="S258" i="11"/>
  <c r="S194" i="11"/>
  <c r="S130" i="11"/>
  <c r="S79" i="11"/>
  <c r="S111" i="11"/>
  <c r="S72" i="11"/>
  <c r="S104" i="11"/>
  <c r="S69" i="11"/>
  <c r="S131" i="11"/>
  <c r="S163" i="11"/>
  <c r="S183" i="11"/>
  <c r="S203" i="11"/>
  <c r="S227" i="11"/>
  <c r="S247" i="11"/>
  <c r="S267" i="11"/>
  <c r="S291" i="11"/>
  <c r="S311" i="11"/>
  <c r="S331" i="11"/>
  <c r="S355" i="11"/>
  <c r="S375" i="11"/>
  <c r="S395" i="11"/>
  <c r="S419" i="11"/>
  <c r="S439" i="11"/>
  <c r="S459" i="11"/>
  <c r="S483" i="11"/>
  <c r="S503" i="11"/>
  <c r="S523" i="11"/>
  <c r="S547" i="11"/>
  <c r="S567" i="11"/>
  <c r="S587" i="11"/>
  <c r="S611" i="11"/>
  <c r="S94" i="11"/>
  <c r="S132" i="11"/>
  <c r="S156" i="11"/>
  <c r="S176" i="11"/>
  <c r="S196" i="11"/>
  <c r="S220" i="11"/>
  <c r="S240" i="11"/>
  <c r="S260" i="11"/>
  <c r="S284" i="11"/>
  <c r="S304" i="11"/>
  <c r="S324" i="11"/>
  <c r="S348" i="11"/>
  <c r="S364" i="11"/>
  <c r="S380" i="11"/>
  <c r="S396" i="11"/>
  <c r="S412" i="11"/>
  <c r="S428" i="11"/>
  <c r="S600" i="11"/>
  <c r="S578" i="11"/>
  <c r="S557" i="11"/>
  <c r="S536" i="11"/>
  <c r="S514" i="11"/>
  <c r="S493" i="11"/>
  <c r="S472" i="11"/>
  <c r="S450" i="11"/>
  <c r="S426" i="11"/>
  <c r="S394" i="11"/>
  <c r="S598" i="11"/>
  <c r="S577" i="11"/>
  <c r="S556" i="11"/>
  <c r="S534" i="11"/>
  <c r="S513" i="11"/>
  <c r="S492" i="11"/>
  <c r="S470" i="11"/>
  <c r="S449" i="11"/>
  <c r="S425" i="11"/>
  <c r="S393" i="11"/>
  <c r="S361" i="11"/>
  <c r="S329" i="11"/>
  <c r="S297" i="11"/>
  <c r="S265" i="11"/>
  <c r="S233" i="11"/>
  <c r="S201" i="11"/>
  <c r="S169" i="11"/>
  <c r="S137" i="11"/>
  <c r="S81" i="11"/>
  <c r="S346" i="11"/>
  <c r="S218" i="11"/>
  <c r="S67" i="11"/>
  <c r="S92" i="11"/>
  <c r="S109" i="11"/>
  <c r="S179" i="11"/>
  <c r="S219" i="11"/>
  <c r="S263" i="11"/>
  <c r="S307" i="11"/>
  <c r="S347" i="11"/>
  <c r="S391" i="11"/>
  <c r="S435" i="11"/>
  <c r="S475" i="11"/>
  <c r="S519" i="11"/>
  <c r="S563" i="11"/>
  <c r="S603" i="11"/>
  <c r="S126" i="11"/>
  <c r="S172" i="11"/>
  <c r="S212" i="11"/>
  <c r="S256" i="11"/>
  <c r="S300" i="11"/>
  <c r="S340" i="11"/>
  <c r="S376" i="11"/>
  <c r="S408" i="11"/>
  <c r="S605" i="11"/>
  <c r="S562" i="11"/>
  <c r="S520" i="11"/>
  <c r="S477" i="11"/>
  <c r="S434" i="11"/>
  <c r="S604" i="11"/>
  <c r="S561" i="11"/>
  <c r="S518" i="11"/>
  <c r="S476" i="11"/>
  <c r="S433" i="11"/>
  <c r="S369" i="11"/>
  <c r="S305" i="11"/>
  <c r="S241" i="11"/>
  <c r="S177" i="11"/>
  <c r="S97" i="11"/>
  <c r="S314" i="11"/>
  <c r="S250" i="11"/>
  <c r="S186" i="11"/>
  <c r="S114" i="11"/>
  <c r="S83" i="11"/>
  <c r="S115" i="11"/>
  <c r="S76" i="11"/>
  <c r="S108" i="11"/>
  <c r="S77" i="11"/>
  <c r="S135" i="11"/>
  <c r="S167" i="11"/>
  <c r="S187" i="11"/>
  <c r="S211" i="11"/>
  <c r="S231" i="11"/>
  <c r="S251" i="11"/>
  <c r="S275" i="11"/>
  <c r="S295" i="11"/>
  <c r="S315" i="11"/>
  <c r="S339" i="11"/>
  <c r="S359" i="11"/>
  <c r="S379" i="11"/>
  <c r="S403" i="11"/>
  <c r="S423" i="11"/>
  <c r="S443" i="11"/>
  <c r="S467" i="11"/>
  <c r="S487" i="11"/>
  <c r="S507" i="11"/>
  <c r="S531" i="11"/>
  <c r="S551" i="11"/>
  <c r="S571" i="11"/>
  <c r="S595" i="11"/>
  <c r="S62" i="11"/>
  <c r="S102" i="11"/>
  <c r="S140" i="11"/>
  <c r="S160" i="11"/>
  <c r="S180" i="11"/>
  <c r="S204" i="11"/>
  <c r="S224" i="11"/>
  <c r="S244" i="11"/>
  <c r="S268" i="11"/>
  <c r="S288" i="11"/>
  <c r="S308" i="11"/>
  <c r="S332" i="11"/>
  <c r="S352" i="11"/>
  <c r="S368" i="11"/>
  <c r="S384" i="11"/>
  <c r="S400" i="11"/>
  <c r="S416" i="11"/>
  <c r="S432" i="11"/>
  <c r="S594" i="11"/>
  <c r="S573" i="11"/>
  <c r="S552" i="11"/>
  <c r="S530" i="11"/>
  <c r="S509" i="11"/>
  <c r="S488" i="11"/>
  <c r="S466" i="11"/>
  <c r="S445" i="11"/>
  <c r="S418" i="11"/>
  <c r="S386" i="11"/>
  <c r="S593" i="11"/>
  <c r="S572" i="11"/>
  <c r="S550" i="11"/>
  <c r="S529" i="11"/>
  <c r="S508" i="11"/>
  <c r="S486" i="11"/>
  <c r="S465" i="11"/>
  <c r="S444" i="11"/>
  <c r="S417" i="11"/>
  <c r="S385" i="11"/>
  <c r="S353" i="11"/>
  <c r="S321" i="11"/>
  <c r="S289" i="11"/>
  <c r="S257" i="11"/>
  <c r="S225" i="11"/>
  <c r="S193" i="11"/>
  <c r="S161" i="11"/>
  <c r="S129" i="11"/>
  <c r="S65" i="11"/>
  <c r="S354" i="11"/>
  <c r="S290" i="11"/>
  <c r="S226" i="11"/>
  <c r="S162" i="11"/>
  <c r="S63" i="11"/>
  <c r="S95" i="11"/>
  <c r="S127" i="11"/>
  <c r="S88" i="11"/>
  <c r="S120" i="11"/>
  <c r="S101" i="11"/>
  <c r="S147" i="11"/>
  <c r="S171" i="11"/>
  <c r="S195" i="11"/>
  <c r="S215" i="11"/>
  <c r="S235" i="11"/>
  <c r="S259" i="11"/>
  <c r="S279" i="11"/>
  <c r="S299" i="11"/>
  <c r="S323" i="11"/>
  <c r="S343" i="11"/>
  <c r="S363" i="11"/>
  <c r="S387" i="11"/>
  <c r="S407" i="11"/>
  <c r="S427" i="11"/>
  <c r="S451" i="11"/>
  <c r="S471" i="11"/>
  <c r="S491" i="11"/>
  <c r="S515" i="11"/>
  <c r="S535" i="11"/>
  <c r="S555" i="11"/>
  <c r="S579" i="11"/>
  <c r="S599" i="11"/>
  <c r="S70" i="11"/>
  <c r="S118" i="11"/>
  <c r="S144" i="11"/>
  <c r="S164" i="11"/>
  <c r="S188" i="11"/>
  <c r="S208" i="11"/>
  <c r="S228" i="11"/>
  <c r="S252" i="11"/>
  <c r="S272" i="11"/>
  <c r="S292" i="11"/>
  <c r="S316" i="11"/>
  <c r="S336" i="11"/>
  <c r="S356" i="11"/>
  <c r="S372" i="11"/>
  <c r="S388" i="11"/>
  <c r="S404" i="11"/>
  <c r="S420" i="11"/>
  <c r="S610" i="11"/>
  <c r="S589" i="11"/>
  <c r="S568" i="11"/>
  <c r="S546" i="11"/>
  <c r="S525" i="11"/>
  <c r="S504" i="11"/>
  <c r="S482" i="11"/>
  <c r="S461" i="11"/>
  <c r="S440" i="11"/>
  <c r="S410" i="11"/>
  <c r="S609" i="11"/>
  <c r="S588" i="11"/>
  <c r="S566" i="11"/>
  <c r="S545" i="11"/>
  <c r="S524" i="11"/>
  <c r="S502" i="11"/>
  <c r="S481" i="11"/>
  <c r="S460" i="11"/>
  <c r="S438" i="11"/>
  <c r="S409" i="11"/>
  <c r="S377" i="11"/>
  <c r="S345" i="11"/>
  <c r="S313" i="11"/>
  <c r="S281" i="11"/>
  <c r="S249" i="11"/>
  <c r="S217" i="11"/>
  <c r="S185" i="11"/>
  <c r="S153" i="11"/>
  <c r="S113" i="11"/>
  <c r="S282" i="11"/>
  <c r="S154" i="11"/>
  <c r="S99" i="11"/>
  <c r="S60" i="11"/>
  <c r="S124" i="11"/>
  <c r="S151" i="11"/>
  <c r="S199" i="11"/>
  <c r="S243" i="11"/>
  <c r="S283" i="11"/>
  <c r="S327" i="11"/>
  <c r="S371" i="11"/>
  <c r="S411" i="11"/>
  <c r="S455" i="11"/>
  <c r="S499" i="11"/>
  <c r="S539" i="11"/>
  <c r="S583" i="11"/>
  <c r="S86" i="11"/>
  <c r="S148" i="11"/>
  <c r="S192" i="11"/>
  <c r="S236" i="11"/>
  <c r="S276" i="11"/>
  <c r="S320" i="11"/>
  <c r="S360" i="11"/>
  <c r="S392" i="11"/>
  <c r="S424" i="11"/>
  <c r="S584" i="11"/>
  <c r="S541" i="11"/>
  <c r="S498" i="11"/>
  <c r="S456" i="11"/>
  <c r="S402" i="11"/>
  <c r="S582" i="11"/>
  <c r="S540" i="11"/>
  <c r="S497" i="11"/>
  <c r="S454" i="11"/>
  <c r="S401" i="11"/>
  <c r="S337" i="11"/>
  <c r="S273" i="11"/>
  <c r="S209" i="11"/>
  <c r="S145" i="11"/>
  <c r="L18" i="11"/>
  <c r="M62" i="11" s="1"/>
  <c r="L17" i="11"/>
  <c r="M61" i="11" s="1"/>
  <c r="Q60" i="11" l="1"/>
  <c r="B16" i="11" s="1"/>
  <c r="C77" i="10" s="1"/>
  <c r="T61" i="11"/>
  <c r="T77" i="11"/>
  <c r="T93" i="11"/>
  <c r="T109" i="11"/>
  <c r="T125" i="11"/>
  <c r="T141" i="11"/>
  <c r="T157" i="11"/>
  <c r="T173" i="11"/>
  <c r="T189" i="11"/>
  <c r="T205" i="11"/>
  <c r="T221" i="11"/>
  <c r="T237" i="11"/>
  <c r="T253" i="11"/>
  <c r="T269" i="11"/>
  <c r="T285" i="11"/>
  <c r="T301" i="11"/>
  <c r="T317" i="11"/>
  <c r="T333" i="11"/>
  <c r="T349" i="11"/>
  <c r="T365" i="11"/>
  <c r="T381" i="11"/>
  <c r="T397" i="11"/>
  <c r="T413" i="11"/>
  <c r="T429" i="11"/>
  <c r="T445" i="11"/>
  <c r="T461" i="11"/>
  <c r="T477" i="11"/>
  <c r="T493" i="11"/>
  <c r="T509" i="11"/>
  <c r="T80" i="11"/>
  <c r="T102" i="11"/>
  <c r="T123" i="11"/>
  <c r="T144" i="11"/>
  <c r="T166" i="11"/>
  <c r="T187" i="11"/>
  <c r="T208" i="11"/>
  <c r="T230" i="11"/>
  <c r="T251" i="11"/>
  <c r="T272" i="11"/>
  <c r="T294" i="11"/>
  <c r="T315" i="11"/>
  <c r="T336" i="11"/>
  <c r="T358" i="11"/>
  <c r="T379" i="11"/>
  <c r="T400" i="11"/>
  <c r="T422" i="11"/>
  <c r="T443" i="11"/>
  <c r="T464" i="11"/>
  <c r="T486" i="11"/>
  <c r="T507" i="11"/>
  <c r="T524" i="11"/>
  <c r="T540" i="11"/>
  <c r="T556" i="11"/>
  <c r="T572" i="11"/>
  <c r="T588" i="11"/>
  <c r="T604" i="11"/>
  <c r="T66" i="11"/>
  <c r="T87" i="11"/>
  <c r="T108" i="11"/>
  <c r="T130" i="11"/>
  <c r="T151" i="11"/>
  <c r="T172" i="11"/>
  <c r="T194" i="11"/>
  <c r="T215" i="11"/>
  <c r="T236" i="11"/>
  <c r="T258" i="11"/>
  <c r="T279" i="11"/>
  <c r="T300" i="11"/>
  <c r="T322" i="11"/>
  <c r="T343" i="11"/>
  <c r="T364" i="11"/>
  <c r="T386" i="11"/>
  <c r="T407" i="11"/>
  <c r="T428" i="11"/>
  <c r="T450" i="11"/>
  <c r="T471" i="11"/>
  <c r="T492" i="11"/>
  <c r="T513" i="11"/>
  <c r="T529" i="11"/>
  <c r="T545" i="11"/>
  <c r="T561" i="11"/>
  <c r="T577" i="11"/>
  <c r="T593" i="11"/>
  <c r="T609" i="11"/>
  <c r="T94" i="11"/>
  <c r="T136" i="11"/>
  <c r="T179" i="11"/>
  <c r="T222" i="11"/>
  <c r="T264" i="11"/>
  <c r="T307" i="11"/>
  <c r="T350" i="11"/>
  <c r="T392" i="11"/>
  <c r="T435" i="11"/>
  <c r="T478" i="11"/>
  <c r="T518" i="11"/>
  <c r="T550" i="11"/>
  <c r="T582" i="11"/>
  <c r="T63" i="11"/>
  <c r="T106" i="11"/>
  <c r="T148" i="11"/>
  <c r="T191" i="11"/>
  <c r="T234" i="11"/>
  <c r="T276" i="11"/>
  <c r="T319" i="11"/>
  <c r="T362" i="11"/>
  <c r="T404" i="11"/>
  <c r="T447" i="11"/>
  <c r="T490" i="11"/>
  <c r="T527" i="11"/>
  <c r="T559" i="11"/>
  <c r="T591" i="11"/>
  <c r="T99" i="11"/>
  <c r="T184" i="11"/>
  <c r="T270" i="11"/>
  <c r="T355" i="11"/>
  <c r="T440" i="11"/>
  <c r="T522" i="11"/>
  <c r="T586" i="11"/>
  <c r="T131" i="11"/>
  <c r="T216" i="11"/>
  <c r="T323" i="11"/>
  <c r="T494" i="11"/>
  <c r="T79" i="11"/>
  <c r="T164" i="11"/>
  <c r="T250" i="11"/>
  <c r="T335" i="11"/>
  <c r="T420" i="11"/>
  <c r="T506" i="11"/>
  <c r="T571" i="11"/>
  <c r="T302" i="11"/>
  <c r="T472" i="11"/>
  <c r="T610" i="11"/>
  <c r="T68" i="11"/>
  <c r="T90" i="11"/>
  <c r="T611" i="11"/>
  <c r="T303" i="11"/>
  <c r="T452" i="11"/>
  <c r="T111" i="11"/>
  <c r="T65" i="11"/>
  <c r="T81" i="11"/>
  <c r="T97" i="11"/>
  <c r="T113" i="11"/>
  <c r="T129" i="11"/>
  <c r="T145" i="11"/>
  <c r="T161" i="11"/>
  <c r="T177" i="11"/>
  <c r="T193" i="11"/>
  <c r="T209" i="11"/>
  <c r="T225" i="11"/>
  <c r="T241" i="11"/>
  <c r="T257" i="11"/>
  <c r="T273" i="11"/>
  <c r="T289" i="11"/>
  <c r="T305" i="11"/>
  <c r="T321" i="11"/>
  <c r="T337" i="11"/>
  <c r="T353" i="11"/>
  <c r="T369" i="11"/>
  <c r="T385" i="11"/>
  <c r="T401" i="11"/>
  <c r="T417" i="11"/>
  <c r="T433" i="11"/>
  <c r="T449" i="11"/>
  <c r="T465" i="11"/>
  <c r="T481" i="11"/>
  <c r="T497" i="11"/>
  <c r="T64" i="11"/>
  <c r="T86" i="11"/>
  <c r="T107" i="11"/>
  <c r="T128" i="11"/>
  <c r="T150" i="11"/>
  <c r="T171" i="11"/>
  <c r="T192" i="11"/>
  <c r="T214" i="11"/>
  <c r="T235" i="11"/>
  <c r="T256" i="11"/>
  <c r="T278" i="11"/>
  <c r="T299" i="11"/>
  <c r="T320" i="11"/>
  <c r="T342" i="11"/>
  <c r="T363" i="11"/>
  <c r="T384" i="11"/>
  <c r="T406" i="11"/>
  <c r="T427" i="11"/>
  <c r="T448" i="11"/>
  <c r="T470" i="11"/>
  <c r="T491" i="11"/>
  <c r="T512" i="11"/>
  <c r="T528" i="11"/>
  <c r="T544" i="11"/>
  <c r="T560" i="11"/>
  <c r="T576" i="11"/>
  <c r="T592" i="11"/>
  <c r="T608" i="11"/>
  <c r="T71" i="11"/>
  <c r="T92" i="11"/>
  <c r="T114" i="11"/>
  <c r="T135" i="11"/>
  <c r="T156" i="11"/>
  <c r="T178" i="11"/>
  <c r="T199" i="11"/>
  <c r="T220" i="11"/>
  <c r="T242" i="11"/>
  <c r="T263" i="11"/>
  <c r="T284" i="11"/>
  <c r="T306" i="11"/>
  <c r="T327" i="11"/>
  <c r="T348" i="11"/>
  <c r="T370" i="11"/>
  <c r="T391" i="11"/>
  <c r="T412" i="11"/>
  <c r="T434" i="11"/>
  <c r="T455" i="11"/>
  <c r="T476" i="11"/>
  <c r="T498" i="11"/>
  <c r="T517" i="11"/>
  <c r="T533" i="11"/>
  <c r="T549" i="11"/>
  <c r="T565" i="11"/>
  <c r="T581" i="11"/>
  <c r="T597" i="11"/>
  <c r="T62" i="11"/>
  <c r="T104" i="11"/>
  <c r="T147" i="11"/>
  <c r="T190" i="11"/>
  <c r="T232" i="11"/>
  <c r="T275" i="11"/>
  <c r="T318" i="11"/>
  <c r="T360" i="11"/>
  <c r="T403" i="11"/>
  <c r="T446" i="11"/>
  <c r="T488" i="11"/>
  <c r="T526" i="11"/>
  <c r="T558" i="11"/>
  <c r="T590" i="11"/>
  <c r="T74" i="11"/>
  <c r="T116" i="11"/>
  <c r="T159" i="11"/>
  <c r="T202" i="11"/>
  <c r="T244" i="11"/>
  <c r="T287" i="11"/>
  <c r="T330" i="11"/>
  <c r="T372" i="11"/>
  <c r="T415" i="11"/>
  <c r="T458" i="11"/>
  <c r="T500" i="11"/>
  <c r="T535" i="11"/>
  <c r="T567" i="11"/>
  <c r="T599" i="11"/>
  <c r="T120" i="11"/>
  <c r="T206" i="11"/>
  <c r="T291" i="11"/>
  <c r="T376" i="11"/>
  <c r="T462" i="11"/>
  <c r="T538" i="11"/>
  <c r="T602" i="11"/>
  <c r="T152" i="11"/>
  <c r="T238" i="11"/>
  <c r="T366" i="11"/>
  <c r="T530" i="11"/>
  <c r="T100" i="11"/>
  <c r="T186" i="11"/>
  <c r="T271" i="11"/>
  <c r="T356" i="11"/>
  <c r="T442" i="11"/>
  <c r="T523" i="11"/>
  <c r="T587" i="11"/>
  <c r="T344" i="11"/>
  <c r="T514" i="11"/>
  <c r="T515" i="11"/>
  <c r="T495" i="11"/>
  <c r="T579" i="11"/>
  <c r="T563" i="11"/>
  <c r="T547" i="11"/>
  <c r="T218" i="11"/>
  <c r="T367" i="11"/>
  <c r="T69" i="11"/>
  <c r="T101" i="11"/>
  <c r="T133" i="11"/>
  <c r="T165" i="11"/>
  <c r="T197" i="11"/>
  <c r="T229" i="11"/>
  <c r="T261" i="11"/>
  <c r="T293" i="11"/>
  <c r="T325" i="11"/>
  <c r="T357" i="11"/>
  <c r="T389" i="11"/>
  <c r="T421" i="11"/>
  <c r="T453" i="11"/>
  <c r="T485" i="11"/>
  <c r="T70" i="11"/>
  <c r="T112" i="11"/>
  <c r="T155" i="11"/>
  <c r="T198" i="11"/>
  <c r="T240" i="11"/>
  <c r="T283" i="11"/>
  <c r="T326" i="11"/>
  <c r="T368" i="11"/>
  <c r="T411" i="11"/>
  <c r="T454" i="11"/>
  <c r="T496" i="11"/>
  <c r="T532" i="11"/>
  <c r="T564" i="11"/>
  <c r="T596" i="11"/>
  <c r="T76" i="11"/>
  <c r="T119" i="11"/>
  <c r="T162" i="11"/>
  <c r="T204" i="11"/>
  <c r="T247" i="11"/>
  <c r="T290" i="11"/>
  <c r="T332" i="11"/>
  <c r="T375" i="11"/>
  <c r="T418" i="11"/>
  <c r="T460" i="11"/>
  <c r="T503" i="11"/>
  <c r="T537" i="11"/>
  <c r="T569" i="11"/>
  <c r="T601" i="11"/>
  <c r="T115" i="11"/>
  <c r="T200" i="11"/>
  <c r="T286" i="11"/>
  <c r="T371" i="11"/>
  <c r="T456" i="11"/>
  <c r="T534" i="11"/>
  <c r="T598" i="11"/>
  <c r="T127" i="11"/>
  <c r="T212" i="11"/>
  <c r="T298" i="11"/>
  <c r="T383" i="11"/>
  <c r="T468" i="11"/>
  <c r="T543" i="11"/>
  <c r="T607" i="11"/>
  <c r="T227" i="11"/>
  <c r="T398" i="11"/>
  <c r="T554" i="11"/>
  <c r="T174" i="11"/>
  <c r="T408" i="11"/>
  <c r="T122" i="11"/>
  <c r="T292" i="11"/>
  <c r="T463" i="11"/>
  <c r="T603" i="11"/>
  <c r="T546" i="11"/>
  <c r="T324" i="11"/>
  <c r="T410" i="11"/>
  <c r="T132" i="11"/>
  <c r="T595" i="11"/>
  <c r="T117" i="11"/>
  <c r="T277" i="11"/>
  <c r="T341" i="11"/>
  <c r="T405" i="11"/>
  <c r="T469" i="11"/>
  <c r="T91" i="11"/>
  <c r="T176" i="11"/>
  <c r="T262" i="11"/>
  <c r="T347" i="11"/>
  <c r="T432" i="11"/>
  <c r="T516" i="11"/>
  <c r="T580" i="11"/>
  <c r="T98" i="11"/>
  <c r="T183" i="11"/>
  <c r="T268" i="11"/>
  <c r="T354" i="11"/>
  <c r="T439" i="11"/>
  <c r="T521" i="11"/>
  <c r="T585" i="11"/>
  <c r="T158" i="11"/>
  <c r="T328" i="11"/>
  <c r="T499" i="11"/>
  <c r="T84" i="11"/>
  <c r="T255" i="11"/>
  <c r="T426" i="11"/>
  <c r="T575" i="11"/>
  <c r="T312" i="11"/>
  <c r="T88" i="11"/>
  <c r="T562" i="11"/>
  <c r="T207" i="11"/>
  <c r="T539" i="11"/>
  <c r="T431" i="11"/>
  <c r="T474" i="11"/>
  <c r="T121" i="11"/>
  <c r="T185" i="11"/>
  <c r="T249" i="11"/>
  <c r="T313" i="11"/>
  <c r="T377" i="11"/>
  <c r="T441" i="11"/>
  <c r="T505" i="11"/>
  <c r="T139" i="11"/>
  <c r="T224" i="11"/>
  <c r="T310" i="11"/>
  <c r="T395" i="11"/>
  <c r="T480" i="11"/>
  <c r="T552" i="11"/>
  <c r="T60" i="11"/>
  <c r="T103" i="11"/>
  <c r="T188" i="11"/>
  <c r="T274" i="11"/>
  <c r="T359" i="11"/>
  <c r="T444" i="11"/>
  <c r="T525" i="11"/>
  <c r="T557" i="11"/>
  <c r="T83" i="11"/>
  <c r="T254" i="11"/>
  <c r="T510" i="11"/>
  <c r="T574" i="11"/>
  <c r="T180" i="11"/>
  <c r="T351" i="11"/>
  <c r="T583" i="11"/>
  <c r="T334" i="11"/>
  <c r="T110" i="11"/>
  <c r="T594" i="11"/>
  <c r="T399" i="11"/>
  <c r="T430" i="11"/>
  <c r="T260" i="11"/>
  <c r="T73" i="11"/>
  <c r="T105" i="11"/>
  <c r="T137" i="11"/>
  <c r="T169" i="11"/>
  <c r="T201" i="11"/>
  <c r="T233" i="11"/>
  <c r="T265" i="11"/>
  <c r="T297" i="11"/>
  <c r="T329" i="11"/>
  <c r="T361" i="11"/>
  <c r="T393" i="11"/>
  <c r="T425" i="11"/>
  <c r="T457" i="11"/>
  <c r="T489" i="11"/>
  <c r="T75" i="11"/>
  <c r="T118" i="11"/>
  <c r="T160" i="11"/>
  <c r="T203" i="11"/>
  <c r="T246" i="11"/>
  <c r="T288" i="11"/>
  <c r="T331" i="11"/>
  <c r="T374" i="11"/>
  <c r="T416" i="11"/>
  <c r="T459" i="11"/>
  <c r="T502" i="11"/>
  <c r="T536" i="11"/>
  <c r="T568" i="11"/>
  <c r="T600" i="11"/>
  <c r="T82" i="11"/>
  <c r="T124" i="11"/>
  <c r="T167" i="11"/>
  <c r="T210" i="11"/>
  <c r="T252" i="11"/>
  <c r="T295" i="11"/>
  <c r="T338" i="11"/>
  <c r="T380" i="11"/>
  <c r="T423" i="11"/>
  <c r="T466" i="11"/>
  <c r="T508" i="11"/>
  <c r="T541" i="11"/>
  <c r="T573" i="11"/>
  <c r="T605" i="11"/>
  <c r="T126" i="11"/>
  <c r="T211" i="11"/>
  <c r="T296" i="11"/>
  <c r="T382" i="11"/>
  <c r="T467" i="11"/>
  <c r="T542" i="11"/>
  <c r="T606" i="11"/>
  <c r="T138" i="11"/>
  <c r="T223" i="11"/>
  <c r="T308" i="11"/>
  <c r="T394" i="11"/>
  <c r="T479" i="11"/>
  <c r="T551" i="11"/>
  <c r="T78" i="11"/>
  <c r="T248" i="11"/>
  <c r="T419" i="11"/>
  <c r="T570" i="11"/>
  <c r="T195" i="11"/>
  <c r="T451" i="11"/>
  <c r="T143" i="11"/>
  <c r="T314" i="11"/>
  <c r="T484" i="11"/>
  <c r="T67" i="11"/>
  <c r="T578" i="11"/>
  <c r="T154" i="11"/>
  <c r="T239" i="11"/>
  <c r="T531" i="11"/>
  <c r="T85" i="11"/>
  <c r="T149" i="11"/>
  <c r="T181" i="11"/>
  <c r="T213" i="11"/>
  <c r="T245" i="11"/>
  <c r="T309" i="11"/>
  <c r="T373" i="11"/>
  <c r="T437" i="11"/>
  <c r="T501" i="11"/>
  <c r="T134" i="11"/>
  <c r="T219" i="11"/>
  <c r="T304" i="11"/>
  <c r="T390" i="11"/>
  <c r="T475" i="11"/>
  <c r="T548" i="11"/>
  <c r="T59" i="11"/>
  <c r="T140" i="11"/>
  <c r="T226" i="11"/>
  <c r="T311" i="11"/>
  <c r="T396" i="11"/>
  <c r="T482" i="11"/>
  <c r="T553" i="11"/>
  <c r="T72" i="11"/>
  <c r="T243" i="11"/>
  <c r="T414" i="11"/>
  <c r="T566" i="11"/>
  <c r="T170" i="11"/>
  <c r="T340" i="11"/>
  <c r="T511" i="11"/>
  <c r="T142" i="11"/>
  <c r="T483" i="11"/>
  <c r="T259" i="11"/>
  <c r="T378" i="11"/>
  <c r="T387" i="11"/>
  <c r="T346" i="11"/>
  <c r="T282" i="11"/>
  <c r="T89" i="11"/>
  <c r="T153" i="11"/>
  <c r="T217" i="11"/>
  <c r="T281" i="11"/>
  <c r="T345" i="11"/>
  <c r="T409" i="11"/>
  <c r="T473" i="11"/>
  <c r="T96" i="11"/>
  <c r="T182" i="11"/>
  <c r="T267" i="11"/>
  <c r="T352" i="11"/>
  <c r="T438" i="11"/>
  <c r="T520" i="11"/>
  <c r="T584" i="11"/>
  <c r="T146" i="11"/>
  <c r="T231" i="11"/>
  <c r="T316" i="11"/>
  <c r="T402" i="11"/>
  <c r="T487" i="11"/>
  <c r="T589" i="11"/>
  <c r="T168" i="11"/>
  <c r="T339" i="11"/>
  <c r="T424" i="11"/>
  <c r="T95" i="11"/>
  <c r="T266" i="11"/>
  <c r="T436" i="11"/>
  <c r="T519" i="11"/>
  <c r="T163" i="11"/>
  <c r="T504" i="11"/>
  <c r="T280" i="11"/>
  <c r="T228" i="11"/>
  <c r="T555" i="11"/>
  <c r="T175" i="11"/>
  <c r="T388" i="11"/>
  <c r="T196" i="11"/>
  <c r="U234" i="11"/>
  <c r="U485" i="11"/>
  <c r="U600" i="11"/>
  <c r="U526" i="11"/>
  <c r="U554" i="11"/>
  <c r="U322" i="11"/>
  <c r="U400" i="11"/>
  <c r="U67" i="11"/>
  <c r="U83" i="11"/>
  <c r="U99" i="11"/>
  <c r="U115" i="11"/>
  <c r="U131" i="11"/>
  <c r="U147" i="11"/>
  <c r="U163" i="11"/>
  <c r="U179" i="11"/>
  <c r="U195" i="11"/>
  <c r="U211" i="11"/>
  <c r="U227" i="11"/>
  <c r="U243" i="11"/>
  <c r="U259" i="11"/>
  <c r="U275" i="11"/>
  <c r="U291" i="11"/>
  <c r="U307" i="11"/>
  <c r="U323" i="11"/>
  <c r="U339" i="11"/>
  <c r="U355" i="11"/>
  <c r="U371" i="11"/>
  <c r="U387" i="11"/>
  <c r="U64" i="11"/>
  <c r="U80" i="11"/>
  <c r="U96" i="11"/>
  <c r="U112" i="11"/>
  <c r="U128" i="11"/>
  <c r="U144" i="11"/>
  <c r="U160" i="11"/>
  <c r="U176" i="11"/>
  <c r="U192" i="11"/>
  <c r="U208" i="11"/>
  <c r="U224" i="11"/>
  <c r="U240" i="11"/>
  <c r="U256" i="11"/>
  <c r="U272" i="11"/>
  <c r="U288" i="11"/>
  <c r="U304" i="11"/>
  <c r="U320" i="11"/>
  <c r="U336" i="11"/>
  <c r="U352" i="11"/>
  <c r="U368" i="11"/>
  <c r="U384" i="11"/>
  <c r="U85" i="11"/>
  <c r="U117" i="11"/>
  <c r="U149" i="11"/>
  <c r="U181" i="11"/>
  <c r="U213" i="11"/>
  <c r="U245" i="11"/>
  <c r="U277" i="11"/>
  <c r="U309" i="11"/>
  <c r="U341" i="11"/>
  <c r="U373" i="11"/>
  <c r="U398" i="11"/>
  <c r="U414" i="11"/>
  <c r="U430" i="11"/>
  <c r="U446" i="11"/>
  <c r="U462" i="11"/>
  <c r="U478" i="11"/>
  <c r="U494" i="11"/>
  <c r="U510" i="11"/>
  <c r="U62" i="11"/>
  <c r="U94" i="11"/>
  <c r="U126" i="11"/>
  <c r="U158" i="11"/>
  <c r="U190" i="11"/>
  <c r="U222" i="11"/>
  <c r="U254" i="11"/>
  <c r="U286" i="11"/>
  <c r="U318" i="11"/>
  <c r="U350" i="11"/>
  <c r="U382" i="11"/>
  <c r="U403" i="11"/>
  <c r="U419" i="11"/>
  <c r="U435" i="11"/>
  <c r="U451" i="11"/>
  <c r="U467" i="11"/>
  <c r="U483" i="11"/>
  <c r="U499" i="11"/>
  <c r="U515" i="11"/>
  <c r="U531" i="11"/>
  <c r="U547" i="11"/>
  <c r="U563" i="11"/>
  <c r="U113" i="11"/>
  <c r="U177" i="11"/>
  <c r="U241" i="11"/>
  <c r="U305" i="11"/>
  <c r="U369" i="11"/>
  <c r="U412" i="11"/>
  <c r="U444" i="11"/>
  <c r="U476" i="11"/>
  <c r="U508" i="11"/>
  <c r="U534" i="11"/>
  <c r="U556" i="11"/>
  <c r="U574" i="11"/>
  <c r="U590" i="11"/>
  <c r="U606" i="11"/>
  <c r="U90" i="11"/>
  <c r="U178" i="11"/>
  <c r="U265" i="11"/>
  <c r="U346" i="11"/>
  <c r="U413" i="11"/>
  <c r="U456" i="11"/>
  <c r="U497" i="11"/>
  <c r="U536" i="11"/>
  <c r="U564" i="11"/>
  <c r="U585" i="11"/>
  <c r="U607" i="11"/>
  <c r="U121" i="11"/>
  <c r="U202" i="11"/>
  <c r="U290" i="11"/>
  <c r="U377" i="11"/>
  <c r="U425" i="11"/>
  <c r="U469" i="11"/>
  <c r="U512" i="11"/>
  <c r="U544" i="11"/>
  <c r="U571" i="11"/>
  <c r="U592" i="11"/>
  <c r="U82" i="11"/>
  <c r="U250" i="11"/>
  <c r="U408" i="11"/>
  <c r="U493" i="11"/>
  <c r="U560" i="11"/>
  <c r="U604" i="11"/>
  <c r="U217" i="11"/>
  <c r="U386" i="11"/>
  <c r="U473" i="11"/>
  <c r="U548" i="11"/>
  <c r="U595" i="11"/>
  <c r="U274" i="11"/>
  <c r="U504" i="11"/>
  <c r="U609" i="11"/>
  <c r="U397" i="11"/>
  <c r="U553" i="11"/>
  <c r="U194" i="11"/>
  <c r="U464" i="11"/>
  <c r="U589" i="11"/>
  <c r="U71" i="11"/>
  <c r="U87" i="11"/>
  <c r="U103" i="11"/>
  <c r="U119" i="11"/>
  <c r="U135" i="11"/>
  <c r="U151" i="11"/>
  <c r="U167" i="11"/>
  <c r="U183" i="11"/>
  <c r="U199" i="11"/>
  <c r="U215" i="11"/>
  <c r="U231" i="11"/>
  <c r="U247" i="11"/>
  <c r="U263" i="11"/>
  <c r="U279" i="11"/>
  <c r="U295" i="11"/>
  <c r="U311" i="11"/>
  <c r="U327" i="11"/>
  <c r="U343" i="11"/>
  <c r="U359" i="11"/>
  <c r="U375" i="11"/>
  <c r="U391" i="11"/>
  <c r="U68" i="11"/>
  <c r="U84" i="11"/>
  <c r="U100" i="11"/>
  <c r="U116" i="11"/>
  <c r="U132" i="11"/>
  <c r="U148" i="11"/>
  <c r="U164" i="11"/>
  <c r="U180" i="11"/>
  <c r="U196" i="11"/>
  <c r="U212" i="11"/>
  <c r="U228" i="11"/>
  <c r="U244" i="11"/>
  <c r="U260" i="11"/>
  <c r="U276" i="11"/>
  <c r="U292" i="11"/>
  <c r="U308" i="11"/>
  <c r="U324" i="11"/>
  <c r="U340" i="11"/>
  <c r="U356" i="11"/>
  <c r="U372" i="11"/>
  <c r="U61" i="11"/>
  <c r="U93" i="11"/>
  <c r="U125" i="11"/>
  <c r="U157" i="11"/>
  <c r="U189" i="11"/>
  <c r="U221" i="11"/>
  <c r="U253" i="11"/>
  <c r="U285" i="11"/>
  <c r="U317" i="11"/>
  <c r="U349" i="11"/>
  <c r="U381" i="11"/>
  <c r="U402" i="11"/>
  <c r="U418" i="11"/>
  <c r="U434" i="11"/>
  <c r="U450" i="11"/>
  <c r="U466" i="11"/>
  <c r="U482" i="11"/>
  <c r="U498" i="11"/>
  <c r="U514" i="11"/>
  <c r="U70" i="11"/>
  <c r="U102" i="11"/>
  <c r="U134" i="11"/>
  <c r="U166" i="11"/>
  <c r="U198" i="11"/>
  <c r="U230" i="11"/>
  <c r="U262" i="11"/>
  <c r="U294" i="11"/>
  <c r="U326" i="11"/>
  <c r="U358" i="11"/>
  <c r="U389" i="11"/>
  <c r="U407" i="11"/>
  <c r="U423" i="11"/>
  <c r="U439" i="11"/>
  <c r="U455" i="11"/>
  <c r="U471" i="11"/>
  <c r="U487" i="11"/>
  <c r="U503" i="11"/>
  <c r="U519" i="11"/>
  <c r="U535" i="11"/>
  <c r="U551" i="11"/>
  <c r="U65" i="11"/>
  <c r="U129" i="11"/>
  <c r="U193" i="11"/>
  <c r="U257" i="11"/>
  <c r="U321" i="11"/>
  <c r="U385" i="11"/>
  <c r="U420" i="11"/>
  <c r="U452" i="11"/>
  <c r="U484" i="11"/>
  <c r="U516" i="11"/>
  <c r="U540" i="11"/>
  <c r="U561" i="11"/>
  <c r="U578" i="11"/>
  <c r="U594" i="11"/>
  <c r="U610" i="11"/>
  <c r="U114" i="11"/>
  <c r="U201" i="11"/>
  <c r="U282" i="11"/>
  <c r="U370" i="11"/>
  <c r="U424" i="11"/>
  <c r="U465" i="11"/>
  <c r="U509" i="11"/>
  <c r="U542" i="11"/>
  <c r="U569" i="11"/>
  <c r="U591" i="11"/>
  <c r="U59" i="11"/>
  <c r="U138" i="11"/>
  <c r="U226" i="11"/>
  <c r="U313" i="11"/>
  <c r="U392" i="11"/>
  <c r="U437" i="11"/>
  <c r="U480" i="11"/>
  <c r="U521" i="11"/>
  <c r="U552" i="11"/>
  <c r="U576" i="11"/>
  <c r="U597" i="11"/>
  <c r="U122" i="11"/>
  <c r="U297" i="11"/>
  <c r="U429" i="11"/>
  <c r="U513" i="11"/>
  <c r="U572" i="11"/>
  <c r="U89" i="11"/>
  <c r="U258" i="11"/>
  <c r="U409" i="11"/>
  <c r="U496" i="11"/>
  <c r="U562" i="11"/>
  <c r="U605" i="11"/>
  <c r="U361" i="11"/>
  <c r="U538" i="11"/>
  <c r="U146" i="11"/>
  <c r="U440" i="11"/>
  <c r="U577" i="11"/>
  <c r="U281" i="11"/>
  <c r="U505" i="11"/>
  <c r="U611" i="11"/>
  <c r="U579" i="11"/>
  <c r="U91" i="11"/>
  <c r="U123" i="11"/>
  <c r="U155" i="11"/>
  <c r="U187" i="11"/>
  <c r="U219" i="11"/>
  <c r="U251" i="11"/>
  <c r="U283" i="11"/>
  <c r="U315" i="11"/>
  <c r="U347" i="11"/>
  <c r="U379" i="11"/>
  <c r="U72" i="11"/>
  <c r="U104" i="11"/>
  <c r="U136" i="11"/>
  <c r="U168" i="11"/>
  <c r="U200" i="11"/>
  <c r="U232" i="11"/>
  <c r="U264" i="11"/>
  <c r="U296" i="11"/>
  <c r="U328" i="11"/>
  <c r="U360" i="11"/>
  <c r="U69" i="11"/>
  <c r="U133" i="11"/>
  <c r="U197" i="11"/>
  <c r="U261" i="11"/>
  <c r="U325" i="11"/>
  <c r="U388" i="11"/>
  <c r="U422" i="11"/>
  <c r="U454" i="11"/>
  <c r="U486" i="11"/>
  <c r="U518" i="11"/>
  <c r="U110" i="11"/>
  <c r="U174" i="11"/>
  <c r="U238" i="11"/>
  <c r="U302" i="11"/>
  <c r="U366" i="11"/>
  <c r="U411" i="11"/>
  <c r="U443" i="11"/>
  <c r="U475" i="11"/>
  <c r="U507" i="11"/>
  <c r="U539" i="11"/>
  <c r="U81" i="11"/>
  <c r="U209" i="11"/>
  <c r="U337" i="11"/>
  <c r="U428" i="11"/>
  <c r="U492" i="11"/>
  <c r="U545" i="11"/>
  <c r="U582" i="11"/>
  <c r="U66" i="11"/>
  <c r="U218" i="11"/>
  <c r="U390" i="11"/>
  <c r="U477" i="11"/>
  <c r="U549" i="11"/>
  <c r="U596" i="11"/>
  <c r="U162" i="11"/>
  <c r="U330" i="11"/>
  <c r="U448" i="11"/>
  <c r="U530" i="11"/>
  <c r="U581" i="11"/>
  <c r="U169" i="11"/>
  <c r="U449" i="11"/>
  <c r="U583" i="11"/>
  <c r="U298" i="11"/>
  <c r="U517" i="11"/>
  <c r="U105" i="11"/>
  <c r="U567" i="11"/>
  <c r="U481" i="11"/>
  <c r="U362" i="11"/>
  <c r="U441" i="11"/>
  <c r="U107" i="11"/>
  <c r="U171" i="11"/>
  <c r="U235" i="11"/>
  <c r="U331" i="11"/>
  <c r="U395" i="11"/>
  <c r="U88" i="11"/>
  <c r="U152" i="11"/>
  <c r="U216" i="11"/>
  <c r="U280" i="11"/>
  <c r="U344" i="11"/>
  <c r="U101" i="11"/>
  <c r="U229" i="11"/>
  <c r="U357" i="11"/>
  <c r="U438" i="11"/>
  <c r="U502" i="11"/>
  <c r="U142" i="11"/>
  <c r="U270" i="11"/>
  <c r="U394" i="11"/>
  <c r="U459" i="11"/>
  <c r="U523" i="11"/>
  <c r="U145" i="11"/>
  <c r="U396" i="11"/>
  <c r="U524" i="11"/>
  <c r="U598" i="11"/>
  <c r="U306" i="11"/>
  <c r="U520" i="11"/>
  <c r="U74" i="11"/>
  <c r="U405" i="11"/>
  <c r="U558" i="11"/>
  <c r="U338" i="11"/>
  <c r="U130" i="11"/>
  <c r="U573" i="11"/>
  <c r="U79" i="11"/>
  <c r="U143" i="11"/>
  <c r="U207" i="11"/>
  <c r="U271" i="11"/>
  <c r="U335" i="11"/>
  <c r="U60" i="11"/>
  <c r="U124" i="11"/>
  <c r="U188" i="11"/>
  <c r="U252" i="11"/>
  <c r="U284" i="11"/>
  <c r="U380" i="11"/>
  <c r="U173" i="11"/>
  <c r="U301" i="11"/>
  <c r="U410" i="11"/>
  <c r="U474" i="11"/>
  <c r="U86" i="11"/>
  <c r="U150" i="11"/>
  <c r="U278" i="11"/>
  <c r="U431" i="11"/>
  <c r="U495" i="11"/>
  <c r="U527" i="11"/>
  <c r="U161" i="11"/>
  <c r="U404" i="11"/>
  <c r="U529" i="11"/>
  <c r="U602" i="11"/>
  <c r="U445" i="11"/>
  <c r="U528" i="11"/>
  <c r="U98" i="11"/>
  <c r="U416" i="11"/>
  <c r="U565" i="11"/>
  <c r="U378" i="11"/>
  <c r="U170" i="11"/>
  <c r="U584" i="11"/>
  <c r="U314" i="11"/>
  <c r="U568" i="11"/>
  <c r="U63" i="11"/>
  <c r="U95" i="11"/>
  <c r="U127" i="11"/>
  <c r="U159" i="11"/>
  <c r="U191" i="11"/>
  <c r="U223" i="11"/>
  <c r="U255" i="11"/>
  <c r="U287" i="11"/>
  <c r="U319" i="11"/>
  <c r="U351" i="11"/>
  <c r="U383" i="11"/>
  <c r="U76" i="11"/>
  <c r="U108" i="11"/>
  <c r="U140" i="11"/>
  <c r="U172" i="11"/>
  <c r="U204" i="11"/>
  <c r="U236" i="11"/>
  <c r="U268" i="11"/>
  <c r="U300" i="11"/>
  <c r="U332" i="11"/>
  <c r="U364" i="11"/>
  <c r="U77" i="11"/>
  <c r="U141" i="11"/>
  <c r="U205" i="11"/>
  <c r="U269" i="11"/>
  <c r="U333" i="11"/>
  <c r="U393" i="11"/>
  <c r="U426" i="11"/>
  <c r="U458" i="11"/>
  <c r="U490" i="11"/>
  <c r="U522" i="11"/>
  <c r="U118" i="11"/>
  <c r="U182" i="11"/>
  <c r="U246" i="11"/>
  <c r="U310" i="11"/>
  <c r="U374" i="11"/>
  <c r="U415" i="11"/>
  <c r="U447" i="11"/>
  <c r="U479" i="11"/>
  <c r="U511" i="11"/>
  <c r="U543" i="11"/>
  <c r="U97" i="11"/>
  <c r="U225" i="11"/>
  <c r="U353" i="11"/>
  <c r="U436" i="11"/>
  <c r="U500" i="11"/>
  <c r="U550" i="11"/>
  <c r="U586" i="11"/>
  <c r="U73" i="11"/>
  <c r="U242" i="11"/>
  <c r="U401" i="11"/>
  <c r="U488" i="11"/>
  <c r="U557" i="11"/>
  <c r="U601" i="11"/>
  <c r="U185" i="11"/>
  <c r="U354" i="11"/>
  <c r="U457" i="11"/>
  <c r="U537" i="11"/>
  <c r="U587" i="11"/>
  <c r="U210" i="11"/>
  <c r="U472" i="11"/>
  <c r="U593" i="11"/>
  <c r="U345" i="11"/>
  <c r="U533" i="11"/>
  <c r="U186" i="11"/>
  <c r="U588" i="11"/>
  <c r="U525" i="11"/>
  <c r="U421" i="11"/>
  <c r="U153" i="11"/>
  <c r="U75" i="11"/>
  <c r="U139" i="11"/>
  <c r="U203" i="11"/>
  <c r="U267" i="11"/>
  <c r="U299" i="11"/>
  <c r="U363" i="11"/>
  <c r="U120" i="11"/>
  <c r="U184" i="11"/>
  <c r="U248" i="11"/>
  <c r="U312" i="11"/>
  <c r="U376" i="11"/>
  <c r="U165" i="11"/>
  <c r="U293" i="11"/>
  <c r="U406" i="11"/>
  <c r="U470" i="11"/>
  <c r="U78" i="11"/>
  <c r="U206" i="11"/>
  <c r="U334" i="11"/>
  <c r="U427" i="11"/>
  <c r="U491" i="11"/>
  <c r="U555" i="11"/>
  <c r="U273" i="11"/>
  <c r="U460" i="11"/>
  <c r="U566" i="11"/>
  <c r="U137" i="11"/>
  <c r="U433" i="11"/>
  <c r="U575" i="11"/>
  <c r="U249" i="11"/>
  <c r="U489" i="11"/>
  <c r="U603" i="11"/>
  <c r="U532" i="11"/>
  <c r="U432" i="11"/>
  <c r="U417" i="11"/>
  <c r="U233" i="11"/>
  <c r="U599" i="11"/>
  <c r="U541" i="11"/>
  <c r="U111" i="11"/>
  <c r="U175" i="11"/>
  <c r="U239" i="11"/>
  <c r="U303" i="11"/>
  <c r="U367" i="11"/>
  <c r="U92" i="11"/>
  <c r="U156" i="11"/>
  <c r="U220" i="11"/>
  <c r="U316" i="11"/>
  <c r="U348" i="11"/>
  <c r="U109" i="11"/>
  <c r="U237" i="11"/>
  <c r="U365" i="11"/>
  <c r="U442" i="11"/>
  <c r="U506" i="11"/>
  <c r="U214" i="11"/>
  <c r="U342" i="11"/>
  <c r="U399" i="11"/>
  <c r="U463" i="11"/>
  <c r="U559" i="11"/>
  <c r="U289" i="11"/>
  <c r="U468" i="11"/>
  <c r="U570" i="11"/>
  <c r="U154" i="11"/>
  <c r="U329" i="11"/>
  <c r="U580" i="11"/>
  <c r="U266" i="11"/>
  <c r="U501" i="11"/>
  <c r="U608" i="11"/>
  <c r="U546" i="11"/>
  <c r="U453" i="11"/>
  <c r="U461" i="11"/>
  <c r="U106" i="11"/>
  <c r="Q62" i="11" l="1"/>
  <c r="B18" i="11" s="1"/>
  <c r="E77" i="10" s="1"/>
  <c r="Q61" i="11"/>
  <c r="B17" i="11" s="1"/>
  <c r="D77" i="10" s="1"/>
  <c r="B9" i="16"/>
  <c r="B82" i="10" s="1"/>
  <c r="H10" i="7" l="1"/>
  <c r="G10" i="7"/>
  <c r="J10" i="7"/>
  <c r="I10" i="7"/>
  <c r="C16" i="10" l="1"/>
  <c r="C28" i="9"/>
  <c r="D28" i="9"/>
  <c r="E28" i="9"/>
  <c r="B30" i="9"/>
  <c r="E22" i="9" l="1"/>
  <c r="C21" i="9"/>
  <c r="C18" i="9" s="1"/>
  <c r="C23" i="9" s="1"/>
  <c r="D21" i="9"/>
  <c r="D18" i="9" s="1"/>
  <c r="E21" i="9"/>
  <c r="E18" i="9" s="1"/>
  <c r="B21" i="9"/>
  <c r="B31" i="9"/>
  <c r="B65" i="10" s="1"/>
  <c r="C10" i="8"/>
  <c r="C12" i="8" s="1"/>
  <c r="F12" i="8" l="1"/>
  <c r="E12" i="8"/>
  <c r="D12" i="8"/>
  <c r="C25" i="9"/>
  <c r="C26" i="9" s="1"/>
  <c r="C90" i="10" s="1"/>
  <c r="E23" i="9"/>
  <c r="E25" i="9" s="1"/>
  <c r="E26" i="9" s="1"/>
  <c r="E90" i="10" s="1"/>
  <c r="D23" i="9"/>
  <c r="D25" i="9" s="1"/>
  <c r="D26" i="9" s="1"/>
  <c r="D90" i="10" s="1"/>
  <c r="E80" i="10" l="1"/>
  <c r="C80" i="10"/>
  <c r="B80" i="10"/>
  <c r="E11" i="9" l="1"/>
  <c r="E57" i="10" s="1"/>
  <c r="D11" i="9"/>
  <c r="D57" i="10" s="1"/>
  <c r="C11" i="9"/>
  <c r="C57" i="10" s="1"/>
  <c r="B12" i="10" l="1"/>
  <c r="C44" i="10" l="1"/>
  <c r="D44" i="10"/>
  <c r="E44" i="10"/>
  <c r="C37" i="10"/>
  <c r="D37" i="10"/>
  <c r="E37" i="10"/>
  <c r="B37" i="10"/>
  <c r="D16" i="10"/>
  <c r="E16" i="10"/>
  <c r="B16" i="10"/>
  <c r="C15" i="10"/>
  <c r="D15" i="10"/>
  <c r="E15" i="10"/>
  <c r="B15" i="10"/>
  <c r="C12" i="10"/>
  <c r="D12" i="10"/>
  <c r="E12" i="10"/>
  <c r="I42" i="15"/>
  <c r="H42" i="15"/>
  <c r="G42" i="15"/>
  <c r="I36" i="15"/>
  <c r="E36" i="10" s="1"/>
  <c r="H36" i="15"/>
  <c r="D36" i="10" s="1"/>
  <c r="G36" i="15"/>
  <c r="C36" i="10" s="1"/>
  <c r="I30" i="15"/>
  <c r="H30" i="15"/>
  <c r="G30" i="15"/>
  <c r="I30" i="14"/>
  <c r="H30" i="14"/>
  <c r="G30" i="14"/>
  <c r="F30" i="14"/>
  <c r="I26" i="14"/>
  <c r="I25" i="14" s="1"/>
  <c r="I23" i="14" s="1"/>
  <c r="H26" i="14"/>
  <c r="H25" i="14" s="1"/>
  <c r="H23" i="14" s="1"/>
  <c r="G26" i="14"/>
  <c r="G25" i="14" s="1"/>
  <c r="G23" i="14" s="1"/>
  <c r="F26" i="14"/>
  <c r="I9" i="14"/>
  <c r="H9" i="14"/>
  <c r="G9" i="14"/>
  <c r="C59" i="10"/>
  <c r="D59" i="10"/>
  <c r="E59" i="10"/>
  <c r="B59" i="10"/>
  <c r="C58" i="10"/>
  <c r="D58" i="10"/>
  <c r="E58" i="10"/>
  <c r="I64" i="12"/>
  <c r="I63" i="12" s="1"/>
  <c r="H64" i="12"/>
  <c r="H63" i="12" s="1"/>
  <c r="G64" i="12"/>
  <c r="G63" i="12" s="1"/>
  <c r="I37" i="12"/>
  <c r="I36" i="12" s="1"/>
  <c r="H37" i="12"/>
  <c r="H36" i="12" s="1"/>
  <c r="G37" i="12"/>
  <c r="G36" i="12" s="1"/>
  <c r="I33" i="12"/>
  <c r="I31" i="12" s="1"/>
  <c r="E40" i="11" s="1"/>
  <c r="H33" i="12"/>
  <c r="H31" i="12" s="1"/>
  <c r="D40" i="11" s="1"/>
  <c r="G33" i="12"/>
  <c r="G31" i="12" s="1"/>
  <c r="C40" i="11" s="1"/>
  <c r="F33" i="12"/>
  <c r="F31" i="12" s="1"/>
  <c r="B40" i="11" s="1"/>
  <c r="B37" i="11" s="1"/>
  <c r="I27" i="12"/>
  <c r="H27" i="12"/>
  <c r="G27" i="12"/>
  <c r="F27" i="12"/>
  <c r="I23" i="12"/>
  <c r="E38" i="11" s="1"/>
  <c r="H23" i="12"/>
  <c r="D38" i="11" s="1"/>
  <c r="G23" i="12"/>
  <c r="I35" i="15" l="1"/>
  <c r="G25" i="15"/>
  <c r="G24" i="15"/>
  <c r="H25" i="15"/>
  <c r="H24" i="15"/>
  <c r="E42" i="10"/>
  <c r="I24" i="15"/>
  <c r="I25" i="15"/>
  <c r="I22" i="12"/>
  <c r="I21" i="12" s="1"/>
  <c r="I53" i="12" s="1"/>
  <c r="E54" i="10" s="1"/>
  <c r="C42" i="10"/>
  <c r="G22" i="12"/>
  <c r="G21" i="12" s="1"/>
  <c r="C38" i="11"/>
  <c r="C37" i="11" s="1"/>
  <c r="C76" i="10" s="1"/>
  <c r="D42" i="10"/>
  <c r="D37" i="11"/>
  <c r="D76" i="10" s="1"/>
  <c r="C91" i="10"/>
  <c r="H22" i="12"/>
  <c r="H21" i="12" s="1"/>
  <c r="H53" i="12" s="1"/>
  <c r="E37" i="11"/>
  <c r="E76" i="10" s="1"/>
  <c r="G35" i="15"/>
  <c r="E91" i="10"/>
  <c r="B76" i="10"/>
  <c r="F25" i="14"/>
  <c r="F23" i="14" s="1"/>
  <c r="F36" i="14" s="1"/>
  <c r="I36" i="14"/>
  <c r="G36" i="14"/>
  <c r="H36" i="14"/>
  <c r="F35" i="15"/>
  <c r="F21" i="12"/>
  <c r="B91" i="10"/>
  <c r="D91" i="10"/>
  <c r="H35" i="15"/>
  <c r="G53" i="12"/>
  <c r="H62" i="12" l="1"/>
  <c r="D54" i="10"/>
  <c r="G62" i="12"/>
  <c r="C54" i="10"/>
  <c r="I62" i="12"/>
  <c r="F53" i="12"/>
  <c r="G77" i="12" l="1"/>
  <c r="G16" i="15" s="1"/>
  <c r="G9" i="15" s="1"/>
  <c r="I77" i="12"/>
  <c r="I16" i="15" s="1"/>
  <c r="I9" i="15" s="1"/>
  <c r="H77" i="12"/>
  <c r="H16" i="15" s="1"/>
  <c r="H9" i="15" s="1"/>
  <c r="B54" i="10"/>
  <c r="F62" i="12"/>
  <c r="B11" i="10"/>
  <c r="B18" i="10" s="1"/>
  <c r="D80" i="10"/>
  <c r="H48" i="15" l="1"/>
  <c r="D27" i="10"/>
  <c r="I48" i="15"/>
  <c r="E27" i="10"/>
  <c r="G48" i="15"/>
  <c r="C27" i="10"/>
  <c r="F77" i="12"/>
  <c r="F16" i="15" s="1"/>
  <c r="F9" i="15" s="1"/>
  <c r="B21" i="10"/>
  <c r="E10" i="7"/>
  <c r="F10" i="7"/>
  <c r="D10" i="7"/>
  <c r="F48" i="15" l="1"/>
  <c r="B27" i="10"/>
  <c r="C30" i="9"/>
  <c r="D30" i="9"/>
  <c r="E30" i="9"/>
  <c r="B32" i="10" l="1"/>
  <c r="B92" i="10" s="1"/>
  <c r="E31" i="9"/>
  <c r="D31" i="9"/>
  <c r="C31" i="9"/>
  <c r="E41" i="10"/>
  <c r="D41" i="10"/>
  <c r="C41" i="10"/>
  <c r="E11" i="10"/>
  <c r="D11" i="10"/>
  <c r="D18" i="10" s="1"/>
  <c r="C11" i="10"/>
  <c r="E68" i="10"/>
  <c r="D68" i="10"/>
  <c r="C68" i="10"/>
  <c r="A11" i="9"/>
  <c r="B68" i="10"/>
  <c r="A10" i="9"/>
  <c r="B18" i="9"/>
  <c r="B23" i="9" s="1"/>
  <c r="B25" i="9" s="1"/>
  <c r="B26" i="9" s="1"/>
  <c r="B90" i="10" s="1"/>
  <c r="B47" i="10" l="1"/>
  <c r="B49" i="10" s="1"/>
  <c r="D32" i="10"/>
  <c r="D47" i="10" s="1"/>
  <c r="B93" i="10"/>
  <c r="B78" i="10" s="1"/>
  <c r="C18" i="10"/>
  <c r="E18" i="10"/>
  <c r="C32" i="10" l="1"/>
  <c r="C47" i="10" s="1"/>
  <c r="E32" i="10"/>
  <c r="E47" i="10" s="1"/>
  <c r="C21" i="10"/>
  <c r="E21" i="10"/>
  <c r="D21" i="10"/>
  <c r="E65" i="10"/>
  <c r="C65" i="10"/>
  <c r="D65" i="10"/>
  <c r="C92" i="10" l="1"/>
  <c r="C93" i="10" s="1"/>
  <c r="C73" i="10" s="1"/>
  <c r="B73" i="10"/>
  <c r="B85" i="10" s="1"/>
  <c r="E92" i="10"/>
  <c r="D49" i="10"/>
  <c r="C49" i="10"/>
  <c r="C78" i="10" l="1"/>
  <c r="C85" i="10" s="1"/>
  <c r="B96" i="10"/>
  <c r="E93" i="10"/>
  <c r="E49" i="10"/>
  <c r="D92" i="10"/>
  <c r="E73" i="10" l="1"/>
  <c r="E78" i="10"/>
  <c r="C96" i="10"/>
  <c r="D93" i="10"/>
  <c r="E85" i="10" l="1"/>
  <c r="E96" i="10" s="1"/>
  <c r="D73" i="10"/>
  <c r="D78" i="10"/>
  <c r="D85" i="10" l="1"/>
  <c r="D96" i="10" s="1"/>
</calcChain>
</file>

<file path=xl/sharedStrings.xml><?xml version="1.0" encoding="utf-8"?>
<sst xmlns="http://schemas.openxmlformats.org/spreadsheetml/2006/main" count="579" uniqueCount="392">
  <si>
    <t>Yleinen tehostamistavoite</t>
  </si>
  <si>
    <t>LIIKEVAIHTO</t>
  </si>
  <si>
    <t>PYSYVÄT VASTAAVAT</t>
  </si>
  <si>
    <t>Sijoitukset</t>
  </si>
  <si>
    <t>VAIHTUVAT VASTAAVAT</t>
  </si>
  <si>
    <t>Vaihto-omaisuus</t>
  </si>
  <si>
    <t>Rahoitusarvopaperit</t>
  </si>
  <si>
    <t>VASTAAVAA YHTEENSÄ</t>
  </si>
  <si>
    <t>Rahat ja pankkisaamiset</t>
  </si>
  <si>
    <t>Liittymismaksurahasto</t>
  </si>
  <si>
    <t>Pääomalainat</t>
  </si>
  <si>
    <t>VASTATTAVAA YHTEENSÄ</t>
  </si>
  <si>
    <t>Edellisten tilikausien voitto (tappio)</t>
  </si>
  <si>
    <t>Tilikauden voitto (tappio)</t>
  </si>
  <si>
    <t>Poistoero</t>
  </si>
  <si>
    <t>VIERAS PÄÄOMA</t>
  </si>
  <si>
    <t>+</t>
  </si>
  <si>
    <t>Liikearvo</t>
  </si>
  <si>
    <t>Saamiset</t>
  </si>
  <si>
    <t>Muut rahastot</t>
  </si>
  <si>
    <t>Häviösähkö</t>
  </si>
  <si>
    <t xml:space="preserve">– </t>
  </si>
  <si>
    <t>Poistoeron muutos liikearvosta</t>
  </si>
  <si>
    <t>Oikaistu tase</t>
  </si>
  <si>
    <t>Pysyvät vastaavat</t>
  </si>
  <si>
    <t>Vaihtuvat vastaavat</t>
  </si>
  <si>
    <t>Oikaistun taseen loppusumma</t>
  </si>
  <si>
    <t>Vastaavaa</t>
  </si>
  <si>
    <t>Vastattavaa</t>
  </si>
  <si>
    <t>Oma pääoma</t>
  </si>
  <si>
    <t>Oikaistun taseen tasauserä</t>
  </si>
  <si>
    <t>Vieras pääoma</t>
  </si>
  <si>
    <t xml:space="preserve">Korollinen </t>
  </si>
  <si>
    <t>Koroton</t>
  </si>
  <si>
    <t>Vastaavaa yhteensä</t>
  </si>
  <si>
    <t>Vastattavaa yhteensä</t>
  </si>
  <si>
    <t xml:space="preserve">Kohtuullinen tuotto </t>
  </si>
  <si>
    <t>Pääoman painotettu keskikustannus (WACC)</t>
  </si>
  <si>
    <t>Korollisen vieraan pääoman määrä</t>
  </si>
  <si>
    <t>Oman pääoman määrä</t>
  </si>
  <si>
    <t>Velaton beeta</t>
  </si>
  <si>
    <t>Verokanta %</t>
  </si>
  <si>
    <t>Tarkasteluvuosi</t>
  </si>
  <si>
    <t>Kohtuullinen tuotto (t€)</t>
  </si>
  <si>
    <t>Oman pääoman osuus</t>
  </si>
  <si>
    <t>= Toteutunut oikaistu tulos (t€)</t>
  </si>
  <si>
    <t>Laskentaparametrit</t>
  </si>
  <si>
    <t>Syötä kulut lomakkeeseen miinusmerkkisinä ja muutosrivit (vähennys/lisäys) otsikon määrittelemällä merkillä.</t>
  </si>
  <si>
    <t>Sähköverkon aineettomat hyödykkeet</t>
  </si>
  <si>
    <t>Muut aineettomat hyödykkeet</t>
  </si>
  <si>
    <t>Sähköverkon aineelliset hyödykkeet</t>
  </si>
  <si>
    <t>Muut aineelliset hyödykkeet</t>
  </si>
  <si>
    <t>Pakolliset varaukset</t>
  </si>
  <si>
    <t>Ulkopuoliset palvelut</t>
  </si>
  <si>
    <t xml:space="preserve">Ennakkomaksut ja keskeneräiset hankinnat </t>
  </si>
  <si>
    <t>Poistoeron muutos muista pysyvien vastaavien hyödykkeistä</t>
  </si>
  <si>
    <t>Verkon liittymismaksut 31.12.2004 tasearvoonsa</t>
  </si>
  <si>
    <t>Tilinpäätöksen lisätiedot:</t>
  </si>
  <si>
    <t>Tuotot osuuksista saman konsernin yrityksissä</t>
  </si>
  <si>
    <t>Muut korko- ja rahoitustuotot</t>
  </si>
  <si>
    <t>Arvonalentumiset vaihtuvien vastaavien rahoitusarvopapereista</t>
  </si>
  <si>
    <t>Pitkäaikaiset saamiset</t>
  </si>
  <si>
    <t>Lyhytaikaiset saamiset</t>
  </si>
  <si>
    <t>Tilinpäätöksen lisätiedot syötetään ilman etumerkkiä.</t>
  </si>
  <si>
    <t>Saadut konserniavustukset</t>
  </si>
  <si>
    <t>Vakiokorvaukset</t>
  </si>
  <si>
    <t>Rakennuskustannusindeksi 2006</t>
  </si>
  <si>
    <t>Rakennuskustannusindeksi 2007</t>
  </si>
  <si>
    <t>Rakennuskustannusindeksi 2004</t>
  </si>
  <si>
    <t>Suunnitelluista keskeytyksistä asiakkaalle aiheutuneen haitan hinta (euro/kWh) vuoden 2005 rahanarvossa</t>
  </si>
  <si>
    <t>Odottamattomista keskeytyksistä asiakkaalle aiheutuneen haitan hinta (euro/kWh) vuoden 2005 rahanarvossa</t>
  </si>
  <si>
    <t>Odottamattomista keskeytyksistä asiakkaalle aiheutuneen haitan hinta (euro/kW) vuoden 2005 rahanarvossa</t>
  </si>
  <si>
    <t>Suunnitelluista keskeytyksistä asiakkaalle aiheutuneen haitan hinta (euro/kW) vuoden 2005 rahanarvossa</t>
  </si>
  <si>
    <t>Rakennuskustannusindeksi 2005</t>
  </si>
  <si>
    <t>2008</t>
  </si>
  <si>
    <t>2007</t>
  </si>
  <si>
    <t>2006</t>
  </si>
  <si>
    <t>Asiakkaan keskimääräinen vuotuinen 1-70 kV:n verkon odottamattomista keskeytyksistä aiheutunut vuosienergioilla painotettu keskeytysaika (tuntia)</t>
  </si>
  <si>
    <t>Asiakkaan keskimääräinen vuotuinen 1-70 kV:n verkon suunnitelluista keskeytyksistä aiheutunut vuosienergioilla painotettu keskeytysaika (tuntia)</t>
  </si>
  <si>
    <t>Asiakkaan keskimääräinen vuotuinen 1-70 kV:n verkon odottamattomista keskeytyksistä aiheutunut vuosienergioilla painotettu keskeytysmäärä (kpl)</t>
  </si>
  <si>
    <t>Asiakkaan keskimääräinen vuotuinen 1-70 kV:n verkon suunnitelluista keskeytyksistä aiheutunut vuosienergioilla painotettu keskeytysmäärä (kpl)</t>
  </si>
  <si>
    <t>Asiakkaan keskimääräinen vuotuinen 1-70 kV:n verkon aikajälleenkytkennöistä aiheutunut vuosienergioilla painotettu keskeytysmäärä (kpl)</t>
  </si>
  <si>
    <t>Asiakkaan keskimääräinen vuotuinen 1-70 kV:n verkon pikakytkennöistä aiheutunut vuosienergioilla painotettu keskeytysmäärä (kpl)</t>
  </si>
  <si>
    <t>Tuntien lukumäärä</t>
  </si>
  <si>
    <t>Muut verkonhaltijan hallinnassa olevaan verkkoon liittyvät VPO:n liittymismaksut tilikauden alussa</t>
  </si>
  <si>
    <t>Muut verkonhaltijan hallinnassa olevaan verkkoon liittyvät VPO:n liittymismaksut tilikauden lopussa</t>
  </si>
  <si>
    <t>Muun omaisuuden poistoihin kirjatut verkko-omaisuuden poistot</t>
  </si>
  <si>
    <t>Myyntisaamiset</t>
  </si>
  <si>
    <t>Siirtosaamiset</t>
  </si>
  <si>
    <t>Muut saamiset</t>
  </si>
  <si>
    <t xml:space="preserve"> +/– </t>
  </si>
  <si>
    <t>Velat annetuista konserniavustuksista</t>
  </si>
  <si>
    <t>Tilikauden ylijäämä (+) / alijäämä (-) (t€)</t>
  </si>
  <si>
    <t>Muut velat saman konsernin yrityksille</t>
  </si>
  <si>
    <t>Palautettavat liittymismaksut</t>
  </si>
  <si>
    <t xml:space="preserve">Muu pitkäaikainen koroton vieras pääoma </t>
  </si>
  <si>
    <t>Ostovelat</t>
  </si>
  <si>
    <t>Siirtovelat</t>
  </si>
  <si>
    <t>Muut velat</t>
  </si>
  <si>
    <t xml:space="preserve">Muut velat </t>
  </si>
  <si>
    <t>Rakennuskustannusindeksi 2008</t>
  </si>
  <si>
    <t>Rakennuskustannusindeksi 2009</t>
  </si>
  <si>
    <t>Rakennuskustannusindeksi 2010</t>
  </si>
  <si>
    <t>Muut korottomat velat tasearvoonsa</t>
  </si>
  <si>
    <t>Tuotot muista pysyvien vastaavien sijoituksista</t>
  </si>
  <si>
    <t xml:space="preserve">Tuotot osuuksista omistusyhteysyrityksissä </t>
  </si>
  <si>
    <t>Liikevoitto (liiketappio)</t>
  </si>
  <si>
    <t>Likvidittömyyspreemio</t>
  </si>
  <si>
    <t>Markkinariskipreemio</t>
  </si>
  <si>
    <t>Ennakkomaksut</t>
  </si>
  <si>
    <t>Rakennuskustannusindeksi 2011</t>
  </si>
  <si>
    <t>Rakennuskustannusindeksi 2012</t>
  </si>
  <si>
    <t>Rakennuskustannusindeksi 2013</t>
  </si>
  <si>
    <t>Rakennuskustannusindeksi 2014</t>
  </si>
  <si>
    <t>Rakennuskustannusindeksi 2015</t>
  </si>
  <si>
    <t>Keskeytyskustannus € vuoden 2005 rahanarvossa</t>
  </si>
  <si>
    <t>Siirretty energia jännitetasoittain (GWh)</t>
  </si>
  <si>
    <t>Verkonhaltijan nimi</t>
  </si>
  <si>
    <t>Verkkopituus (km)</t>
  </si>
  <si>
    <t>0,4 kV</t>
  </si>
  <si>
    <t>1 – 70 kV</t>
  </si>
  <si>
    <t>110 kV</t>
  </si>
  <si>
    <t>Painotettu siirretyn energian määrä (GWh)</t>
  </si>
  <si>
    <t>Tehostamistarve €</t>
  </si>
  <si>
    <t>Tehostamistarve %</t>
  </si>
  <si>
    <t>Parametriarvot</t>
  </si>
  <si>
    <t>Jännitetaso</t>
  </si>
  <si>
    <t xml:space="preserve">0,4 kv </t>
  </si>
  <si>
    <t>1 – 70 kv</t>
  </si>
  <si>
    <t>110 kv</t>
  </si>
  <si>
    <t>Painokerroin</t>
  </si>
  <si>
    <t>Maksimi</t>
  </si>
  <si>
    <t>2005</t>
  </si>
  <si>
    <t>Tuotosten varjohinnat (rajakustannukset)</t>
  </si>
  <si>
    <t>Kustannus eri varjohinnoilla laskettuna</t>
  </si>
  <si>
    <t>vuosi</t>
  </si>
  <si>
    <t>Verkkotoiminnan harjoittamisen turvaamiseksi tarvittavasta rahoitusomaisuudesta aiheutuva kustannus</t>
  </si>
  <si>
    <t/>
  </si>
  <si>
    <t xml:space="preserve">Tutkimus- ja kehityskustannukset (T&amp;K) </t>
  </si>
  <si>
    <t>Innovaatiokannustin</t>
  </si>
  <si>
    <t>Tuloslaskelman oikaisu ja toteutuneen oikaistun tuloksen laskenta</t>
  </si>
  <si>
    <t>Investointikannustin</t>
  </si>
  <si>
    <t>Laatukannustin</t>
  </si>
  <si>
    <t>Tehostamiskannustin</t>
  </si>
  <si>
    <t>Niiden verkonhaltijoiden, joilla ei ole yksiselitteistä KAH-historiaa, tulee syöttää keskeytyskustannusten vertailutasoksi valvontatietojärjestelmässä oleva tieto keskeytyskustannusten vertailutasosta korjattuna kyseisen vuoden rahanarvoon.</t>
  </si>
  <si>
    <t>Keskeytyskustannus €  korjattuna kyseisen vuoden rahanarvoon (KHI)</t>
  </si>
  <si>
    <t>Liikevoittoon (liiketappioon) palautettavat tilinpäätöksen erät</t>
  </si>
  <si>
    <t xml:space="preserve">Rahoitusomaisuus </t>
  </si>
  <si>
    <t>Kontrolloitavat operatiiviset kustannukset yhteensä (t€)</t>
  </si>
  <si>
    <t>(t€)</t>
  </si>
  <si>
    <t>Tehostamiskustannukset (luvut tuhansia €)</t>
  </si>
  <si>
    <t>=</t>
  </si>
  <si>
    <t xml:space="preserve">Aineettomat hyödykkeet </t>
  </si>
  <si>
    <t>Muihin aineettomiin hyödykkeisiin sisältyvä verkko-omaisuus</t>
  </si>
  <si>
    <t>Kantaverkolle maksetut aktivoidut liittymismaksut</t>
  </si>
  <si>
    <t>Muihin aineellisiin hyödykkeisiin sisältyvä verkko-omaisuus</t>
  </si>
  <si>
    <t>OMA PÄÄOMA</t>
  </si>
  <si>
    <t>Osake- osuus- tai muu vastaava pääoma</t>
  </si>
  <si>
    <t>Muut muut rahastot</t>
  </si>
  <si>
    <t>Aineelliset hyödykkeet</t>
  </si>
  <si>
    <t>Tilinpäätössiirtojen kertymä</t>
  </si>
  <si>
    <t>Pitkäaikainen korollinen vieras pääoma</t>
  </si>
  <si>
    <t>Pitkäaikainen koroton vieras pääoma</t>
  </si>
  <si>
    <t>Pitkäaikainen vieras pääoma</t>
  </si>
  <si>
    <t>Lyhytaikainen korollinen vieras pääoma</t>
  </si>
  <si>
    <t>Lyhytaikainen vieras pääoma</t>
  </si>
  <si>
    <t>Lyhytaikainen koroton vieras pääoma</t>
  </si>
  <si>
    <t>Lisätietoja</t>
  </si>
  <si>
    <t>+/–</t>
  </si>
  <si>
    <t>Valmiiden ja keskeneräisten tuotteiden varastojen muutos</t>
  </si>
  <si>
    <t>Valmistus omaan käyttöön</t>
  </si>
  <si>
    <t>Liiketoiminnan muut tuotot</t>
  </si>
  <si>
    <t xml:space="preserve"> +</t>
  </si>
  <si>
    <t>Muut liiketoiminnan muut tuotot</t>
  </si>
  <si>
    <t>Liittymismaksutuotot</t>
  </si>
  <si>
    <t>Myynnin oikaisuna kirjatut vakiokorvaukset</t>
  </si>
  <si>
    <t>Materiaalit ja palvelut</t>
  </si>
  <si>
    <t>Aineet, tarvikkeet ja tavarat</t>
  </si>
  <si>
    <t>Ostot tilikauden aikana</t>
  </si>
  <si>
    <t xml:space="preserve">Muut ostot tilikauden aikana </t>
  </si>
  <si>
    <t xml:space="preserve">+/– </t>
  </si>
  <si>
    <t>Varastojen muutos</t>
  </si>
  <si>
    <t>Kantaverkolle maksetut liittymismaksut</t>
  </si>
  <si>
    <t>Muut ulkopuoliset palvelut</t>
  </si>
  <si>
    <t xml:space="preserve">Henkilöstökulut </t>
  </si>
  <si>
    <t>Palkat ja palkkiot</t>
  </si>
  <si>
    <t>Henkilösivukulut</t>
  </si>
  <si>
    <t>Eläkekulut</t>
  </si>
  <si>
    <t>Muut henkilösivukulut</t>
  </si>
  <si>
    <t>Poistot ja arvonalentumiset</t>
  </si>
  <si>
    <t>Suunnitelman mukaiset poistot</t>
  </si>
  <si>
    <t>Suunnitelman mukaiset poistot liikearvosta</t>
  </si>
  <si>
    <t>Suunnitelman mukaiset poistot sähköverkon hyödykkeistä</t>
  </si>
  <si>
    <t>Suunnitelman mukaiset poistot muista pysyvien vastaavien hyödykkeistä</t>
  </si>
  <si>
    <t>Arvonalentumiset pysyvien vastaavien hyödykkeistä</t>
  </si>
  <si>
    <t>Vaihtuvien vastaavien poikkeukselliset arvonalentumiset</t>
  </si>
  <si>
    <t>Liiketoiminnan muut kulut</t>
  </si>
  <si>
    <t>Vuokrakulut</t>
  </si>
  <si>
    <t>Verkkovuokrat ja verkon leasingmaksut</t>
  </si>
  <si>
    <t>Verkkovuokriin ja verkon leasingmaksuihin sisältyvät käytön- ja kunnossapidon kustannukset</t>
  </si>
  <si>
    <t xml:space="preserve">Muut liiketoiminnan muut kulut </t>
  </si>
  <si>
    <t>Johtoalue-, tariffiero-, resurssi- ja resurssivarauskorvaukset</t>
  </si>
  <si>
    <t>LIIKEVOITTO (– TAPPIO)</t>
  </si>
  <si>
    <t>Rahoitustuotot ja -kulut</t>
  </si>
  <si>
    <t>Korkokulut ja muut rahoituskulut</t>
  </si>
  <si>
    <t>Maksettu</t>
  </si>
  <si>
    <t>Maksamaton</t>
  </si>
  <si>
    <t>Annetut konserniavustukset</t>
  </si>
  <si>
    <t>VOITTO (TAPPIO) ENNEN TILINPÄÄTÖSSIIRTOJA JA VEROJA</t>
  </si>
  <si>
    <t>Tilinpäätössiirrot</t>
  </si>
  <si>
    <t>Poistoeron muutos</t>
  </si>
  <si>
    <t>Poistoeron muutos sähköverkon hyödykkeistä</t>
  </si>
  <si>
    <t>Tuloverot</t>
  </si>
  <si>
    <t>Muut välittömät verot</t>
  </si>
  <si>
    <t>TILIKAUDEN VOITTO (TAPPIO)</t>
  </si>
  <si>
    <t>Kohtuullisen tuoton ja toteutuneen oikaistun tuloksen laskenta</t>
  </si>
  <si>
    <t>Vuosi</t>
  </si>
  <si>
    <t>Toteutuneen oikaistun tuloksen laskennassa huomioon otettava rahoitusomaisuus</t>
  </si>
  <si>
    <t>Suurjännitteisen verkon verkkopalvelumaksut ja kantaverkkopalvelumaksut</t>
  </si>
  <si>
    <t>Tuloslaskelma</t>
  </si>
  <si>
    <t>Tase - Vastaavaa</t>
  </si>
  <si>
    <t>Tase - Vastattavaa</t>
  </si>
  <si>
    <t>Energiavirasto</t>
  </si>
  <si>
    <t>Energimyndigheten</t>
  </si>
  <si>
    <t>Sähköverkko-omaisuuden jälleenhankinta-arvo (JHA)</t>
  </si>
  <si>
    <t>Sähköverkko-omaisuuden nykykäyttöarvo (NKA)</t>
  </si>
  <si>
    <t>Sähköverkko-omaisuuden oikaistut tasapoistot</t>
  </si>
  <si>
    <t>Nimellinen riskitön korkokanta (Suomen valtion 10 vuoden obligaation korko)</t>
  </si>
  <si>
    <t>Kohtuullinen tuottoaste (WACC)</t>
  </si>
  <si>
    <t>Vieraan pääoman riskipreemio</t>
  </si>
  <si>
    <t>Velallinen beeta</t>
  </si>
  <si>
    <t>Vieraan pääoman osuus</t>
  </si>
  <si>
    <t>Veroja edeltävä kohtuullinen tuottoaste (WACC)</t>
  </si>
  <si>
    <t>Korollisen vieraan pääoman kohtuullinen kustannus</t>
  </si>
  <si>
    <t>Oman pääoman kohtuullinen kustannus</t>
  </si>
  <si>
    <t>10% liikevaihdosta</t>
  </si>
  <si>
    <t>Muut pysyvät vastaavat tasearvossa</t>
  </si>
  <si>
    <t>Vaihto-omaisuus tasearvossa</t>
  </si>
  <si>
    <t>Myyntisaamiset tasearvossa</t>
  </si>
  <si>
    <t>Sähköverkko oikaistussa nykykäyttöarvossa</t>
  </si>
  <si>
    <t>Oma pääoma tasearvossa</t>
  </si>
  <si>
    <t>Korolliset velat tasearvossa</t>
  </si>
  <si>
    <t>Pääomalainat tasearvossa</t>
  </si>
  <si>
    <t>Pakolliset varaukset tasearvossa</t>
  </si>
  <si>
    <t>2000</t>
  </si>
  <si>
    <t>2001</t>
  </si>
  <si>
    <t>2003</t>
  </si>
  <si>
    <t>2004</t>
  </si>
  <si>
    <t>2009</t>
  </si>
  <si>
    <t>2011</t>
  </si>
  <si>
    <t>Kuluttajahintaindeksin pisteluku 1995=100 (lähde: Tilastokeskus)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</si>
  <si>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</si>
  <si>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</si>
  <si>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</si>
  <si>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</si>
  <si>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</si>
  <si>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</si>
  <si>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</si>
  <si>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</si>
  <si>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</si>
  <si>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</si>
  <si>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</si>
  <si>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</si>
  <si>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2012</t>
  </si>
  <si>
    <t>2013</t>
  </si>
  <si>
    <t>2014</t>
  </si>
  <si>
    <t>2015</t>
  </si>
  <si>
    <t>2016</t>
  </si>
  <si>
    <t>2017</t>
  </si>
  <si>
    <t>2018</t>
  </si>
  <si>
    <t>2019</t>
  </si>
  <si>
    <t>+ Muihin kuluihin kirjattu verkonosuuden myyntitappio</t>
  </si>
  <si>
    <t>- Muihin tuottoihin kirjattu verkonosuuden myyntivoitto</t>
  </si>
  <si>
    <t>Tuloksen korjauserät</t>
  </si>
  <si>
    <t xml:space="preserve"> - Rahoitusomaisuuden kohtuulliset kustannukset</t>
  </si>
  <si>
    <t>Toimitusvarmuuskannustin</t>
  </si>
  <si>
    <t>- Sähköverkko-omaisuuden oikaistut tasapoistot</t>
  </si>
  <si>
    <t>Toteutuneet keskeytyskustannukset</t>
  </si>
  <si>
    <t>Keskeytyskustannusten vertailutaso</t>
  </si>
  <si>
    <t>Tutkimus ja Kehittämistoiminnan kustannukset (t€)</t>
  </si>
  <si>
    <t>Toteutuneen oikaistun tuloksen laskennassa huomioon otettavat T&amp;K - toiminnan kustannukset (t€)</t>
  </si>
  <si>
    <t>Toimitusvarmuuskannustimeen sisältyvät kustannukset yhteensä (t€)</t>
  </si>
  <si>
    <t>Kunnossapito- ja varautumistoimenpiteiden kohtuulliset kustannukset (t€)</t>
  </si>
  <si>
    <t>Ennenaikaisista korvausinvestoinneista aiheutuvat NKA-jäännösarvon alaskirjaukset (t€)</t>
  </si>
  <si>
    <t>Josta verkonosuuden myyntivoitto</t>
  </si>
  <si>
    <t>Josta verkonosuuden myyntitappio</t>
  </si>
  <si>
    <t>XII</t>
  </si>
  <si>
    <t>XI</t>
  </si>
  <si>
    <t>X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</si>
  <si>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</si>
  <si>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</si>
  <si>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</si>
  <si>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</si>
  <si>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</si>
  <si>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</si>
  <si>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</si>
  <si>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</si>
  <si>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</si>
  <si>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Kuluttajahintaindeksi 1995=100 (lähde: Tilastokeskus)</t>
  </si>
  <si>
    <t>Maksimi (1000€)</t>
  </si>
  <si>
    <t>Käyttäjämäärä</t>
  </si>
  <si>
    <t>Verkkopituus</t>
  </si>
  <si>
    <t>Energia</t>
  </si>
  <si>
    <t>KAH (1000 €)</t>
  </si>
  <si>
    <t>-JHA (1000 €)</t>
  </si>
  <si>
    <t>Vertailutason laskenta</t>
  </si>
  <si>
    <r>
      <t>Tehokuusluvun</t>
    </r>
    <r>
      <rPr>
        <b/>
        <i/>
        <sz val="11"/>
        <color rgb="FFFF0000"/>
        <rFont val="Verdana"/>
        <family val="2"/>
      </rPr>
      <t xml:space="preserve"> </t>
    </r>
    <r>
      <rPr>
        <b/>
        <sz val="11"/>
        <color rgb="FFFF0000"/>
        <rFont val="Verdana"/>
        <family val="2"/>
      </rPr>
      <t>laskenta</t>
    </r>
  </si>
  <si>
    <t>Minimi</t>
  </si>
  <si>
    <t>Keskihajonta</t>
  </si>
  <si>
    <t>Mediaani</t>
  </si>
  <si>
    <t>Aritmeettinen keskiarvo</t>
  </si>
  <si>
    <t>Tunnusluku</t>
  </si>
  <si>
    <t>Valvontajakso 5,    vuosi</t>
  </si>
  <si>
    <t>Liittymien määrä / käyttäjien määrä</t>
  </si>
  <si>
    <t>Asiakasmäärä (lkm)</t>
  </si>
  <si>
    <t>Kuluttajahinta-indeksin (1995=100) pisteluku [kyseisen vuoden IV-IX keskiarvo]</t>
  </si>
  <si>
    <t>StoNED-rintaman mukainen KOPEX:n vertailutaso SKOPEX € (kyseisen vuoden hintatasossa)</t>
  </si>
  <si>
    <t>Tehokkuusluku  %</t>
  </si>
  <si>
    <t>Painotettu siirretty energia (GWh)</t>
  </si>
  <si>
    <t>Liittymien määrä / käyttöpaikkojen määrä (L/K)</t>
  </si>
  <si>
    <t>Toimintaympäristöä  kuvaava muuttuja:</t>
  </si>
  <si>
    <t>Tuotokset:</t>
  </si>
  <si>
    <t>Ei-toivottu tuotos:</t>
  </si>
  <si>
    <t>Kiinteä panos:</t>
  </si>
  <si>
    <t>Muuttuva panos:</t>
  </si>
  <si>
    <t>Huhtikuu - Syyskuu keskiarvo</t>
  </si>
  <si>
    <t>Sähköverkon hyödykkeistä</t>
  </si>
  <si>
    <t>Muista kuin sähköverkon hyödykkeistä</t>
  </si>
  <si>
    <t>Muiden kuin sähköverkon hyödykkeiden poistoeron vieraan pääoman osuus</t>
  </si>
  <si>
    <t>Tehokkuusluvun laskenta</t>
  </si>
  <si>
    <t xml:space="preserve">        +/- Tehostamiskannustimen vaikutus</t>
  </si>
  <si>
    <t xml:space="preserve">        +/- Laatukannustimen vaikutus</t>
  </si>
  <si>
    <t>Annetut konserniavustukset (oman pääoman osuus)</t>
  </si>
  <si>
    <t xml:space="preserve"> - Saadut konserniavustukset (oman pääoman osuus)</t>
  </si>
  <si>
    <t xml:space="preserve"> - Annetut mutta maksamattomat korolliset konserniavustukset (oman pääoman osuus)</t>
  </si>
  <si>
    <t xml:space="preserve"> - Annetut mutta maksamattomat korottomat konserniavustukset (oman pääoman osuus)</t>
  </si>
  <si>
    <t>+ Eriytetyn tilinpäätöksen suunnitelman mukaiset poistot ja arvonalentumiset sähköverkon hyödykkeistä</t>
  </si>
  <si>
    <t xml:space="preserve"> - Maksetut vakiokorvaukset (elleivät sisälly muihin kuluihin)</t>
  </si>
  <si>
    <t xml:space="preserve"> - Kuluiksi kirjattujen komponenttien kustannukset (elleivät sisälly muihin yllä oleviin eriin)</t>
  </si>
  <si>
    <t xml:space="preserve"> - Varastojen lisäys tai vähennys</t>
  </si>
  <si>
    <t xml:space="preserve"> - Henkilöstökulut</t>
  </si>
  <si>
    <t xml:space="preserve"> - Verkkovuokriin ja verkon leasingmaksuihin sisältyvät käytön ja kunnossapidon kulut</t>
  </si>
  <si>
    <t xml:space="preserve"> - Vuokrakulut </t>
  </si>
  <si>
    <t xml:space="preserve"> - Muut ulkopuoliset palvelut</t>
  </si>
  <si>
    <t xml:space="preserve"> - Muut liiketoiminnan muut kulut</t>
  </si>
  <si>
    <t xml:space="preserve"> + Häviöenergian hankintakulut</t>
  </si>
  <si>
    <t xml:space="preserve"> + Valmistus omaan käyttöön</t>
  </si>
  <si>
    <t xml:space="preserve"> + Vuokraverkon oman verkon rakentamisen kustannukset</t>
  </si>
  <si>
    <t>Kohtuulliset kontrolloitavissa olevat operatiiviset kustannukset (SKOPEX)</t>
  </si>
  <si>
    <t>Toteutuneet kontrolloitavissa olevat operatiiviset kustannukset (KOPEX)</t>
  </si>
  <si>
    <t>+ Suunnitelmanmukaiset poistot liikearvosta</t>
  </si>
  <si>
    <t>+ Maksetut verkkovuokrat</t>
  </si>
  <si>
    <t>+ Taseen liittymismaksukertymän nettomuutos</t>
  </si>
  <si>
    <t>Verkkotoiminnan liikevaihto</t>
  </si>
  <si>
    <t>1,0 % vastaava osuus verkonhaltijan valvontajakson eriytettyjen tuloslaskelmien verkkotoiminnan liikevaihtojen summasta (maksimi, joka innovaatiokannustimessa otetaan huomioon valvontajakson aikana) (t€)</t>
  </si>
  <si>
    <t xml:space="preserve"> + Johtoalue-, tariffiero-, resurssi- ja resurssivarauskorvaukset</t>
  </si>
  <si>
    <t>IV-IX KA</t>
  </si>
  <si>
    <t>Sinisiin kenttiin syötetään keskiarvo vuosien 2015 - 2018 tiedoista (vuoden 2018 rahanarvossa)</t>
  </si>
  <si>
    <t>StoNED-rintaman mukainen KOPEX:n vertailutaso SKOPEX € (v. 2018 hinnoin)</t>
  </si>
  <si>
    <t>KOPEX € (v. 2018 hinnoin)</t>
  </si>
  <si>
    <t>JHA € (v. 2018 hinnoin)</t>
  </si>
  <si>
    <t>KAH € (v. 2018 hinnoin)</t>
  </si>
  <si>
    <t>SKOPEX vertailutason laskenta vuosina 2020-2023</t>
  </si>
  <si>
    <t>Vihreisiin kenttiin syötetään kyseisen vuoden tiedot (2020 - 2023)</t>
  </si>
  <si>
    <t>JHA € (v. 2018 hinnoin) [Solusta D5]</t>
  </si>
  <si>
    <t>Kuluttajahintaindeksi 2018</t>
  </si>
  <si>
    <t>Vuosien 2015 - 2018 tehokkuuslukujen keskiarvo (%)</t>
  </si>
  <si>
    <t>Keskiarvon Voima Oy</t>
  </si>
  <si>
    <t>2015-2018 KA</t>
  </si>
  <si>
    <t>Verotusperusteiden varausten muutos</t>
  </si>
  <si>
    <t>Verotusperusteiset varaukset</t>
  </si>
  <si>
    <t>Käyvän arvon rahasto</t>
  </si>
  <si>
    <t>Velat saman konsernin yrityksille</t>
  </si>
  <si>
    <t>Muu pitkäaikainen korollinen vieras pääoma</t>
  </si>
  <si>
    <t>Poistoero muista kuin sähköverkon hyödykkeistä (oman pääoman osuus) ja verotusperusteiset varaukset</t>
  </si>
  <si>
    <t>Arvonalentumiset verkon hyödykkeistä</t>
  </si>
  <si>
    <t>SJ-verkon toteutuneet keskeytyskustannukset (euro)</t>
  </si>
  <si>
    <t>KJ-verkon toteutuneet keskeytyskustannukset (euro)</t>
  </si>
  <si>
    <t>Keskeytyskustannusten vertailutaso korjattuna kyseisen vuoden rahanarvoon (euro)</t>
  </si>
  <si>
    <t>Aikajälleenkytkennöistä asiakkaalle aiheutuneen haitan hinta (euro/kW) vuoden 2005 rahanarvossa</t>
  </si>
  <si>
    <t>Pikakytkennöistä asiakkaalle aiheutuneen haitan hinta (euro/kW) vuoden 2005 rahanarvossa</t>
  </si>
  <si>
    <t>Verkonhaltijan 110 kV:n verkosta luovutettu (myös omaan jakeluverkkoon) energiamäärä (GWh)</t>
  </si>
  <si>
    <t>Verkonhaltijan verkosta 0,4 kV:n ja 1-70kV:n jännitteillä loppukäyttäjille luovutettu energiamäärä (GWh)</t>
  </si>
  <si>
    <t>Asiakkaan keskimääräinen vuotuinen, oman 110 kV:n verkon odottamattomista keskeytyksistä aiheutunut keskeytysaika (tuntia/liityntäpiste)</t>
  </si>
  <si>
    <t>Asiakkaan keskimääräinen vuotuinen, oman 110 kV:n verkon odottamattomista keskeytyksistä aiheutunut keskeytysmäärä (kpl/liityntäpiste)</t>
  </si>
  <si>
    <t>Asiakkaan keskimääräinen vuotuinen, oman 110 kV:n verkon suunnitelluista keskeytyksistä painotettu keskeytysaika (tuntia/liityntäpiste)</t>
  </si>
  <si>
    <t>Asiakkaan keskimääräinen vuotuinen, oman 110 kV:n verkon suunnitelluista keskeytyksistä aiheutunut keskeytysmäärä (kpl/liityntäpiste)</t>
  </si>
  <si>
    <t>Asiakkaan keskimääräinen vuotuinen, oman 110 kV:n verkon aikajälleenkytkennöistä aiheutunut keskeytysmäärä (kpl/liityntäpiste)</t>
  </si>
  <si>
    <t>Asiakkaan keskimääräinen vuotuinen, oman 110 kV:n verkon pikakytkennöistä aiheutunut keskeytysmäärä (kpl/liityntäpiste)</t>
  </si>
  <si>
    <t>HUOM 1!</t>
  </si>
  <si>
    <t>HUOM 2!</t>
  </si>
  <si>
    <t>Valvontajaksolla 2020-2023 110 kV verkosta luovutettuna energiamäärä: 0,96 x ("muilta verkonhaltijoilta 110 kV verkkoon vastaanotettu energia" + "asiakkailta 110 kV verkkoon vastaanotettu energia")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</si>
</sst>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0.0"/>
    <numFmt numFmtId="168" formatCode="0.000"/>
    <numFmt numFmtId="169" formatCode="0.0\ %"/>
    <numFmt numFmtId="170" formatCode="#,##0.0"/>
    <numFmt numFmtId="171" formatCode="#,##0.000"/>
    <numFmt numFmtId="172" formatCode="_-* #,##0\ _€_-;\-* #,##0\ _€_-;_-* &quot;-&quot;??\ _€_-;_-@_-"/>
    <numFmt numFmtId="173" formatCode="_-* #,##0\ &quot;€&quot;_-;\-* #,##0\ &quot;€&quot;_-;_-* &quot;-&quot;??\ &quot;€&quot;_-;_-@_-"/>
    <numFmt numFmtId="174" formatCode="#,##0\ &quot;€&quot;"/>
    <numFmt numFmtId="175" formatCode="_-* #,##0\ [$€-40B]_-;\-* #,##0\ [$€-40B]_-;_-* &quot;-&quot;??\ [$€-40B]_-;_-@_-"/>
    <numFmt numFmtId="176" formatCode="#,##0.0_ ;\-#,##0.0\ "/>
    <numFmt numFmtId="177" formatCode="_-* #,##0.00000\ _€_-;\-* #,##0.00000\ _€_-;_-* &quot;-&quot;?????\ _€_-;_-@_-"/>
    <numFmt numFmtId="178" formatCode="#,##0.00000_ ;\-#,##0.00000\ "/>
    <numFmt numFmtId="179" formatCode="#,##0.0000_ ;\-#,##0.0000\ "/>
    <numFmt numFmtId="180" formatCode="0.0000\ %"/>
    <numFmt numFmtId="181" formatCode="#,##0_ ;\-#,##0\ "/>
    <numFmt numFmtId="182" formatCode="0.0000000"/>
    <numFmt numFmtId="183" formatCode="0.000000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u/>
      <sz val="14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4"/>
      <name val="Verdana"/>
      <family val="2"/>
    </font>
    <font>
      <b/>
      <i/>
      <sz val="10"/>
      <color indexed="12"/>
      <name val="Verdana"/>
      <family val="2"/>
    </font>
    <font>
      <sz val="12"/>
      <name val="Verdana"/>
      <family val="2"/>
    </font>
    <font>
      <b/>
      <i/>
      <sz val="12"/>
      <color indexed="12"/>
      <name val="Verdana"/>
      <family val="2"/>
    </font>
    <font>
      <sz val="10"/>
      <color rgb="FFFF0000"/>
      <name val="Arial"/>
      <family val="2"/>
    </font>
    <font>
      <sz val="10"/>
      <color theme="1"/>
      <name val="Verdana"/>
      <family val="2"/>
    </font>
    <font>
      <sz val="11"/>
      <color theme="1"/>
      <name val="Segoe UI"/>
      <family val="2"/>
    </font>
    <font>
      <sz val="11"/>
      <color rgb="FF444444"/>
      <name val="Segoe UI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Verdana"/>
      <family val="2"/>
    </font>
    <font>
      <b/>
      <i/>
      <sz val="11"/>
      <color rgb="FFFF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1"/>
      <color theme="5"/>
      <name val="Verdana"/>
      <family val="2"/>
    </font>
    <font>
      <b/>
      <u/>
      <sz val="11"/>
      <color theme="5"/>
      <name val="Verdana"/>
      <family val="2"/>
    </font>
    <font>
      <sz val="11"/>
      <color theme="5"/>
      <name val="Verdana"/>
      <family val="2"/>
    </font>
    <font>
      <b/>
      <u/>
      <sz val="12"/>
      <color theme="5"/>
      <name val="Verdana"/>
      <family val="2"/>
    </font>
    <font>
      <sz val="14"/>
      <color indexed="12"/>
      <name val="Calibri"/>
      <family val="2"/>
      <scheme val="minor"/>
    </font>
    <font>
      <sz val="9.5"/>
      <name val="Verdana"/>
      <family val="2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sz val="11"/>
      <color rgb="FF00206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18">
    <xf numFmtId="0" fontId="0" fillId="0" borderId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5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532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8" fillId="0" borderId="0" xfId="0" applyFont="1" applyProtection="1"/>
    <xf numFmtId="49" fontId="8" fillId="0" borderId="0" xfId="0" applyNumberFormat="1" applyFont="1" applyProtection="1"/>
    <xf numFmtId="0" fontId="8" fillId="0" borderId="0" xfId="0" applyFont="1" applyFill="1" applyProtection="1"/>
    <xf numFmtId="0" fontId="0" fillId="0" borderId="0" xfId="0" applyProtection="1"/>
    <xf numFmtId="0" fontId="11" fillId="0" borderId="0" xfId="0" applyFont="1" applyFill="1"/>
    <xf numFmtId="0" fontId="8" fillId="0" borderId="0" xfId="3"/>
    <xf numFmtId="0" fontId="0" fillId="0" borderId="0" xfId="0" applyFill="1" applyBorder="1" applyProtection="1"/>
    <xf numFmtId="0" fontId="8" fillId="0" borderId="0" xfId="3" applyFill="1"/>
    <xf numFmtId="0" fontId="8" fillId="0" borderId="0" xfId="3" applyAlignment="1">
      <alignment horizontal="right"/>
    </xf>
    <xf numFmtId="0" fontId="3" fillId="0" borderId="0" xfId="0" applyFont="1" applyFill="1" applyProtection="1"/>
    <xf numFmtId="0" fontId="14" fillId="0" borderId="0" xfId="0" applyFont="1"/>
    <xf numFmtId="0" fontId="16" fillId="0" borderId="0" xfId="0" applyFont="1" applyFill="1" applyProtection="1"/>
    <xf numFmtId="0" fontId="15" fillId="0" borderId="0" xfId="0" applyFont="1" applyFill="1" applyProtection="1"/>
    <xf numFmtId="1" fontId="15" fillId="0" borderId="0" xfId="0" applyNumberFormat="1" applyFont="1" applyFill="1" applyProtection="1"/>
    <xf numFmtId="4" fontId="15" fillId="0" borderId="1" xfId="0" applyNumberFormat="1" applyFont="1" applyFill="1" applyBorder="1" applyProtection="1"/>
    <xf numFmtId="4" fontId="15" fillId="0" borderId="0" xfId="0" applyNumberFormat="1" applyFont="1" applyFill="1" applyProtection="1"/>
    <xf numFmtId="0" fontId="16" fillId="0" borderId="0" xfId="0" applyFont="1" applyProtection="1"/>
    <xf numFmtId="4" fontId="15" fillId="0" borderId="0" xfId="0" applyNumberFormat="1" applyFont="1" applyFill="1" applyBorder="1" applyProtection="1"/>
    <xf numFmtId="0" fontId="17" fillId="0" borderId="0" xfId="2" applyFont="1" applyFill="1" applyAlignment="1" applyProtection="1">
      <alignment wrapText="1"/>
    </xf>
    <xf numFmtId="0" fontId="16" fillId="0" borderId="3" xfId="0" applyFont="1" applyFill="1" applyBorder="1" applyProtection="1"/>
    <xf numFmtId="0" fontId="15" fillId="0" borderId="0" xfId="0" applyFont="1" applyProtection="1"/>
    <xf numFmtId="0" fontId="16" fillId="0" borderId="0" xfId="0" applyFont="1" applyFill="1" applyBorder="1" applyProtection="1"/>
    <xf numFmtId="4" fontId="16" fillId="0" borderId="0" xfId="0" applyNumberFormat="1" applyFont="1" applyFill="1" applyBorder="1" applyProtection="1"/>
    <xf numFmtId="1" fontId="16" fillId="0" borderId="0" xfId="0" applyNumberFormat="1" applyFont="1" applyFill="1" applyBorder="1" applyProtection="1"/>
    <xf numFmtId="0" fontId="15" fillId="0" borderId="0" xfId="0" applyFont="1" applyFill="1" applyAlignment="1" applyProtection="1">
      <alignment wrapText="1"/>
    </xf>
    <xf numFmtId="0" fontId="16" fillId="0" borderId="7" xfId="0" applyFont="1" applyFill="1" applyBorder="1" applyProtection="1"/>
    <xf numFmtId="3" fontId="15" fillId="0" borderId="0" xfId="0" applyNumberFormat="1" applyFont="1" applyFill="1" applyProtection="1"/>
    <xf numFmtId="0" fontId="16" fillId="0" borderId="0" xfId="0" applyFont="1" applyFill="1" applyAlignment="1" applyProtection="1">
      <alignment horizontal="left"/>
    </xf>
    <xf numFmtId="0" fontId="15" fillId="0" borderId="0" xfId="0" applyFont="1" applyFill="1" applyBorder="1" applyProtection="1"/>
    <xf numFmtId="49" fontId="15" fillId="0" borderId="0" xfId="0" applyNumberFormat="1" applyFont="1" applyFill="1" applyAlignment="1" applyProtection="1">
      <alignment horizontal="left" wrapText="1" indent="1"/>
    </xf>
    <xf numFmtId="49" fontId="16" fillId="0" borderId="0" xfId="0" applyNumberFormat="1" applyFont="1" applyFill="1" applyAlignment="1" applyProtection="1"/>
    <xf numFmtId="49" fontId="16" fillId="0" borderId="0" xfId="0" applyNumberFormat="1" applyFont="1" applyFill="1" applyAlignment="1" applyProtection="1">
      <alignment wrapText="1"/>
    </xf>
    <xf numFmtId="49" fontId="15" fillId="0" borderId="0" xfId="2" applyNumberFormat="1" applyFont="1" applyFill="1" applyAlignment="1" applyProtection="1">
      <alignment horizontal="left" wrapText="1" indent="1"/>
    </xf>
    <xf numFmtId="0" fontId="16" fillId="0" borderId="0" xfId="2" applyNumberFormat="1" applyFont="1" applyFill="1" applyAlignment="1" applyProtection="1"/>
    <xf numFmtId="49" fontId="16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Alignment="1" applyProtection="1">
      <alignment horizontal="left" indent="1"/>
    </xf>
    <xf numFmtId="49" fontId="16" fillId="0" borderId="3" xfId="0" applyNumberFormat="1" applyFont="1" applyFill="1" applyBorder="1" applyAlignment="1" applyProtection="1">
      <alignment horizontal="left"/>
    </xf>
    <xf numFmtId="10" fontId="15" fillId="0" borderId="1" xfId="0" applyNumberFormat="1" applyFont="1" applyFill="1" applyBorder="1" applyProtection="1"/>
    <xf numFmtId="4" fontId="16" fillId="0" borderId="4" xfId="0" applyNumberFormat="1" applyFont="1" applyFill="1" applyBorder="1" applyProtection="1"/>
    <xf numFmtId="4" fontId="15" fillId="4" borderId="1" xfId="0" applyNumberFormat="1" applyFont="1" applyFill="1" applyBorder="1" applyProtection="1">
      <protection locked="0"/>
    </xf>
    <xf numFmtId="0" fontId="17" fillId="0" borderId="0" xfId="2" applyFont="1" applyAlignment="1" applyProtection="1"/>
    <xf numFmtId="169" fontId="15" fillId="4" borderId="1" xfId="0" applyNumberFormat="1" applyFont="1" applyFill="1" applyBorder="1" applyProtection="1">
      <protection locked="0"/>
    </xf>
    <xf numFmtId="9" fontId="15" fillId="0" borderId="0" xfId="0" applyNumberFormat="1" applyFont="1" applyFill="1" applyBorder="1" applyProtection="1">
      <protection locked="0"/>
    </xf>
    <xf numFmtId="4" fontId="15" fillId="0" borderId="1" xfId="0" applyNumberFormat="1" applyFont="1" applyFill="1" applyBorder="1" applyProtection="1">
      <protection locked="0"/>
    </xf>
    <xf numFmtId="3" fontId="15" fillId="0" borderId="0" xfId="0" applyNumberFormat="1" applyFont="1" applyFill="1" applyBorder="1" applyProtection="1">
      <protection locked="0"/>
    </xf>
    <xf numFmtId="0" fontId="15" fillId="0" borderId="0" xfId="0" applyFont="1" applyAlignment="1">
      <alignment wrapText="1"/>
    </xf>
    <xf numFmtId="0" fontId="15" fillId="0" borderId="13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171" fontId="15" fillId="2" borderId="15" xfId="0" applyNumberFormat="1" applyFont="1" applyFill="1" applyBorder="1" applyProtection="1"/>
    <xf numFmtId="171" fontId="15" fillId="0" borderId="15" xfId="0" applyNumberFormat="1" applyFont="1" applyFill="1" applyBorder="1" applyProtection="1"/>
    <xf numFmtId="0" fontId="15" fillId="0" borderId="16" xfId="0" applyFont="1" applyBorder="1" applyAlignment="1" applyProtection="1">
      <alignment wrapText="1"/>
    </xf>
    <xf numFmtId="171" fontId="15" fillId="6" borderId="17" xfId="0" applyNumberFormat="1" applyFont="1" applyFill="1" applyBorder="1" applyProtection="1">
      <protection locked="0"/>
    </xf>
    <xf numFmtId="10" fontId="15" fillId="6" borderId="1" xfId="0" applyNumberFormat="1" applyFont="1" applyFill="1" applyBorder="1" applyProtection="1">
      <protection locked="0"/>
    </xf>
    <xf numFmtId="169" fontId="15" fillId="0" borderId="1" xfId="0" applyNumberFormat="1" applyFont="1" applyFill="1" applyBorder="1" applyProtection="1"/>
    <xf numFmtId="2" fontId="15" fillId="0" borderId="1" xfId="0" applyNumberFormat="1" applyFont="1" applyFill="1" applyBorder="1" applyProtection="1"/>
    <xf numFmtId="168" fontId="15" fillId="0" borderId="1" xfId="0" applyNumberFormat="1" applyFont="1" applyBorder="1" applyProtection="1"/>
    <xf numFmtId="9" fontId="15" fillId="0" borderId="1" xfId="0" applyNumberFormat="1" applyFont="1" applyBorder="1" applyProtection="1"/>
    <xf numFmtId="169" fontId="15" fillId="0" borderId="1" xfId="0" applyNumberFormat="1" applyFont="1" applyBorder="1" applyProtection="1"/>
    <xf numFmtId="10" fontId="15" fillId="0" borderId="1" xfId="0" applyNumberFormat="1" applyFont="1" applyBorder="1" applyProtection="1"/>
    <xf numFmtId="10" fontId="16" fillId="0" borderId="1" xfId="0" applyNumberFormat="1" applyFont="1" applyBorder="1" applyProtection="1"/>
    <xf numFmtId="2" fontId="12" fillId="0" borderId="0" xfId="0" applyNumberFormat="1" applyFont="1" applyBorder="1" applyProtection="1"/>
    <xf numFmtId="0" fontId="16" fillId="0" borderId="1" xfId="0" applyFont="1" applyBorder="1"/>
    <xf numFmtId="0" fontId="15" fillId="0" borderId="0" xfId="2" applyFont="1" applyFill="1" applyBorder="1" applyAlignment="1" applyProtection="1">
      <alignment wrapText="1"/>
    </xf>
    <xf numFmtId="0" fontId="15" fillId="0" borderId="0" xfId="0" applyFont="1" applyFill="1"/>
    <xf numFmtId="49" fontId="15" fillId="0" borderId="0" xfId="0" applyNumberFormat="1" applyFont="1" applyFill="1" applyBorder="1" applyProtection="1"/>
    <xf numFmtId="0" fontId="15" fillId="0" borderId="0" xfId="0" applyFont="1" applyFill="1" applyBorder="1" applyAlignment="1" applyProtection="1">
      <alignment wrapText="1"/>
    </xf>
    <xf numFmtId="170" fontId="15" fillId="4" borderId="5" xfId="0" applyNumberFormat="1" applyFont="1" applyFill="1" applyBorder="1" applyProtection="1">
      <protection locked="0"/>
    </xf>
    <xf numFmtId="0" fontId="16" fillId="0" borderId="0" xfId="0" applyFont="1"/>
    <xf numFmtId="0" fontId="15" fillId="0" borderId="0" xfId="0" applyFont="1"/>
    <xf numFmtId="0" fontId="15" fillId="0" borderId="0" xfId="0" quotePrefix="1" applyFont="1"/>
    <xf numFmtId="0" fontId="15" fillId="0" borderId="0" xfId="0" applyFont="1" applyFill="1" applyBorder="1" applyAlignment="1" applyProtection="1">
      <alignment horizontal="right"/>
    </xf>
    <xf numFmtId="49" fontId="15" fillId="0" borderId="0" xfId="0" applyNumberFormat="1" applyFont="1" applyFill="1" applyBorder="1" applyAlignment="1" applyProtection="1"/>
    <xf numFmtId="0" fontId="16" fillId="0" borderId="0" xfId="0" applyFont="1" applyFill="1"/>
    <xf numFmtId="3" fontId="15" fillId="0" borderId="1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168" fontId="15" fillId="6" borderId="1" xfId="0" applyNumberFormat="1" applyFont="1" applyFill="1" applyBorder="1" applyProtection="1">
      <protection locked="0"/>
    </xf>
    <xf numFmtId="167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71" fontId="15" fillId="6" borderId="1" xfId="0" applyNumberFormat="1" applyFont="1" applyFill="1" applyBorder="1" applyProtection="1">
      <protection locked="0"/>
    </xf>
    <xf numFmtId="0" fontId="15" fillId="0" borderId="1" xfId="0" applyFont="1" applyBorder="1"/>
    <xf numFmtId="0" fontId="15" fillId="0" borderId="0" xfId="0" applyFont="1" applyFill="1" applyBorder="1"/>
    <xf numFmtId="3" fontId="15" fillId="0" borderId="1" xfId="0" applyNumberFormat="1" applyFont="1" applyBorder="1"/>
    <xf numFmtId="0" fontId="0" fillId="0" borderId="0" xfId="0" applyAlignment="1">
      <alignment horizontal="left"/>
    </xf>
    <xf numFmtId="0" fontId="15" fillId="0" borderId="0" xfId="0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Border="1"/>
    <xf numFmtId="0" fontId="15" fillId="0" borderId="6" xfId="0" applyFont="1" applyBorder="1"/>
    <xf numFmtId="0" fontId="15" fillId="0" borderId="6" xfId="0" applyFont="1" applyBorder="1" applyAlignment="1">
      <alignment horizontal="left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6" fillId="0" borderId="0" xfId="3" applyFont="1"/>
    <xf numFmtId="4" fontId="15" fillId="4" borderId="1" xfId="3" applyNumberFormat="1" applyFont="1" applyFill="1" applyBorder="1" applyAlignment="1" applyProtection="1">
      <alignment horizontal="right"/>
      <protection locked="0"/>
    </xf>
    <xf numFmtId="4" fontId="15" fillId="4" borderId="1" xfId="1" applyNumberFormat="1" applyFont="1" applyFill="1" applyBorder="1" applyAlignment="1">
      <alignment horizontal="right"/>
    </xf>
    <xf numFmtId="0" fontId="15" fillId="2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right" wrapText="1"/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5" fillId="0" borderId="0" xfId="6" applyFont="1" applyFill="1" applyBorder="1" applyAlignment="1" applyProtection="1">
      <alignment horizontal="right"/>
    </xf>
    <xf numFmtId="3" fontId="15" fillId="4" borderId="1" xfId="4" applyNumberFormat="1" applyFont="1" applyFill="1" applyBorder="1" applyProtection="1">
      <protection locked="0"/>
    </xf>
    <xf numFmtId="0" fontId="15" fillId="0" borderId="0" xfId="6" applyFont="1" applyFill="1" applyBorder="1" applyAlignment="1" applyProtection="1">
      <alignment horizontal="left"/>
    </xf>
    <xf numFmtId="3" fontId="16" fillId="0" borderId="1" xfId="4" applyNumberFormat="1" applyFont="1" applyFill="1" applyBorder="1" applyProtection="1"/>
    <xf numFmtId="0" fontId="16" fillId="0" borderId="0" xfId="6" quotePrefix="1" applyFont="1" applyFill="1" applyBorder="1" applyAlignment="1" applyProtection="1"/>
    <xf numFmtId="3" fontId="16" fillId="0" borderId="1" xfId="0" applyNumberFormat="1" applyFont="1" applyFill="1" applyBorder="1" applyProtection="1"/>
    <xf numFmtId="0" fontId="15" fillId="0" borderId="0" xfId="6" applyFont="1" applyFill="1" applyBorder="1" applyAlignment="1" applyProtection="1"/>
    <xf numFmtId="171" fontId="15" fillId="4" borderId="1" xfId="4" applyNumberFormat="1" applyFont="1" applyFill="1" applyBorder="1" applyProtection="1">
      <protection locked="0"/>
    </xf>
    <xf numFmtId="3" fontId="16" fillId="4" borderId="1" xfId="4" applyNumberFormat="1" applyFont="1" applyFill="1" applyBorder="1" applyProtection="1">
      <protection locked="0"/>
    </xf>
    <xf numFmtId="0" fontId="15" fillId="2" borderId="0" xfId="0" applyFont="1" applyFill="1" applyBorder="1" applyProtection="1"/>
    <xf numFmtId="0" fontId="16" fillId="0" borderId="0" xfId="6" applyFont="1" applyFill="1" applyBorder="1" applyAlignment="1" applyProtection="1"/>
    <xf numFmtId="3" fontId="16" fillId="0" borderId="2" xfId="4" applyNumberFormat="1" applyFont="1" applyFill="1" applyBorder="1" applyProtection="1"/>
    <xf numFmtId="0" fontId="15" fillId="0" borderId="0" xfId="4" applyFont="1" applyFill="1" applyBorder="1" applyProtection="1">
      <protection locked="0"/>
    </xf>
    <xf numFmtId="49" fontId="21" fillId="0" borderId="0" xfId="0" applyNumberFormat="1" applyFont="1" applyFill="1" applyBorder="1" applyProtection="1"/>
    <xf numFmtId="0" fontId="15" fillId="5" borderId="0" xfId="0" applyFont="1" applyFill="1" applyBorder="1" applyProtection="1">
      <protection locked="0"/>
    </xf>
    <xf numFmtId="0" fontId="15" fillId="0" borderId="0" xfId="5" applyFont="1" applyFill="1" applyBorder="1" applyAlignment="1" applyProtection="1">
      <alignment horizontal="right"/>
    </xf>
    <xf numFmtId="0" fontId="15" fillId="0" borderId="0" xfId="5" applyFont="1" applyFill="1" applyBorder="1" applyAlignment="1" applyProtection="1"/>
    <xf numFmtId="0" fontId="16" fillId="0" borderId="0" xfId="5" quotePrefix="1" applyFont="1" applyFill="1" applyBorder="1" applyAlignment="1" applyProtection="1"/>
    <xf numFmtId="0" fontId="15" fillId="0" borderId="0" xfId="5" applyFont="1" applyFill="1" applyBorder="1" applyAlignment="1" applyProtection="1">
      <alignment horizontal="left"/>
    </xf>
    <xf numFmtId="171" fontId="15" fillId="6" borderId="1" xfId="4" applyNumberFormat="1" applyFont="1" applyFill="1" applyBorder="1" applyProtection="1">
      <protection locked="0"/>
    </xf>
    <xf numFmtId="0" fontId="16" fillId="0" borderId="0" xfId="5" applyFont="1" applyFill="1" applyBorder="1" applyAlignment="1" applyProtection="1"/>
    <xf numFmtId="0" fontId="16" fillId="0" borderId="0" xfId="5" applyFont="1" applyFill="1" applyBorder="1" applyAlignment="1" applyProtection="1">
      <alignment horizontal="left"/>
    </xf>
    <xf numFmtId="0" fontId="15" fillId="0" borderId="0" xfId="2" applyFont="1" applyFill="1" applyBorder="1" applyAlignment="1" applyProtection="1">
      <alignment horizontal="left"/>
    </xf>
    <xf numFmtId="3" fontId="16" fillId="0" borderId="1" xfId="4" applyNumberFormat="1" applyFont="1" applyFill="1" applyBorder="1" applyProtection="1">
      <protection locked="0"/>
    </xf>
    <xf numFmtId="49" fontId="20" fillId="0" borderId="0" xfId="0" applyNumberFormat="1" applyFont="1" applyFill="1" applyBorder="1" applyAlignment="1" applyProtection="1">
      <alignment horizontal="left"/>
    </xf>
    <xf numFmtId="0" fontId="15" fillId="5" borderId="0" xfId="0" applyFont="1" applyFill="1"/>
    <xf numFmtId="4" fontId="16" fillId="4" borderId="1" xfId="4" applyNumberFormat="1" applyFont="1" applyFill="1" applyBorder="1" applyProtection="1">
      <protection locked="0"/>
    </xf>
    <xf numFmtId="49" fontId="16" fillId="0" borderId="0" xfId="4" applyNumberFormat="1" applyFont="1" applyFill="1" applyBorder="1" applyAlignment="1" applyProtection="1">
      <alignment horizontal="left"/>
    </xf>
    <xf numFmtId="4" fontId="15" fillId="4" borderId="1" xfId="4" applyNumberFormat="1" applyFont="1" applyFill="1" applyBorder="1" applyProtection="1">
      <protection locked="0"/>
    </xf>
    <xf numFmtId="4" fontId="15" fillId="6" borderId="1" xfId="4" applyNumberFormat="1" applyFont="1" applyFill="1" applyBorder="1" applyProtection="1">
      <protection locked="0"/>
    </xf>
    <xf numFmtId="4" fontId="16" fillId="0" borderId="1" xfId="4" applyNumberFormat="1" applyFont="1" applyFill="1" applyBorder="1" applyProtection="1"/>
    <xf numFmtId="49" fontId="15" fillId="0" borderId="0" xfId="4" applyNumberFormat="1" applyFont="1" applyFill="1" applyBorder="1" applyAlignment="1" applyProtection="1">
      <alignment horizontal="left"/>
    </xf>
    <xf numFmtId="49" fontId="15" fillId="0" borderId="0" xfId="4" applyNumberFormat="1" applyFont="1" applyFill="1" applyBorder="1" applyAlignment="1" applyProtection="1"/>
    <xf numFmtId="4" fontId="15" fillId="4" borderId="5" xfId="4" applyNumberFormat="1" applyFont="1" applyFill="1" applyBorder="1" applyProtection="1">
      <protection locked="0"/>
    </xf>
    <xf numFmtId="4" fontId="16" fillId="0" borderId="2" xfId="4" applyNumberFormat="1" applyFont="1" applyFill="1" applyBorder="1" applyProtection="1"/>
    <xf numFmtId="4" fontId="15" fillId="4" borderId="1" xfId="4" quotePrefix="1" applyNumberFormat="1" applyFont="1" applyFill="1" applyBorder="1" applyProtection="1">
      <protection locked="0"/>
    </xf>
    <xf numFmtId="173" fontId="15" fillId="0" borderId="1" xfId="9" applyNumberFormat="1" applyFont="1" applyBorder="1"/>
    <xf numFmtId="174" fontId="15" fillId="6" borderId="1" xfId="0" applyNumberFormat="1" applyFont="1" applyFill="1" applyBorder="1"/>
    <xf numFmtId="0" fontId="15" fillId="0" borderId="14" xfId="0" applyFont="1" applyFill="1" applyBorder="1"/>
    <xf numFmtId="0" fontId="15" fillId="0" borderId="26" xfId="0" applyFont="1" applyBorder="1"/>
    <xf numFmtId="0" fontId="18" fillId="0" borderId="0" xfId="0" applyFont="1" applyFill="1" applyBorder="1" applyProtection="1"/>
    <xf numFmtId="0" fontId="17" fillId="0" borderId="0" xfId="2" applyFont="1" applyBorder="1" applyAlignment="1" applyProtection="1"/>
    <xf numFmtId="0" fontId="15" fillId="0" borderId="0" xfId="0" applyFont="1" applyBorder="1" applyProtection="1"/>
    <xf numFmtId="0" fontId="15" fillId="0" borderId="0" xfId="0" applyFont="1" applyBorder="1" applyAlignment="1">
      <alignment wrapText="1"/>
    </xf>
    <xf numFmtId="0" fontId="15" fillId="0" borderId="0" xfId="0" applyFont="1" applyBorder="1" applyAlignment="1" applyProtection="1">
      <alignment wrapText="1"/>
    </xf>
    <xf numFmtId="0" fontId="13" fillId="0" borderId="0" xfId="2" applyFont="1" applyBorder="1" applyAlignment="1" applyProtection="1">
      <alignment wrapText="1"/>
    </xf>
    <xf numFmtId="0" fontId="15" fillId="0" borderId="0" xfId="2" applyFont="1" applyBorder="1" applyAlignment="1" applyProtection="1">
      <alignment wrapText="1"/>
    </xf>
    <xf numFmtId="49" fontId="15" fillId="0" borderId="14" xfId="0" applyNumberFormat="1" applyFont="1" applyFill="1" applyBorder="1" applyProtection="1"/>
    <xf numFmtId="0" fontId="15" fillId="0" borderId="27" xfId="0" applyFont="1" applyFill="1" applyBorder="1" applyAlignment="1" applyProtection="1">
      <alignment wrapText="1"/>
    </xf>
    <xf numFmtId="170" fontId="15" fillId="4" borderId="7" xfId="0" applyNumberFormat="1" applyFont="1" applyFill="1" applyBorder="1" applyProtection="1">
      <protection locked="0"/>
    </xf>
    <xf numFmtId="2" fontId="12" fillId="0" borderId="26" xfId="0" applyNumberFormat="1" applyFont="1" applyBorder="1" applyProtection="1"/>
    <xf numFmtId="170" fontId="15" fillId="4" borderId="29" xfId="0" applyNumberFormat="1" applyFont="1" applyFill="1" applyBorder="1" applyProtection="1">
      <protection locked="0"/>
    </xf>
    <xf numFmtId="170" fontId="15" fillId="4" borderId="17" xfId="0" applyNumberFormat="1" applyFont="1" applyFill="1" applyBorder="1" applyProtection="1">
      <protection locked="0"/>
    </xf>
    <xf numFmtId="0" fontId="19" fillId="7" borderId="13" xfId="0" applyFont="1" applyFill="1" applyBorder="1" applyAlignment="1" applyProtection="1">
      <alignment horizontal="left"/>
    </xf>
    <xf numFmtId="0" fontId="15" fillId="7" borderId="24" xfId="0" applyFont="1" applyFill="1" applyBorder="1"/>
    <xf numFmtId="0" fontId="15" fillId="7" borderId="25" xfId="0" applyFont="1" applyFill="1" applyBorder="1"/>
    <xf numFmtId="0" fontId="15" fillId="0" borderId="0" xfId="0" applyNumberFormat="1" applyFont="1" applyBorder="1" applyProtection="1"/>
    <xf numFmtId="0" fontId="16" fillId="0" borderId="0" xfId="2" applyFont="1" applyFill="1" applyBorder="1" applyAlignment="1" applyProtection="1">
      <alignment wrapText="1"/>
    </xf>
    <xf numFmtId="0" fontId="3" fillId="0" borderId="0" xfId="0" applyFont="1" applyFill="1" applyBorder="1" applyProtection="1">
      <protection locked="0"/>
    </xf>
    <xf numFmtId="0" fontId="16" fillId="0" borderId="0" xfId="5" applyFont="1" applyFill="1" applyBorder="1" applyAlignment="1" applyProtection="1">
      <alignment horizontal="right"/>
    </xf>
    <xf numFmtId="0" fontId="3" fillId="2" borderId="0" xfId="0" applyFont="1" applyFill="1" applyBorder="1" applyProtection="1">
      <protection locked="0"/>
    </xf>
    <xf numFmtId="0" fontId="16" fillId="0" borderId="0" xfId="2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right"/>
    </xf>
    <xf numFmtId="0" fontId="3" fillId="3" borderId="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right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/>
    <xf numFmtId="0" fontId="15" fillId="0" borderId="0" xfId="0" applyFont="1" applyFill="1" applyAlignment="1">
      <alignment horizontal="right" vertical="center"/>
    </xf>
    <xf numFmtId="0" fontId="15" fillId="0" borderId="6" xfId="0" applyFont="1" applyFill="1" applyBorder="1" applyAlignment="1" applyProtection="1">
      <alignment horizontal="left"/>
      <protection locked="0"/>
    </xf>
    <xf numFmtId="49" fontId="15" fillId="0" borderId="0" xfId="0" applyNumberFormat="1" applyFont="1" applyFill="1" applyBorder="1" applyAlignment="1" applyProtection="1">
      <alignment horizontal="right" vertical="center"/>
    </xf>
    <xf numFmtId="0" fontId="27" fillId="2" borderId="0" xfId="0" applyFont="1" applyFill="1" applyBorder="1" applyAlignment="1" applyProtection="1">
      <alignment horizontal="right"/>
      <protection locked="0"/>
    </xf>
    <xf numFmtId="4" fontId="16" fillId="0" borderId="1" xfId="4" applyNumberFormat="1" applyFont="1" applyFill="1" applyBorder="1" applyProtection="1">
      <protection locked="0"/>
    </xf>
    <xf numFmtId="0" fontId="27" fillId="2" borderId="0" xfId="0" applyFont="1" applyFill="1" applyBorder="1" applyProtection="1">
      <protection locked="0"/>
    </xf>
    <xf numFmtId="49" fontId="15" fillId="0" borderId="0" xfId="4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left"/>
    </xf>
    <xf numFmtId="0" fontId="28" fillId="2" borderId="0" xfId="0" applyFont="1" applyFill="1" applyBorder="1" applyAlignment="1" applyProtection="1">
      <alignment horizontal="right" vertical="center"/>
      <protection locked="0"/>
    </xf>
    <xf numFmtId="0" fontId="27" fillId="0" borderId="0" xfId="0" applyFont="1" applyFill="1" applyBorder="1" applyAlignment="1" applyProtection="1">
      <alignment horizontal="right" vertical="center"/>
    </xf>
    <xf numFmtId="49" fontId="27" fillId="0" borderId="0" xfId="0" applyNumberFormat="1" applyFont="1" applyFill="1" applyBorder="1" applyProtection="1"/>
    <xf numFmtId="0" fontId="16" fillId="0" borderId="0" xfId="0" applyFont="1" applyFill="1" applyBorder="1" applyAlignment="1" applyProtection="1">
      <alignment horizontal="left" vertical="center"/>
    </xf>
    <xf numFmtId="49" fontId="15" fillId="0" borderId="0" xfId="2" applyNumberFormat="1" applyFont="1" applyFill="1" applyBorder="1" applyAlignment="1" applyProtection="1">
      <alignment horizontal="left"/>
    </xf>
    <xf numFmtId="49" fontId="16" fillId="0" borderId="0" xfId="4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horizontal="left"/>
    </xf>
    <xf numFmtId="49" fontId="16" fillId="0" borderId="0" xfId="4" quotePrefix="1" applyNumberFormat="1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/>
    <xf numFmtId="49" fontId="16" fillId="0" borderId="0" xfId="4" quotePrefix="1" applyNumberFormat="1" applyFont="1" applyFill="1" applyBorder="1" applyAlignment="1" applyProtection="1">
      <alignment horizontal="right" vertical="top"/>
    </xf>
    <xf numFmtId="49" fontId="16" fillId="0" borderId="0" xfId="4" applyNumberFormat="1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right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Protection="1"/>
    <xf numFmtId="49" fontId="3" fillId="0" borderId="0" xfId="4" applyNumberFormat="1" applyFont="1" applyFill="1" applyBorder="1" applyAlignment="1" applyProtection="1">
      <alignment horizontal="left"/>
    </xf>
    <xf numFmtId="0" fontId="3" fillId="0" borderId="0" xfId="10" applyFont="1" applyFill="1" applyBorder="1" applyProtection="1">
      <protection locked="0"/>
    </xf>
    <xf numFmtId="0" fontId="15" fillId="0" borderId="0" xfId="10" applyFont="1" applyFill="1" applyBorder="1" applyProtection="1">
      <protection locked="0"/>
    </xf>
    <xf numFmtId="49" fontId="20" fillId="0" borderId="0" xfId="10" applyNumberFormat="1" applyFont="1" applyFill="1" applyBorder="1" applyProtection="1"/>
    <xf numFmtId="49" fontId="21" fillId="0" borderId="0" xfId="10" applyNumberFormat="1" applyFont="1" applyFill="1" applyBorder="1" applyProtection="1"/>
    <xf numFmtId="0" fontId="15" fillId="0" borderId="0" xfId="10" applyFont="1" applyFill="1" applyBorder="1" applyAlignment="1" applyProtection="1">
      <alignment horizontal="right" wrapText="1"/>
      <protection locked="0"/>
    </xf>
    <xf numFmtId="49" fontId="26" fillId="0" borderId="0" xfId="2" applyNumberFormat="1" applyFont="1" applyFill="1" applyBorder="1" applyAlignment="1" applyProtection="1"/>
    <xf numFmtId="49" fontId="16" fillId="0" borderId="0" xfId="10" applyNumberFormat="1" applyFont="1" applyFill="1" applyBorder="1" applyAlignment="1" applyProtection="1"/>
    <xf numFmtId="0" fontId="15" fillId="5" borderId="0" xfId="10" applyFont="1" applyFill="1" applyBorder="1" applyAlignment="1" applyProtection="1">
      <alignment horizontal="right"/>
    </xf>
    <xf numFmtId="49" fontId="16" fillId="5" borderId="0" xfId="10" applyNumberFormat="1" applyFont="1" applyFill="1" applyBorder="1" applyAlignment="1" applyProtection="1"/>
    <xf numFmtId="49" fontId="20" fillId="5" borderId="0" xfId="10" applyNumberFormat="1" applyFont="1" applyFill="1" applyBorder="1" applyProtection="1"/>
    <xf numFmtId="49" fontId="21" fillId="5" borderId="0" xfId="10" applyNumberFormat="1" applyFont="1" applyFill="1" applyBorder="1" applyProtection="1"/>
    <xf numFmtId="0" fontId="15" fillId="0" borderId="0" xfId="10" applyFont="1" applyFill="1" applyBorder="1" applyAlignment="1" applyProtection="1">
      <alignment horizontal="right"/>
      <protection locked="0"/>
    </xf>
    <xf numFmtId="0" fontId="15" fillId="5" borderId="0" xfId="10" applyFont="1" applyFill="1" applyBorder="1" applyProtection="1">
      <protection locked="0"/>
    </xf>
    <xf numFmtId="0" fontId="3" fillId="5" borderId="0" xfId="10" applyFont="1" applyFill="1" applyBorder="1" applyProtection="1">
      <protection locked="0"/>
    </xf>
    <xf numFmtId="0" fontId="15" fillId="0" borderId="0" xfId="10" applyFont="1" applyFill="1" applyBorder="1" applyProtection="1"/>
    <xf numFmtId="3" fontId="7" fillId="0" borderId="1" xfId="10" applyNumberFormat="1" applyFont="1" applyFill="1" applyBorder="1" applyProtection="1">
      <protection locked="0"/>
    </xf>
    <xf numFmtId="0" fontId="3" fillId="2" borderId="0" xfId="10" applyFont="1" applyFill="1" applyBorder="1" applyProtection="1">
      <protection locked="0"/>
    </xf>
    <xf numFmtId="3" fontId="16" fillId="0" borderId="1" xfId="10" applyNumberFormat="1" applyFont="1" applyFill="1" applyBorder="1" applyProtection="1"/>
    <xf numFmtId="0" fontId="15" fillId="0" borderId="0" xfId="10" applyFont="1" applyFill="1" applyBorder="1" applyAlignment="1" applyProtection="1">
      <alignment horizontal="right"/>
    </xf>
    <xf numFmtId="3" fontId="15" fillId="4" borderId="1" xfId="10" applyNumberFormat="1" applyFont="1" applyFill="1" applyBorder="1" applyProtection="1">
      <protection locked="0"/>
    </xf>
    <xf numFmtId="0" fontId="16" fillId="0" borderId="0" xfId="10" quotePrefix="1" applyFont="1" applyProtection="1"/>
    <xf numFmtId="0" fontId="23" fillId="0" borderId="0" xfId="10" applyFont="1" applyFill="1" applyBorder="1" applyProtection="1"/>
    <xf numFmtId="0" fontId="3" fillId="0" borderId="0" xfId="10" applyFont="1" applyFill="1" applyBorder="1" applyProtection="1"/>
    <xf numFmtId="0" fontId="15" fillId="2" borderId="0" xfId="10" applyFont="1" applyFill="1" applyBorder="1" applyProtection="1"/>
    <xf numFmtId="0" fontId="16" fillId="2" borderId="0" xfId="10" applyFont="1" applyFill="1" applyBorder="1" applyAlignment="1" applyProtection="1">
      <alignment horizontal="right"/>
      <protection locked="0"/>
    </xf>
    <xf numFmtId="0" fontId="15" fillId="2" borderId="0" xfId="10" applyFont="1" applyFill="1" applyBorder="1" applyAlignment="1" applyProtection="1">
      <alignment horizontal="right"/>
      <protection locked="0"/>
    </xf>
    <xf numFmtId="0" fontId="15" fillId="2" borderId="0" xfId="10" applyFont="1" applyFill="1" applyBorder="1" applyProtection="1">
      <protection locked="0"/>
    </xf>
    <xf numFmtId="0" fontId="16" fillId="0" borderId="0" xfId="10" applyFont="1" applyFill="1" applyBorder="1" applyProtection="1"/>
    <xf numFmtId="0" fontId="15" fillId="0" borderId="0" xfId="0" applyFont="1" applyFill="1" applyBorder="1" applyAlignment="1" applyProtection="1">
      <alignment horizontal="left"/>
      <protection locked="0"/>
    </xf>
    <xf numFmtId="0" fontId="3" fillId="0" borderId="0" xfId="5" applyFont="1" applyFill="1" applyBorder="1" applyAlignment="1" applyProtection="1">
      <alignment horizontal="right"/>
    </xf>
    <xf numFmtId="0" fontId="3" fillId="0" borderId="0" xfId="10" applyFont="1" applyFill="1" applyBorder="1" applyAlignment="1" applyProtection="1">
      <alignment horizontal="right"/>
    </xf>
    <xf numFmtId="0" fontId="16" fillId="0" borderId="0" xfId="10" applyFont="1" applyFill="1" applyBorder="1" applyAlignment="1" applyProtection="1">
      <alignment horizontal="right" wrapText="1"/>
      <protection locked="0"/>
    </xf>
    <xf numFmtId="0" fontId="16" fillId="0" borderId="0" xfId="10" applyFont="1" applyFill="1" applyBorder="1" applyAlignment="1" applyProtection="1">
      <alignment horizontal="right"/>
    </xf>
    <xf numFmtId="0" fontId="16" fillId="0" borderId="0" xfId="10" quotePrefix="1" applyFont="1"/>
    <xf numFmtId="3" fontId="16" fillId="0" borderId="1" xfId="10" quotePrefix="1" applyNumberFormat="1" applyFont="1" applyFill="1" applyBorder="1" applyProtection="1"/>
    <xf numFmtId="0" fontId="16" fillId="0" borderId="0" xfId="2" applyFont="1" applyAlignment="1" applyProtection="1"/>
    <xf numFmtId="0" fontId="29" fillId="0" borderId="0" xfId="2" applyFont="1" applyAlignment="1" applyProtection="1">
      <alignment horizontal="right"/>
    </xf>
    <xf numFmtId="0" fontId="15" fillId="0" borderId="0" xfId="10" quotePrefix="1" applyFont="1" applyAlignment="1" applyProtection="1">
      <alignment wrapText="1"/>
    </xf>
    <xf numFmtId="0" fontId="16" fillId="0" borderId="0" xfId="10" quotePrefix="1" applyFont="1" applyFill="1" applyProtection="1"/>
    <xf numFmtId="0" fontId="15" fillId="0" borderId="0" xfId="10" quotePrefix="1" applyFont="1" applyFill="1" applyAlignment="1" applyProtection="1">
      <alignment horizontal="right"/>
    </xf>
    <xf numFmtId="0" fontId="15" fillId="2" borderId="0" xfId="10" applyFont="1" applyFill="1" applyBorder="1" applyAlignment="1" applyProtection="1">
      <alignment horizontal="right"/>
    </xf>
    <xf numFmtId="0" fontId="16" fillId="2" borderId="0" xfId="10" applyFont="1" applyFill="1" applyBorder="1" applyProtection="1">
      <protection locked="0"/>
    </xf>
    <xf numFmtId="0" fontId="16" fillId="0" borderId="0" xfId="10" quotePrefix="1" applyFont="1" applyFill="1" applyBorder="1" applyProtection="1"/>
    <xf numFmtId="0" fontId="15" fillId="0" borderId="0" xfId="10" quotePrefix="1" applyFont="1" applyFill="1" applyBorder="1" applyAlignment="1" applyProtection="1">
      <alignment horizontal="right"/>
    </xf>
    <xf numFmtId="0" fontId="22" fillId="0" borderId="0" xfId="10" applyFont="1" applyFill="1" applyBorder="1" applyAlignment="1" applyProtection="1">
      <alignment horizontal="right"/>
    </xf>
    <xf numFmtId="0" fontId="15" fillId="0" borderId="0" xfId="10" applyFont="1" applyFill="1" applyProtection="1"/>
    <xf numFmtId="0" fontId="22" fillId="0" borderId="0" xfId="10" applyFont="1" applyFill="1" applyBorder="1" applyProtection="1"/>
    <xf numFmtId="0" fontId="15" fillId="0" borderId="0" xfId="10" quotePrefix="1" applyFont="1" applyAlignment="1" applyProtection="1">
      <alignment horizontal="right"/>
    </xf>
    <xf numFmtId="3" fontId="15" fillId="0" borderId="1" xfId="0" applyNumberFormat="1" applyFont="1" applyFill="1" applyBorder="1" applyProtection="1"/>
    <xf numFmtId="3" fontId="16" fillId="0" borderId="6" xfId="0" applyNumberFormat="1" applyFont="1" applyFill="1" applyBorder="1" applyProtection="1"/>
    <xf numFmtId="3" fontId="16" fillId="0" borderId="0" xfId="0" applyNumberFormat="1" applyFont="1" applyFill="1" applyBorder="1" applyProtection="1"/>
    <xf numFmtId="3" fontId="15" fillId="0" borderId="0" xfId="0" applyNumberFormat="1" applyFont="1" applyFill="1" applyBorder="1" applyProtection="1"/>
    <xf numFmtId="3" fontId="15" fillId="0" borderId="1" xfId="0" applyNumberFormat="1" applyFont="1" applyFill="1" applyBorder="1" applyAlignment="1" applyProtection="1">
      <alignment horizontal="right"/>
    </xf>
    <xf numFmtId="3" fontId="15" fillId="0" borderId="0" xfId="0" applyNumberFormat="1" applyFont="1" applyFill="1" applyBorder="1" applyAlignment="1" applyProtection="1">
      <alignment horizontal="right"/>
    </xf>
    <xf numFmtId="0" fontId="2" fillId="0" borderId="0" xfId="2" applyFont="1" applyBorder="1" applyAlignment="1" applyProtection="1">
      <alignment wrapText="1"/>
    </xf>
    <xf numFmtId="1" fontId="24" fillId="0" borderId="0" xfId="0" applyNumberFormat="1" applyFont="1" applyFill="1" applyAlignment="1">
      <alignment horizontal="center"/>
    </xf>
    <xf numFmtId="1" fontId="24" fillId="0" borderId="0" xfId="0" applyNumberFormat="1" applyFont="1" applyFill="1" applyAlignment="1">
      <alignment horizontal="center" wrapText="1"/>
    </xf>
    <xf numFmtId="174" fontId="15" fillId="0" borderId="1" xfId="0" applyNumberFormat="1" applyFont="1" applyBorder="1"/>
    <xf numFmtId="0" fontId="24" fillId="0" borderId="0" xfId="0" applyFont="1" applyFill="1" applyAlignment="1">
      <alignment horizontal="center"/>
    </xf>
    <xf numFmtId="0" fontId="8" fillId="0" borderId="0" xfId="0" applyFont="1" applyBorder="1" applyProtection="1"/>
    <xf numFmtId="0" fontId="16" fillId="7" borderId="30" xfId="0" applyFont="1" applyFill="1" applyBorder="1"/>
    <xf numFmtId="0" fontId="16" fillId="7" borderId="20" xfId="0" applyFont="1" applyFill="1" applyBorder="1"/>
    <xf numFmtId="0" fontId="16" fillId="7" borderId="31" xfId="0" applyFont="1" applyFill="1" applyBorder="1"/>
    <xf numFmtId="0" fontId="16" fillId="0" borderId="28" xfId="0" applyFont="1" applyBorder="1" applyAlignment="1">
      <alignment wrapText="1"/>
    </xf>
    <xf numFmtId="173" fontId="15" fillId="0" borderId="1" xfId="0" applyNumberFormat="1" applyFont="1" applyBorder="1" applyProtection="1"/>
    <xf numFmtId="173" fontId="15" fillId="4" borderId="1" xfId="0" applyNumberFormat="1" applyFont="1" applyFill="1" applyBorder="1" applyProtection="1">
      <protection locked="0"/>
    </xf>
    <xf numFmtId="2" fontId="15" fillId="0" borderId="1" xfId="0" applyNumberFormat="1" applyFont="1" applyBorder="1" applyProtection="1"/>
    <xf numFmtId="1" fontId="15" fillId="0" borderId="1" xfId="0" applyNumberFormat="1" applyFont="1" applyFill="1" applyBorder="1" applyProtection="1"/>
    <xf numFmtId="49" fontId="9" fillId="10" borderId="0" xfId="0" applyNumberFormat="1" applyFont="1" applyFill="1" applyBorder="1" applyProtection="1"/>
    <xf numFmtId="0" fontId="10" fillId="10" borderId="0" xfId="0" applyFont="1" applyFill="1" applyBorder="1" applyAlignment="1" applyProtection="1">
      <alignment horizontal="left" vertical="center"/>
    </xf>
    <xf numFmtId="49" fontId="9" fillId="10" borderId="0" xfId="0" applyNumberFormat="1" applyFont="1" applyFill="1" applyBorder="1" applyAlignment="1" applyProtection="1">
      <alignment horizontal="left"/>
    </xf>
    <xf numFmtId="0" fontId="30" fillId="10" borderId="0" xfId="0" applyFont="1" applyFill="1" applyBorder="1" applyProtection="1">
      <protection locked="0"/>
    </xf>
    <xf numFmtId="0" fontId="9" fillId="10" borderId="0" xfId="0" applyFont="1" applyFill="1" applyBorder="1" applyProtection="1">
      <protection locked="0"/>
    </xf>
    <xf numFmtId="49" fontId="25" fillId="10" borderId="0" xfId="0" applyNumberFormat="1" applyFont="1" applyFill="1" applyBorder="1" applyAlignment="1" applyProtection="1">
      <alignment horizontal="left"/>
    </xf>
    <xf numFmtId="0" fontId="9" fillId="10" borderId="0" xfId="0" applyNumberFormat="1" applyFont="1" applyFill="1" applyBorder="1" applyAlignment="1" applyProtection="1">
      <alignment horizontal="left"/>
    </xf>
    <xf numFmtId="0" fontId="25" fillId="10" borderId="0" xfId="0" applyFont="1" applyFill="1" applyBorder="1" applyProtection="1">
      <protection locked="0"/>
    </xf>
    <xf numFmtId="0" fontId="9" fillId="10" borderId="0" xfId="0" applyFont="1" applyFill="1" applyBorder="1" applyAlignment="1" applyProtection="1">
      <alignment horizontal="right" vertical="center"/>
    </xf>
    <xf numFmtId="0" fontId="25" fillId="10" borderId="0" xfId="0" applyFont="1" applyFill="1" applyBorder="1" applyAlignment="1" applyProtection="1">
      <alignment horizontal="left"/>
    </xf>
    <xf numFmtId="0" fontId="9" fillId="10" borderId="0" xfId="0" applyFont="1" applyFill="1" applyBorder="1" applyAlignment="1" applyProtection="1">
      <alignment horizontal="left"/>
    </xf>
    <xf numFmtId="0" fontId="25" fillId="10" borderId="0" xfId="0" applyFont="1" applyFill="1" applyBorder="1" applyAlignment="1" applyProtection="1">
      <alignment horizontal="right" vertical="center"/>
    </xf>
    <xf numFmtId="0" fontId="31" fillId="10" borderId="0" xfId="0" applyNumberFormat="1" applyFont="1" applyFill="1" applyBorder="1" applyAlignment="1" applyProtection="1">
      <alignment horizontal="right"/>
      <protection locked="0"/>
    </xf>
    <xf numFmtId="0" fontId="25" fillId="10" borderId="0" xfId="0" applyFont="1" applyFill="1" applyBorder="1" applyAlignment="1" applyProtection="1">
      <alignment horizontal="right" wrapText="1"/>
      <protection locked="0"/>
    </xf>
    <xf numFmtId="49" fontId="32" fillId="10" borderId="0" xfId="0" applyNumberFormat="1" applyFont="1" applyFill="1" applyBorder="1" applyAlignment="1" applyProtection="1">
      <alignment horizontal="left"/>
    </xf>
    <xf numFmtId="49" fontId="32" fillId="10" borderId="0" xfId="0" applyNumberFormat="1" applyFont="1" applyFill="1" applyBorder="1" applyProtection="1"/>
    <xf numFmtId="0" fontId="10" fillId="10" borderId="0" xfId="0" applyFont="1" applyFill="1" applyBorder="1" applyAlignment="1" applyProtection="1">
      <alignment horizontal="center" wrapText="1"/>
      <protection locked="0"/>
    </xf>
    <xf numFmtId="0" fontId="10" fillId="10" borderId="0" xfId="0" applyFont="1" applyFill="1" applyBorder="1" applyAlignment="1" applyProtection="1">
      <alignment horizontal="center"/>
      <protection locked="0"/>
    </xf>
    <xf numFmtId="0" fontId="32" fillId="10" borderId="0" xfId="0" applyFont="1" applyFill="1" applyBorder="1" applyProtection="1">
      <protection locked="0"/>
    </xf>
    <xf numFmtId="0" fontId="10" fillId="10" borderId="0" xfId="0" applyFont="1" applyFill="1" applyBorder="1" applyProtection="1">
      <protection locked="0"/>
    </xf>
    <xf numFmtId="0" fontId="32" fillId="10" borderId="0" xfId="0" applyFont="1" applyFill="1" applyBorder="1" applyAlignment="1" applyProtection="1">
      <alignment horizontal="left" vertical="center"/>
    </xf>
    <xf numFmtId="49" fontId="10" fillId="10" borderId="0" xfId="0" applyNumberFormat="1" applyFont="1" applyFill="1" applyBorder="1" applyAlignment="1" applyProtection="1">
      <alignment horizontal="left"/>
    </xf>
    <xf numFmtId="0" fontId="32" fillId="10" borderId="0" xfId="0" applyNumberFormat="1" applyFont="1" applyFill="1" applyBorder="1" applyAlignment="1" applyProtection="1">
      <alignment horizontal="left"/>
    </xf>
    <xf numFmtId="0" fontId="32" fillId="10" borderId="0" xfId="0" applyFont="1" applyFill="1" applyBorder="1" applyAlignment="1" applyProtection="1">
      <alignment horizontal="right" vertical="center"/>
    </xf>
    <xf numFmtId="0" fontId="10" fillId="10" borderId="0" xfId="0" applyFont="1" applyFill="1" applyBorder="1" applyAlignment="1" applyProtection="1">
      <alignment horizontal="left"/>
    </xf>
    <xf numFmtId="0" fontId="32" fillId="10" borderId="0" xfId="0" applyFont="1" applyFill="1" applyBorder="1" applyAlignment="1" applyProtection="1">
      <alignment horizontal="left"/>
    </xf>
    <xf numFmtId="0" fontId="10" fillId="10" borderId="0" xfId="0" applyFont="1" applyFill="1" applyBorder="1" applyAlignment="1" applyProtection="1">
      <alignment horizontal="right" vertical="center"/>
    </xf>
    <xf numFmtId="0" fontId="33" fillId="10" borderId="0" xfId="0" applyNumberFormat="1" applyFont="1" applyFill="1" applyBorder="1" applyAlignment="1" applyProtection="1">
      <alignment horizontal="right"/>
      <protection locked="0"/>
    </xf>
    <xf numFmtId="0" fontId="10" fillId="10" borderId="0" xfId="0" applyFont="1" applyFill="1" applyBorder="1" applyAlignment="1" applyProtection="1">
      <alignment horizontal="right" wrapText="1"/>
      <protection locked="0"/>
    </xf>
    <xf numFmtId="4" fontId="15" fillId="0" borderId="0" xfId="0" applyNumberFormat="1" applyFont="1" applyFill="1" applyBorder="1" applyProtection="1">
      <protection locked="0"/>
    </xf>
    <xf numFmtId="0" fontId="16" fillId="0" borderId="0" xfId="2" applyFont="1" applyBorder="1" applyAlignment="1" applyProtection="1"/>
    <xf numFmtId="10" fontId="15" fillId="0" borderId="5" xfId="0" applyNumberFormat="1" applyFont="1" applyBorder="1" applyProtection="1"/>
    <xf numFmtId="10" fontId="15" fillId="0" borderId="2" xfId="0" applyNumberFormat="1" applyFont="1" applyBorder="1" applyProtection="1"/>
    <xf numFmtId="10" fontId="15" fillId="0" borderId="19" xfId="0" applyNumberFormat="1" applyFont="1" applyBorder="1" applyProtection="1"/>
    <xf numFmtId="0" fontId="16" fillId="0" borderId="0" xfId="2" applyFont="1" applyBorder="1" applyAlignment="1" applyProtection="1">
      <alignment wrapText="1"/>
    </xf>
    <xf numFmtId="0" fontId="34" fillId="0" borderId="0" xfId="0" applyFont="1" applyProtection="1"/>
    <xf numFmtId="0" fontId="13" fillId="0" borderId="0" xfId="0" applyFont="1" applyFill="1" applyProtection="1"/>
    <xf numFmtId="0" fontId="7" fillId="0" borderId="0" xfId="0" applyFont="1" applyBorder="1"/>
    <xf numFmtId="0" fontId="34" fillId="0" borderId="0" xfId="0" applyFont="1" applyFill="1" applyProtection="1"/>
    <xf numFmtId="10" fontId="15" fillId="0" borderId="0" xfId="7" applyNumberFormat="1" applyFont="1" applyFill="1" applyBorder="1" applyProtection="1">
      <protection locked="0"/>
    </xf>
    <xf numFmtId="169" fontId="15" fillId="0" borderId="0" xfId="7" applyNumberFormat="1" applyFont="1" applyFill="1" applyBorder="1" applyProtection="1"/>
    <xf numFmtId="0" fontId="8" fillId="0" borderId="0" xfId="0" applyFont="1" applyFill="1" applyBorder="1" applyProtection="1"/>
    <xf numFmtId="0" fontId="10" fillId="1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>
      <alignment horizontal="center"/>
    </xf>
    <xf numFmtId="0" fontId="35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>
      <alignment horizontal="center"/>
    </xf>
    <xf numFmtId="167" fontId="9" fillId="0" borderId="1" xfId="0" applyNumberFormat="1" applyFont="1" applyFill="1" applyBorder="1" applyAlignment="1">
      <alignment horizontal="center"/>
    </xf>
    <xf numFmtId="0" fontId="35" fillId="0" borderId="0" xfId="0" applyNumberFormat="1" applyFont="1" applyFill="1" applyAlignment="1" applyProtection="1">
      <alignment horizontal="center"/>
      <protection locked="0"/>
    </xf>
    <xf numFmtId="0" fontId="25" fillId="0" borderId="0" xfId="0" applyFont="1" applyFill="1" applyAlignment="1" applyProtection="1">
      <alignment horizontal="center" wrapText="1"/>
      <protection locked="0"/>
    </xf>
    <xf numFmtId="167" fontId="9" fillId="6" borderId="1" xfId="0" applyNumberFormat="1" applyFont="1" applyFill="1" applyBorder="1" applyAlignment="1" applyProtection="1">
      <alignment horizontal="center"/>
      <protection locked="0"/>
    </xf>
    <xf numFmtId="0" fontId="10" fillId="10" borderId="0" xfId="0" applyNumberFormat="1" applyFont="1" applyFill="1" applyBorder="1" applyAlignment="1" applyProtection="1">
      <alignment horizontal="left" vertical="center"/>
    </xf>
    <xf numFmtId="0" fontId="10" fillId="10" borderId="0" xfId="0" applyNumberFormat="1" applyFont="1" applyFill="1" applyBorder="1" applyAlignment="1" applyProtection="1">
      <alignment horizontal="left"/>
    </xf>
    <xf numFmtId="0" fontId="32" fillId="10" borderId="0" xfId="0" applyNumberFormat="1" applyFont="1" applyFill="1" applyBorder="1" applyProtection="1">
      <protection locked="0"/>
    </xf>
    <xf numFmtId="0" fontId="13" fillId="0" borderId="0" xfId="0" applyFont="1" applyFill="1" applyBorder="1" applyProtection="1"/>
    <xf numFmtId="174" fontId="15" fillId="0" borderId="0" xfId="0" applyNumberFormat="1" applyFont="1"/>
    <xf numFmtId="0" fontId="0" fillId="0" borderId="0" xfId="0" applyAlignment="1">
      <alignment wrapText="1"/>
    </xf>
    <xf numFmtId="0" fontId="36" fillId="0" borderId="0" xfId="0" applyFont="1" applyAlignment="1">
      <alignment horizontal="left"/>
    </xf>
    <xf numFmtId="10" fontId="36" fillId="0" borderId="0" xfId="7" applyNumberFormat="1" applyFont="1" applyAlignment="1">
      <alignment horizontal="left"/>
    </xf>
    <xf numFmtId="168" fontId="37" fillId="0" borderId="0" xfId="0" applyNumberFormat="1" applyFont="1" applyAlignment="1">
      <alignment horizontal="left"/>
    </xf>
    <xf numFmtId="1" fontId="37" fillId="0" borderId="0" xfId="0" applyNumberFormat="1" applyFont="1" applyAlignment="1">
      <alignment horizontal="left"/>
    </xf>
    <xf numFmtId="0" fontId="36" fillId="0" borderId="0" xfId="7" applyNumberFormat="1" applyFont="1" applyFill="1" applyAlignment="1">
      <alignment horizontal="left"/>
    </xf>
    <xf numFmtId="0" fontId="35" fillId="8" borderId="0" xfId="0" applyFont="1" applyFill="1" applyBorder="1"/>
    <xf numFmtId="0" fontId="38" fillId="8" borderId="0" xfId="0" applyFont="1" applyFill="1" applyBorder="1"/>
    <xf numFmtId="0" fontId="39" fillId="0" borderId="0" xfId="0" applyFont="1"/>
    <xf numFmtId="0" fontId="39" fillId="0" borderId="0" xfId="0" applyFont="1" applyFill="1" applyBorder="1"/>
    <xf numFmtId="166" fontId="39" fillId="8" borderId="0" xfId="8" applyFont="1" applyFill="1" applyBorder="1"/>
    <xf numFmtId="0" fontId="0" fillId="9" borderId="0" xfId="0" applyFill="1"/>
    <xf numFmtId="0" fontId="0" fillId="0" borderId="0" xfId="0" quotePrefix="1"/>
    <xf numFmtId="174" fontId="39" fillId="8" borderId="0" xfId="8" applyNumberFormat="1" applyFont="1" applyFill="1" applyBorder="1"/>
    <xf numFmtId="172" fontId="39" fillId="8" borderId="0" xfId="8" applyNumberFormat="1" applyFont="1" applyFill="1" applyBorder="1"/>
    <xf numFmtId="166" fontId="39" fillId="8" borderId="0" xfId="8" applyNumberFormat="1" applyFont="1" applyFill="1" applyBorder="1"/>
    <xf numFmtId="172" fontId="39" fillId="8" borderId="0" xfId="8" applyNumberFormat="1" applyFont="1" applyFill="1" applyBorder="1" applyAlignment="1"/>
    <xf numFmtId="1" fontId="39" fillId="7" borderId="0" xfId="8" applyNumberFormat="1" applyFont="1" applyFill="1" applyBorder="1" applyAlignment="1"/>
    <xf numFmtId="177" fontId="39" fillId="0" borderId="0" xfId="0" applyNumberFormat="1" applyFont="1" applyFill="1" applyBorder="1"/>
    <xf numFmtId="1" fontId="40" fillId="7" borderId="0" xfId="8" applyNumberFormat="1" applyFont="1" applyFill="1" applyBorder="1" applyAlignment="1">
      <alignment wrapText="1"/>
    </xf>
    <xf numFmtId="0" fontId="40" fillId="7" borderId="0" xfId="0" applyFont="1" applyFill="1" applyBorder="1" applyAlignment="1">
      <alignment wrapText="1"/>
    </xf>
    <xf numFmtId="0" fontId="40" fillId="7" borderId="0" xfId="0" applyFont="1" applyFill="1" applyBorder="1"/>
    <xf numFmtId="0" fontId="40" fillId="7" borderId="0" xfId="0" quotePrefix="1" applyFont="1" applyFill="1" applyBorder="1"/>
    <xf numFmtId="0" fontId="40" fillId="0" borderId="0" xfId="0" applyFont="1" applyFill="1" applyBorder="1" applyAlignment="1">
      <alignment wrapText="1"/>
    </xf>
    <xf numFmtId="166" fontId="40" fillId="7" borderId="0" xfId="8" applyFont="1" applyFill="1" applyBorder="1" applyAlignment="1">
      <alignment wrapText="1"/>
    </xf>
    <xf numFmtId="0" fontId="39" fillId="7" borderId="0" xfId="0" applyFont="1" applyFill="1" applyBorder="1"/>
    <xf numFmtId="166" fontId="40" fillId="7" borderId="0" xfId="8" applyFont="1" applyFill="1" applyBorder="1" applyAlignment="1"/>
    <xf numFmtId="0" fontId="41" fillId="7" borderId="0" xfId="0" applyFont="1" applyFill="1" applyBorder="1"/>
    <xf numFmtId="166" fontId="39" fillId="0" borderId="0" xfId="8" applyFont="1" applyFill="1" applyBorder="1"/>
    <xf numFmtId="172" fontId="39" fillId="0" borderId="0" xfId="8" applyNumberFormat="1" applyFont="1" applyFill="1" applyBorder="1"/>
    <xf numFmtId="174" fontId="39" fillId="0" borderId="0" xfId="8" applyNumberFormat="1" applyFont="1" applyFill="1" applyBorder="1"/>
    <xf numFmtId="10" fontId="39" fillId="0" borderId="0" xfId="0" applyNumberFormat="1" applyFont="1"/>
    <xf numFmtId="169" fontId="39" fillId="0" borderId="0" xfId="0" applyNumberFormat="1" applyFont="1"/>
    <xf numFmtId="0" fontId="39" fillId="7" borderId="2" xfId="0" applyFont="1" applyFill="1" applyBorder="1"/>
    <xf numFmtId="0" fontId="39" fillId="7" borderId="21" xfId="0" applyFont="1" applyFill="1" applyBorder="1"/>
    <xf numFmtId="178" fontId="39" fillId="0" borderId="0" xfId="0" applyNumberFormat="1" applyFont="1"/>
    <xf numFmtId="179" fontId="39" fillId="0" borderId="0" xfId="0" applyNumberFormat="1" applyFont="1"/>
    <xf numFmtId="180" fontId="40" fillId="7" borderId="1" xfId="7" applyNumberFormat="1" applyFont="1" applyFill="1" applyBorder="1" applyAlignment="1">
      <alignment wrapText="1"/>
    </xf>
    <xf numFmtId="0" fontId="43" fillId="7" borderId="1" xfId="0" applyFont="1" applyFill="1" applyBorder="1" applyAlignment="1">
      <alignment wrapText="1"/>
    </xf>
    <xf numFmtId="0" fontId="39" fillId="0" borderId="0" xfId="0" applyFont="1" applyFill="1"/>
    <xf numFmtId="0" fontId="39" fillId="0" borderId="0" xfId="0" applyFont="1" applyFill="1" applyBorder="1" applyAlignment="1">
      <alignment horizontal="justify"/>
    </xf>
    <xf numFmtId="168" fontId="39" fillId="9" borderId="12" xfId="0" applyNumberFormat="1" applyFont="1" applyFill="1" applyBorder="1" applyAlignment="1">
      <alignment horizontal="justify"/>
    </xf>
    <xf numFmtId="168" fontId="39" fillId="9" borderId="20" xfId="0" applyNumberFormat="1" applyFont="1" applyFill="1" applyBorder="1" applyAlignment="1">
      <alignment horizontal="justify"/>
    </xf>
    <xf numFmtId="0" fontId="39" fillId="9" borderId="20" xfId="0" applyFont="1" applyFill="1" applyBorder="1" applyAlignment="1">
      <alignment horizontal="justify"/>
    </xf>
    <xf numFmtId="0" fontId="39" fillId="7" borderId="2" xfId="0" applyFont="1" applyFill="1" applyBorder="1" applyAlignment="1">
      <alignment horizontal="justify"/>
    </xf>
    <xf numFmtId="0" fontId="39" fillId="7" borderId="8" xfId="0" applyFont="1" applyFill="1" applyBorder="1" applyAlignment="1">
      <alignment horizontal="justify"/>
    </xf>
    <xf numFmtId="0" fontId="39" fillId="7" borderId="19" xfId="0" applyFont="1" applyFill="1" applyBorder="1" applyAlignment="1">
      <alignment horizontal="justify"/>
    </xf>
    <xf numFmtId="0" fontId="39" fillId="7" borderId="1" xfId="0" applyFont="1" applyFill="1" applyBorder="1" applyAlignment="1">
      <alignment horizontal="justify"/>
    </xf>
    <xf numFmtId="9" fontId="39" fillId="9" borderId="10" xfId="0" applyNumberFormat="1" applyFont="1" applyFill="1" applyBorder="1"/>
    <xf numFmtId="0" fontId="39" fillId="7" borderId="5" xfId="0" applyFont="1" applyFill="1" applyBorder="1"/>
    <xf numFmtId="0" fontId="39" fillId="7" borderId="1" xfId="0" applyFont="1" applyFill="1" applyBorder="1"/>
    <xf numFmtId="0" fontId="39" fillId="0" borderId="0" xfId="0" applyFont="1" applyAlignment="1"/>
    <xf numFmtId="166" fontId="39" fillId="8" borderId="11" xfId="8" applyFont="1" applyFill="1" applyBorder="1" applyAlignment="1">
      <alignment horizontal="center"/>
    </xf>
    <xf numFmtId="174" fontId="39" fillId="8" borderId="2" xfId="8" applyNumberFormat="1" applyFont="1" applyFill="1" applyBorder="1" applyAlignment="1">
      <alignment horizontal="center"/>
    </xf>
    <xf numFmtId="176" fontId="39" fillId="7" borderId="12" xfId="8" applyNumberFormat="1" applyFont="1" applyFill="1" applyBorder="1" applyAlignment="1">
      <alignment horizontal="center"/>
    </xf>
    <xf numFmtId="173" fontId="39" fillId="8" borderId="2" xfId="9" applyNumberFormat="1" applyFont="1" applyFill="1" applyBorder="1" applyAlignment="1">
      <alignment horizontal="center"/>
    </xf>
    <xf numFmtId="0" fontId="39" fillId="7" borderId="11" xfId="0" applyFont="1" applyFill="1" applyBorder="1" applyAlignment="1">
      <alignment horizontal="right"/>
    </xf>
    <xf numFmtId="166" fontId="39" fillId="8" borderId="23" xfId="8" applyFont="1" applyFill="1" applyBorder="1" applyAlignment="1">
      <alignment horizontal="center"/>
    </xf>
    <xf numFmtId="174" fontId="39" fillId="8" borderId="21" xfId="8" applyNumberFormat="1" applyFont="1" applyFill="1" applyBorder="1" applyAlignment="1">
      <alignment horizontal="center"/>
    </xf>
    <xf numFmtId="176" fontId="39" fillId="7" borderId="22" xfId="8" applyNumberFormat="1" applyFont="1" applyFill="1" applyBorder="1" applyAlignment="1">
      <alignment horizontal="center"/>
    </xf>
    <xf numFmtId="173" fontId="39" fillId="8" borderId="21" xfId="9" applyNumberFormat="1" applyFont="1" applyFill="1" applyBorder="1" applyAlignment="1">
      <alignment horizontal="center"/>
    </xf>
    <xf numFmtId="0" fontId="39" fillId="7" borderId="23" xfId="0" applyFont="1" applyFill="1" applyBorder="1" applyAlignment="1">
      <alignment horizontal="right"/>
    </xf>
    <xf numFmtId="174" fontId="39" fillId="8" borderId="5" xfId="8" applyNumberFormat="1" applyFont="1" applyFill="1" applyBorder="1" applyAlignment="1">
      <alignment horizontal="center"/>
    </xf>
    <xf numFmtId="176" fontId="39" fillId="7" borderId="10" xfId="8" applyNumberFormat="1" applyFont="1" applyFill="1" applyBorder="1" applyAlignment="1">
      <alignment horizontal="center"/>
    </xf>
    <xf numFmtId="173" fontId="39" fillId="8" borderId="5" xfId="9" applyNumberFormat="1" applyFont="1" applyFill="1" applyBorder="1" applyAlignment="1">
      <alignment horizontal="center"/>
    </xf>
    <xf numFmtId="173" fontId="39" fillId="8" borderId="2" xfId="9" applyNumberFormat="1" applyFont="1" applyFill="1" applyBorder="1" applyAlignment="1"/>
    <xf numFmtId="0" fontId="39" fillId="7" borderId="21" xfId="0" applyFont="1" applyFill="1" applyBorder="1" applyAlignment="1">
      <alignment horizontal="center" wrapText="1"/>
    </xf>
    <xf numFmtId="0" fontId="39" fillId="7" borderId="1" xfId="0" applyFont="1" applyFill="1" applyBorder="1" applyAlignment="1">
      <alignment horizontal="center"/>
    </xf>
    <xf numFmtId="0" fontId="39" fillId="7" borderId="11" xfId="0" applyFont="1" applyFill="1" applyBorder="1" applyAlignment="1">
      <alignment wrapText="1"/>
    </xf>
    <xf numFmtId="0" fontId="39" fillId="7" borderId="2" xfId="0" applyFont="1" applyFill="1" applyBorder="1" applyAlignment="1">
      <alignment horizontal="center" wrapText="1"/>
    </xf>
    <xf numFmtId="0" fontId="39" fillId="7" borderId="2" xfId="0" applyFont="1" applyFill="1" applyBorder="1" applyAlignment="1">
      <alignment wrapText="1"/>
    </xf>
    <xf numFmtId="0" fontId="39" fillId="7" borderId="5" xfId="0" applyFont="1" applyFill="1" applyBorder="1" applyAlignment="1">
      <alignment horizontal="center"/>
    </xf>
    <xf numFmtId="0" fontId="39" fillId="7" borderId="9" xfId="0" applyFont="1" applyFill="1" applyBorder="1" applyAlignment="1">
      <alignment horizontal="center"/>
    </xf>
    <xf numFmtId="0" fontId="39" fillId="7" borderId="10" xfId="0" applyFont="1" applyFill="1" applyBorder="1" applyAlignment="1">
      <alignment horizontal="center"/>
    </xf>
    <xf numFmtId="0" fontId="39" fillId="7" borderId="18" xfId="0" applyFont="1" applyFill="1" applyBorder="1" applyAlignment="1">
      <alignment horizontal="center"/>
    </xf>
    <xf numFmtId="0" fontId="39" fillId="7" borderId="9" xfId="0" applyFont="1" applyFill="1" applyBorder="1" applyAlignment="1">
      <alignment horizontal="left"/>
    </xf>
    <xf numFmtId="0" fontId="39" fillId="7" borderId="9" xfId="0" applyFont="1" applyFill="1" applyBorder="1" applyAlignment="1">
      <alignment wrapText="1"/>
    </xf>
    <xf numFmtId="0" fontId="39" fillId="7" borderId="5" xfId="0" applyFont="1" applyFill="1" applyBorder="1" applyAlignment="1">
      <alignment wrapText="1"/>
    </xf>
    <xf numFmtId="0" fontId="45" fillId="0" borderId="0" xfId="0" applyFont="1" applyFill="1" applyBorder="1" applyAlignment="1">
      <alignment wrapText="1"/>
    </xf>
    <xf numFmtId="182" fontId="39" fillId="0" borderId="0" xfId="0" applyNumberFormat="1" applyFont="1"/>
    <xf numFmtId="183" fontId="39" fillId="0" borderId="0" xfId="0" applyNumberFormat="1" applyFont="1"/>
    <xf numFmtId="0" fontId="39" fillId="0" borderId="0" xfId="0" applyFont="1" applyAlignment="1">
      <alignment horizontal="left"/>
    </xf>
    <xf numFmtId="0" fontId="46" fillId="0" borderId="0" xfId="0" applyFont="1" applyFill="1" applyBorder="1" applyAlignment="1">
      <alignment vertical="center" wrapText="1"/>
    </xf>
    <xf numFmtId="0" fontId="39" fillId="0" borderId="0" xfId="0" applyFont="1" applyAlignment="1">
      <alignment horizontal="center"/>
    </xf>
    <xf numFmtId="10" fontId="39" fillId="0" borderId="0" xfId="7" applyNumberFormat="1" applyFont="1"/>
    <xf numFmtId="175" fontId="39" fillId="0" borderId="0" xfId="0" applyNumberFormat="1" applyFont="1"/>
    <xf numFmtId="169" fontId="39" fillId="0" borderId="0" xfId="7" applyNumberFormat="1" applyFont="1"/>
    <xf numFmtId="9" fontId="39" fillId="0" borderId="0" xfId="7" applyFont="1"/>
    <xf numFmtId="169" fontId="39" fillId="8" borderId="2" xfId="7" applyNumberFormat="1" applyFont="1" applyFill="1" applyBorder="1" applyAlignment="1"/>
    <xf numFmtId="174" fontId="39" fillId="8" borderId="2" xfId="9" applyNumberFormat="1" applyFont="1" applyFill="1" applyBorder="1" applyAlignment="1">
      <alignment horizontal="right"/>
    </xf>
    <xf numFmtId="0" fontId="39" fillId="11" borderId="1" xfId="0" applyFont="1" applyFill="1" applyBorder="1" applyAlignment="1">
      <alignment wrapText="1"/>
    </xf>
    <xf numFmtId="166" fontId="39" fillId="0" borderId="0" xfId="8" applyFont="1" applyFill="1" applyAlignment="1">
      <alignment horizontal="right"/>
    </xf>
    <xf numFmtId="167" fontId="39" fillId="0" borderId="0" xfId="0" applyNumberFormat="1" applyFont="1" applyFill="1" applyBorder="1" applyAlignment="1">
      <alignment horizontal="right"/>
    </xf>
    <xf numFmtId="172" fontId="39" fillId="0" borderId="0" xfId="8" applyNumberFormat="1" applyFont="1" applyFill="1" applyAlignment="1">
      <alignment horizontal="right"/>
    </xf>
    <xf numFmtId="9" fontId="39" fillId="0" borderId="0" xfId="7" applyFont="1" applyFill="1" applyAlignment="1">
      <alignment horizontal="right"/>
    </xf>
    <xf numFmtId="0" fontId="39" fillId="0" borderId="0" xfId="0" applyFont="1" applyFill="1" applyAlignment="1" applyProtection="1">
      <alignment horizontal="left"/>
    </xf>
    <xf numFmtId="0" fontId="36" fillId="0" borderId="0" xfId="0" applyFont="1" applyFill="1" applyAlignment="1">
      <alignment horizontal="left" wrapText="1"/>
    </xf>
    <xf numFmtId="166" fontId="39" fillId="8" borderId="2" xfId="8" applyFont="1" applyFill="1" applyBorder="1" applyAlignment="1">
      <alignment horizontal="right"/>
    </xf>
    <xf numFmtId="0" fontId="39" fillId="7" borderId="6" xfId="0" applyFont="1" applyFill="1" applyBorder="1" applyAlignment="1">
      <alignment horizontal="center"/>
    </xf>
    <xf numFmtId="0" fontId="39" fillId="7" borderId="8" xfId="0" applyFont="1" applyFill="1" applyBorder="1" applyAlignment="1">
      <alignment horizontal="center"/>
    </xf>
    <xf numFmtId="0" fontId="39" fillId="7" borderId="12" xfId="0" applyFont="1" applyFill="1" applyBorder="1" applyAlignment="1">
      <alignment wrapText="1"/>
    </xf>
    <xf numFmtId="0" fontId="39" fillId="7" borderId="20" xfId="0" applyFont="1" applyFill="1" applyBorder="1" applyAlignment="1">
      <alignment wrapText="1"/>
    </xf>
    <xf numFmtId="0" fontId="39" fillId="11" borderId="11" xfId="0" applyFont="1" applyFill="1" applyBorder="1" applyAlignment="1">
      <alignment wrapText="1"/>
    </xf>
    <xf numFmtId="0" fontId="39" fillId="7" borderId="18" xfId="0" applyFont="1" applyFill="1" applyBorder="1" applyAlignment="1">
      <alignment horizontal="center" wrapText="1"/>
    </xf>
    <xf numFmtId="0" fontId="39" fillId="7" borderId="18" xfId="0" applyFont="1" applyFill="1" applyBorder="1" applyAlignment="1">
      <alignment horizontal="left"/>
    </xf>
    <xf numFmtId="0" fontId="39" fillId="7" borderId="10" xfId="0" applyFont="1" applyFill="1" applyBorder="1" applyAlignment="1">
      <alignment wrapText="1"/>
    </xf>
    <xf numFmtId="0" fontId="39" fillId="7" borderId="18" xfId="0" applyFont="1" applyFill="1" applyBorder="1" applyAlignment="1">
      <alignment wrapText="1"/>
    </xf>
    <xf numFmtId="0" fontId="39" fillId="11" borderId="9" xfId="0" applyFont="1" applyFill="1" applyBorder="1" applyAlignment="1">
      <alignment wrapText="1"/>
    </xf>
    <xf numFmtId="0" fontId="45" fillId="0" borderId="5" xfId="0" applyFont="1" applyFill="1" applyBorder="1" applyAlignment="1">
      <alignment wrapText="1"/>
    </xf>
    <xf numFmtId="0" fontId="39" fillId="0" borderId="10" xfId="0" applyFont="1" applyFill="1" applyBorder="1"/>
    <xf numFmtId="0" fontId="39" fillId="0" borderId="18" xfId="0" applyFont="1" applyFill="1" applyBorder="1"/>
    <xf numFmtId="0" fontId="45" fillId="0" borderId="18" xfId="0" applyFont="1" applyFill="1" applyBorder="1" applyAlignment="1"/>
    <xf numFmtId="0" fontId="47" fillId="0" borderId="18" xfId="0" applyFont="1" applyFill="1" applyBorder="1" applyAlignment="1">
      <alignment wrapText="1"/>
    </xf>
    <xf numFmtId="0" fontId="45" fillId="0" borderId="9" xfId="0" applyFont="1" applyFill="1" applyBorder="1" applyAlignment="1">
      <alignment wrapText="1"/>
    </xf>
    <xf numFmtId="0" fontId="47" fillId="0" borderId="0" xfId="0" applyFont="1" applyFill="1" applyBorder="1" applyAlignment="1">
      <alignment wrapText="1"/>
    </xf>
    <xf numFmtId="9" fontId="39" fillId="0" borderId="0" xfId="7" applyFont="1" applyFill="1"/>
    <xf numFmtId="0" fontId="48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39" fillId="6" borderId="2" xfId="0" applyFont="1" applyFill="1" applyBorder="1" applyAlignment="1"/>
    <xf numFmtId="0" fontId="39" fillId="6" borderId="2" xfId="0" applyFont="1" applyFill="1" applyBorder="1" applyAlignment="1">
      <alignment horizontal="left"/>
    </xf>
    <xf numFmtId="174" fontId="39" fillId="6" borderId="2" xfId="8" applyNumberFormat="1" applyFont="1" applyFill="1" applyBorder="1"/>
    <xf numFmtId="174" fontId="39" fillId="6" borderId="2" xfId="7" applyNumberFormat="1" applyFont="1" applyFill="1" applyBorder="1"/>
    <xf numFmtId="172" fontId="39" fillId="6" borderId="2" xfId="8" applyNumberFormat="1" applyFont="1" applyFill="1" applyBorder="1"/>
    <xf numFmtId="2" fontId="39" fillId="6" borderId="6" xfId="0" applyNumberFormat="1" applyFont="1" applyFill="1" applyBorder="1"/>
    <xf numFmtId="2" fontId="39" fillId="6" borderId="19" xfId="0" applyNumberFormat="1" applyFont="1" applyFill="1" applyBorder="1"/>
    <xf numFmtId="2" fontId="39" fillId="6" borderId="8" xfId="0" applyNumberFormat="1" applyFont="1" applyFill="1" applyBorder="1"/>
    <xf numFmtId="9" fontId="39" fillId="6" borderId="2" xfId="7" applyNumberFormat="1" applyFont="1" applyFill="1" applyBorder="1"/>
    <xf numFmtId="171" fontId="15" fillId="2" borderId="32" xfId="0" applyNumberFormat="1" applyFont="1" applyFill="1" applyBorder="1" applyProtection="1"/>
    <xf numFmtId="176" fontId="39" fillId="6" borderId="22" xfId="8" applyNumberFormat="1" applyFont="1" applyFill="1" applyBorder="1" applyAlignment="1">
      <alignment horizontal="center"/>
    </xf>
    <xf numFmtId="176" fontId="39" fillId="6" borderId="12" xfId="8" applyNumberFormat="1" applyFont="1" applyFill="1" applyBorder="1" applyAlignment="1">
      <alignment horizontal="center"/>
    </xf>
    <xf numFmtId="172" fontId="39" fillId="6" borderId="21" xfId="8" applyNumberFormat="1" applyFont="1" applyFill="1" applyBorder="1" applyAlignment="1">
      <alignment horizontal="center"/>
    </xf>
    <xf numFmtId="166" fontId="39" fillId="6" borderId="23" xfId="8" applyNumberFormat="1" applyFont="1" applyFill="1" applyBorder="1" applyAlignment="1">
      <alignment horizontal="center"/>
    </xf>
    <xf numFmtId="166" fontId="39" fillId="6" borderId="0" xfId="8" applyNumberFormat="1" applyFont="1" applyFill="1" applyBorder="1" applyAlignment="1">
      <alignment horizontal="center"/>
    </xf>
    <xf numFmtId="166" fontId="39" fillId="6" borderId="22" xfId="8" applyNumberFormat="1" applyFont="1" applyFill="1" applyBorder="1" applyAlignment="1">
      <alignment horizontal="center"/>
    </xf>
    <xf numFmtId="172" fontId="39" fillId="6" borderId="2" xfId="8" applyNumberFormat="1" applyFont="1" applyFill="1" applyBorder="1" applyAlignment="1">
      <alignment horizontal="center"/>
    </xf>
    <xf numFmtId="166" fontId="39" fillId="6" borderId="11" xfId="8" applyNumberFormat="1" applyFont="1" applyFill="1" applyBorder="1" applyAlignment="1">
      <alignment horizontal="center"/>
    </xf>
    <xf numFmtId="166" fontId="39" fillId="6" borderId="20" xfId="8" applyNumberFormat="1" applyFont="1" applyFill="1" applyBorder="1" applyAlignment="1">
      <alignment horizontal="center"/>
    </xf>
    <xf numFmtId="166" fontId="39" fillId="6" borderId="12" xfId="8" applyNumberFormat="1" applyFont="1" applyFill="1" applyBorder="1" applyAlignment="1">
      <alignment horizontal="center"/>
    </xf>
    <xf numFmtId="181" fontId="39" fillId="6" borderId="21" xfId="8" applyNumberFormat="1" applyFont="1" applyFill="1" applyBorder="1" applyAlignment="1">
      <alignment horizontal="center"/>
    </xf>
    <xf numFmtId="181" fontId="39" fillId="6" borderId="2" xfId="8" applyNumberFormat="1" applyFont="1" applyFill="1" applyBorder="1" applyAlignment="1">
      <alignment horizontal="center"/>
    </xf>
    <xf numFmtId="169" fontId="39" fillId="6" borderId="21" xfId="7" applyNumberFormat="1" applyFont="1" applyFill="1" applyBorder="1" applyAlignment="1">
      <alignment horizontal="center"/>
    </xf>
    <xf numFmtId="169" fontId="39" fillId="6" borderId="2" xfId="7" applyNumberFormat="1" applyFont="1" applyFill="1" applyBorder="1" applyAlignment="1">
      <alignment horizontal="center"/>
    </xf>
    <xf numFmtId="169" fontId="44" fillId="6" borderId="5" xfId="7" applyNumberFormat="1" applyFont="1" applyFill="1" applyBorder="1" applyAlignment="1">
      <alignment horizontal="center"/>
    </xf>
    <xf numFmtId="1" fontId="15" fillId="0" borderId="1" xfId="0" applyNumberFormat="1" applyFont="1" applyBorder="1"/>
    <xf numFmtId="1" fontId="16" fillId="0" borderId="1" xfId="0" applyNumberFormat="1" applyFont="1" applyBorder="1"/>
    <xf numFmtId="49" fontId="49" fillId="0" borderId="0" xfId="2" applyNumberFormat="1" applyFont="1" applyFill="1" applyBorder="1" applyAlignment="1" applyProtection="1">
      <alignment horizontal="left"/>
    </xf>
    <xf numFmtId="173" fontId="15" fillId="4" borderId="7" xfId="0" applyNumberFormat="1" applyFont="1" applyFill="1" applyBorder="1" applyProtection="1">
      <protection locked="0"/>
    </xf>
    <xf numFmtId="3" fontId="15" fillId="0" borderId="1" xfId="0" applyNumberFormat="1" applyFont="1" applyFill="1" applyBorder="1" applyAlignment="1" applyProtection="1"/>
    <xf numFmtId="0" fontId="50" fillId="0" borderId="0" xfId="0" applyNumberFormat="1" applyFont="1"/>
    <xf numFmtId="0" fontId="50" fillId="0" borderId="0" xfId="0" applyNumberFormat="1" applyFont="1" applyAlignment="1">
      <alignment wrapText="1"/>
    </xf>
    <xf numFmtId="0" fontId="50" fillId="0" borderId="0" xfId="0" applyFont="1" applyAlignment="1">
      <alignment wrapText="1"/>
    </xf>
    <xf numFmtId="173" fontId="15" fillId="0" borderId="1" xfId="0" applyNumberFormat="1" applyFont="1" applyFill="1" applyBorder="1" applyProtection="1">
      <protection locked="0"/>
    </xf>
    <xf numFmtId="173" fontId="15" fillId="0" borderId="7" xfId="0" applyNumberFormat="1" applyFont="1" applyFill="1" applyBorder="1" applyProtection="1">
      <protection locked="0"/>
    </xf>
    <xf numFmtId="173" fontId="15" fillId="0" borderId="5" xfId="9" applyNumberFormat="1" applyFont="1" applyBorder="1"/>
    <xf numFmtId="173" fontId="15" fillId="0" borderId="1" xfId="0" applyNumberFormat="1" applyFont="1" applyBorder="1"/>
    <xf numFmtId="0" fontId="15" fillId="0" borderId="28" xfId="0" quotePrefix="1" applyFont="1" applyBorder="1" applyAlignment="1">
      <alignment wrapText="1"/>
    </xf>
    <xf numFmtId="0" fontId="38" fillId="8" borderId="0" xfId="0" applyFont="1" applyFill="1" applyBorder="1" applyAlignment="1">
      <alignment horizontal="center"/>
    </xf>
    <xf numFmtId="0" fontId="38" fillId="8" borderId="0" xfId="0" applyFont="1" applyFill="1" applyAlignment="1" applyProtection="1">
      <alignment horizontal="center"/>
      <protection locked="0"/>
    </xf>
    <xf numFmtId="0" fontId="35" fillId="8" borderId="0" xfId="0" applyFont="1" applyFill="1" applyAlignment="1" applyProtection="1">
      <alignment horizontal="center"/>
      <protection locked="0"/>
    </xf>
    <xf numFmtId="167" fontId="38" fillId="8" borderId="0" xfId="0" applyNumberFormat="1" applyFont="1" applyFill="1" applyAlignment="1">
      <alignment horizontal="center"/>
    </xf>
    <xf numFmtId="0" fontId="38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/>
    </xf>
    <xf numFmtId="173" fontId="39" fillId="0" borderId="0" xfId="0" applyNumberFormat="1" applyFont="1"/>
    <xf numFmtId="0" fontId="9" fillId="0" borderId="23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22" xfId="0" applyFont="1" applyBorder="1" applyAlignment="1" applyProtection="1">
      <alignment horizontal="center"/>
    </xf>
    <xf numFmtId="0" fontId="9" fillId="0" borderId="11" xfId="0" applyFont="1" applyBorder="1" applyAlignment="1" applyProtection="1">
      <alignment horizontal="center"/>
    </xf>
    <xf numFmtId="0" fontId="9" fillId="0" borderId="20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/>
    </xf>
    <xf numFmtId="167" fontId="9" fillId="0" borderId="0" xfId="0" applyNumberFormat="1" applyFont="1" applyBorder="1" applyAlignment="1" applyProtection="1">
      <alignment horizontal="center"/>
    </xf>
    <xf numFmtId="167" fontId="9" fillId="0" borderId="0" xfId="0" applyNumberFormat="1" applyFont="1" applyFill="1" applyBorder="1" applyAlignment="1" applyProtection="1">
      <alignment horizontal="center"/>
      <protection locked="0"/>
    </xf>
    <xf numFmtId="167" fontId="9" fillId="0" borderId="9" xfId="0" applyNumberFormat="1" applyFont="1" applyFill="1" applyBorder="1" applyAlignment="1" applyProtection="1">
      <alignment horizontal="center"/>
      <protection locked="0"/>
    </xf>
    <xf numFmtId="167" fontId="9" fillId="0" borderId="18" xfId="0" applyNumberFormat="1" applyFont="1" applyFill="1" applyBorder="1" applyAlignment="1" applyProtection="1">
      <alignment horizontal="center"/>
      <protection locked="0"/>
    </xf>
    <xf numFmtId="167" fontId="9" fillId="0" borderId="10" xfId="0" applyNumberFormat="1" applyFont="1" applyFill="1" applyBorder="1" applyAlignment="1" applyProtection="1">
      <alignment horizontal="center"/>
      <protection locked="0"/>
    </xf>
    <xf numFmtId="167" fontId="9" fillId="0" borderId="23" xfId="0" applyNumberFormat="1" applyFont="1" applyFill="1" applyBorder="1" applyAlignment="1" applyProtection="1">
      <alignment horizontal="center"/>
      <protection locked="0"/>
    </xf>
    <xf numFmtId="167" fontId="9" fillId="0" borderId="22" xfId="0" applyNumberFormat="1" applyFont="1" applyFill="1" applyBorder="1" applyAlignment="1" applyProtection="1">
      <alignment horizontal="center"/>
      <protection locked="0"/>
    </xf>
    <xf numFmtId="167" fontId="35" fillId="0" borderId="0" xfId="0" applyNumberFormat="1" applyFont="1" applyFill="1" applyBorder="1" applyAlignment="1" applyProtection="1">
      <alignment horizontal="center"/>
      <protection locked="0"/>
    </xf>
    <xf numFmtId="167" fontId="9" fillId="0" borderId="0" xfId="0" applyNumberFormat="1" applyFont="1" applyFill="1" applyBorder="1" applyAlignment="1">
      <alignment horizontal="center"/>
    </xf>
    <xf numFmtId="167" fontId="9" fillId="0" borderId="22" xfId="0" applyNumberFormat="1" applyFont="1" applyFill="1" applyBorder="1" applyAlignment="1">
      <alignment horizontal="center"/>
    </xf>
    <xf numFmtId="167" fontId="9" fillId="0" borderId="23" xfId="0" applyNumberFormat="1" applyFont="1" applyBorder="1" applyAlignment="1" applyProtection="1">
      <alignment horizontal="center"/>
    </xf>
    <xf numFmtId="167" fontId="9" fillId="0" borderId="22" xfId="0" applyNumberFormat="1" applyFont="1" applyBorder="1" applyAlignment="1" applyProtection="1">
      <alignment horizontal="center"/>
    </xf>
    <xf numFmtId="0" fontId="38" fillId="8" borderId="0" xfId="0" applyNumberFormat="1" applyFont="1" applyFill="1" applyAlignment="1" applyProtection="1">
      <alignment horizontal="center"/>
      <protection locked="0"/>
    </xf>
    <xf numFmtId="167" fontId="53" fillId="9" borderId="12" xfId="0" applyNumberFormat="1" applyFont="1" applyFill="1" applyBorder="1"/>
    <xf numFmtId="169" fontId="39" fillId="7" borderId="5" xfId="16" applyNumberFormat="1" applyFont="1" applyFill="1" applyBorder="1"/>
    <xf numFmtId="169" fontId="39" fillId="7" borderId="21" xfId="12" applyNumberFormat="1" applyFont="1" applyFill="1" applyBorder="1"/>
    <xf numFmtId="169" fontId="39" fillId="7" borderId="21" xfId="16" applyNumberFormat="1" applyFont="1" applyFill="1" applyBorder="1"/>
    <xf numFmtId="169" fontId="39" fillId="7" borderId="2" xfId="12" applyNumberFormat="1" applyFont="1" applyFill="1" applyBorder="1"/>
    <xf numFmtId="0" fontId="9" fillId="6" borderId="1" xfId="0" applyFont="1" applyFill="1" applyBorder="1" applyProtection="1"/>
    <xf numFmtId="0" fontId="15" fillId="0" borderId="0" xfId="0" applyFont="1" applyAlignment="1" applyProtection="1">
      <alignment horizontal="left"/>
    </xf>
    <xf numFmtId="0" fontId="15" fillId="2" borderId="0" xfId="10" quotePrefix="1" applyFont="1" applyFill="1" applyBorder="1" applyAlignment="1" applyProtection="1">
      <alignment horizontal="right"/>
      <protection locked="0"/>
    </xf>
    <xf numFmtId="0" fontId="16" fillId="0" borderId="0" xfId="10" quotePrefix="1" applyFont="1" applyFill="1" applyBorder="1" applyAlignment="1" applyProtection="1">
      <alignment horizontal="right"/>
    </xf>
    <xf numFmtId="49" fontId="15" fillId="0" borderId="0" xfId="0" applyNumberFormat="1" applyFont="1" applyFill="1" applyBorder="1" applyAlignment="1" applyProtection="1">
      <alignment horizontal="right"/>
    </xf>
    <xf numFmtId="49" fontId="27" fillId="0" borderId="0" xfId="0" applyNumberFormat="1" applyFont="1" applyFill="1" applyBorder="1" applyAlignment="1" applyProtection="1">
      <alignment horizontal="right"/>
    </xf>
    <xf numFmtId="0" fontId="15" fillId="0" borderId="0" xfId="0" applyFont="1" applyFill="1" applyBorder="1" applyAlignment="1" applyProtection="1"/>
    <xf numFmtId="0" fontId="0" fillId="12" borderId="0" xfId="0" applyFill="1"/>
    <xf numFmtId="0" fontId="0" fillId="13" borderId="0" xfId="0" applyFill="1"/>
    <xf numFmtId="168" fontId="15" fillId="6" borderId="2" xfId="0" applyNumberFormat="1" applyFont="1" applyFill="1" applyBorder="1" applyProtection="1">
      <protection locked="0"/>
    </xf>
    <xf numFmtId="0" fontId="0" fillId="12" borderId="0" xfId="0" applyFill="1" applyBorder="1"/>
    <xf numFmtId="171" fontId="15" fillId="6" borderId="2" xfId="0" applyNumberFormat="1" applyFont="1" applyFill="1" applyBorder="1" applyProtection="1">
      <protection locked="0"/>
    </xf>
    <xf numFmtId="171" fontId="15" fillId="6" borderId="5" xfId="0" applyNumberFormat="1" applyFont="1" applyFill="1" applyBorder="1" applyProtection="1">
      <protection locked="0"/>
    </xf>
    <xf numFmtId="171" fontId="15" fillId="6" borderId="33" xfId="0" applyNumberFormat="1" applyFont="1" applyFill="1" applyBorder="1" applyProtection="1">
      <protection locked="0"/>
    </xf>
    <xf numFmtId="0" fontId="3" fillId="5" borderId="0" xfId="0" applyFont="1" applyFill="1" applyBorder="1"/>
    <xf numFmtId="171" fontId="15" fillId="5" borderId="1" xfId="0" applyNumberFormat="1" applyFont="1" applyFill="1" applyBorder="1" applyProtection="1">
      <protection locked="0"/>
    </xf>
    <xf numFmtId="0" fontId="0" fillId="5" borderId="19" xfId="0" applyFill="1" applyBorder="1"/>
    <xf numFmtId="171" fontId="15" fillId="5" borderId="8" xfId="0" applyNumberFormat="1" applyFont="1" applyFill="1" applyBorder="1" applyProtection="1">
      <protection locked="0"/>
    </xf>
    <xf numFmtId="0" fontId="15" fillId="5" borderId="35" xfId="0" applyFont="1" applyFill="1" applyBorder="1" applyAlignment="1">
      <alignment horizontal="left" wrapText="1"/>
    </xf>
    <xf numFmtId="0" fontId="15" fillId="5" borderId="36" xfId="0" applyFont="1" applyFill="1" applyBorder="1" applyAlignment="1">
      <alignment horizontal="left" wrapText="1"/>
    </xf>
    <xf numFmtId="0" fontId="3" fillId="0" borderId="0" xfId="0" applyFont="1"/>
    <xf numFmtId="0" fontId="15" fillId="0" borderId="0" xfId="0" applyFont="1" applyAlignment="1">
      <alignment horizontal="left" wrapText="1"/>
    </xf>
    <xf numFmtId="0" fontId="15" fillId="0" borderId="34" xfId="0" applyFont="1" applyBorder="1" applyAlignment="1">
      <alignment horizontal="left" wrapText="1"/>
    </xf>
    <xf numFmtId="0" fontId="7" fillId="0" borderId="0" xfId="0" applyFont="1"/>
  </cellXfs>
  <cellStyles count="18">
    <cellStyle name="Erotin 2" xfId="1" xr:uid="{00000000-0005-0000-0000-000001000000}"/>
    <cellStyle name="Hyperlinkki" xfId="2" builtinId="8"/>
    <cellStyle name="Hyperlinkki 2" xfId="17" xr:uid="{2C96243A-CF85-421B-BAE5-500A4A46C3B2}"/>
    <cellStyle name="Normaali" xfId="0" builtinId="0"/>
    <cellStyle name="Normaali 2" xfId="3" xr:uid="{00000000-0005-0000-0000-000004000000}"/>
    <cellStyle name="Normaali 2 2" xfId="12" xr:uid="{C241215B-702F-4D38-881E-417672C28C4A}"/>
    <cellStyle name="Normaali 3" xfId="10" xr:uid="{00000000-0005-0000-0000-000005000000}"/>
    <cellStyle name="Normaali 3 2" xfId="13" xr:uid="{06CF920C-DBA0-4252-A1B8-D7B1A297C40D}"/>
    <cellStyle name="Normaali 4" xfId="11" xr:uid="{4E4FDD57-BA03-47C7-BE0C-558A4D306E55}"/>
    <cellStyle name="Normaali_LOMAKE1" xfId="4" xr:uid="{00000000-0005-0000-0000-000006000000}"/>
    <cellStyle name="Normaali_LOMAKE2" xfId="5" xr:uid="{00000000-0005-0000-0000-000007000000}"/>
    <cellStyle name="Normaali_LOMAKE3" xfId="6" xr:uid="{00000000-0005-0000-0000-000008000000}"/>
    <cellStyle name="Pilkku" xfId="8" builtinId="3"/>
    <cellStyle name="Pilkku 2" xfId="14" xr:uid="{E6A8B8EE-EE5F-4873-A2D6-0A8FE51775D5}"/>
    <cellStyle name="Prosenttia" xfId="7" builtinId="5"/>
    <cellStyle name="Prosenttia 2" xfId="16" xr:uid="{E3E8E5A4-C437-4C27-A914-FB791C1891B4}"/>
    <cellStyle name="Valuutta" xfId="9" builtinId="4"/>
    <cellStyle name="Valuutta 2" xfId="15" xr:uid="{6AE4D075-F8EF-470E-B20E-1ECD91F05011}"/>
  </cellStyles>
  <dxfs count="0"/>
  <tableStyles count="0" defaultTableStyle="TableStyleMedium9" defaultPivotStyle="PivotStyleLight16"/>
  <colors>
    <mruColors>
      <color rgb="FFCCFFCC"/>
      <color rgb="FF0000CC"/>
      <color rgb="FF003399"/>
      <color rgb="FF0033CC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Hlaamanen\Local%20Settings\Temporary%20Internet%20Files\OLK60\Tplom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TULOSLASKELMA"/>
      <sheetName val="VASTAAVAA"/>
      <sheetName val="VASTATTAVAA"/>
      <sheetName val="LISÄTIEDOT-SÄHKÖ"/>
      <sheetName val="LISÄTIEDOT-MAAKAASU"/>
      <sheetName val="TARKISTUS"/>
    </sheetNames>
    <sheetDataSet>
      <sheetData sheetId="0">
        <row r="33">
          <cell r="B33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W106"/>
  <sheetViews>
    <sheetView showGridLines="0" zoomScaleNormal="100" workbookViewId="0">
      <pane ySplit="5" topLeftCell="A6" activePane="bottomLeft" state="frozen"/>
      <selection activeCell="J12" sqref="J12"/>
      <selection pane="bottomLeft" activeCell="A10" sqref="A10"/>
    </sheetView>
  </sheetViews>
  <sheetFormatPr defaultColWidth="9.140625" defaultRowHeight="15" customHeight="1" x14ac:dyDescent="0.2"/>
  <cols>
    <col min="1" max="1" width="5.85546875" style="193" customWidth="1"/>
    <col min="2" max="2" width="5.85546875" style="195" customWidth="1"/>
    <col min="3" max="3" width="4.7109375" style="195" customWidth="1"/>
    <col min="4" max="4" width="5.5703125" style="196" customWidth="1"/>
    <col min="5" max="5" width="78.28515625" style="196" customWidth="1"/>
    <col min="6" max="6" width="18.140625" style="160" customWidth="1"/>
    <col min="7" max="9" width="18" style="160" customWidth="1"/>
    <col min="10" max="10" width="78.28515625" style="160" customWidth="1"/>
    <col min="11" max="20" width="9.140625" style="160"/>
    <col min="21" max="16384" width="9.140625" style="162"/>
  </cols>
  <sheetData>
    <row r="1" spans="1:257" s="270" customFormat="1" ht="15" customHeight="1" x14ac:dyDescent="0.25">
      <c r="A1" s="267" t="s">
        <v>222</v>
      </c>
      <c r="B1" s="268"/>
      <c r="C1" s="268"/>
      <c r="D1" s="266"/>
      <c r="E1" s="266"/>
      <c r="F1" s="269" t="s">
        <v>219</v>
      </c>
    </row>
    <row r="2" spans="1:257" s="273" customFormat="1" ht="15" customHeight="1" x14ac:dyDescent="0.2">
      <c r="A2" s="286" t="s">
        <v>223</v>
      </c>
      <c r="B2" s="271"/>
      <c r="C2" s="272"/>
      <c r="D2" s="272"/>
      <c r="E2" s="272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  <c r="IO2" s="270"/>
      <c r="IP2" s="270"/>
      <c r="IQ2" s="270"/>
      <c r="IR2" s="270"/>
      <c r="IS2" s="270"/>
      <c r="IT2" s="270"/>
      <c r="IU2" s="270"/>
      <c r="IV2" s="270"/>
      <c r="IW2" s="270"/>
    </row>
    <row r="3" spans="1:257" s="270" customFormat="1" ht="15" customHeight="1" x14ac:dyDescent="0.2">
      <c r="A3" s="274"/>
      <c r="B3" s="275"/>
      <c r="C3" s="276"/>
      <c r="D3" s="266"/>
      <c r="E3" s="266"/>
    </row>
    <row r="4" spans="1:257" s="270" customFormat="1" ht="15" customHeight="1" x14ac:dyDescent="0.2">
      <c r="A4" s="277"/>
      <c r="B4" s="278"/>
      <c r="D4" s="266"/>
      <c r="E4" s="266"/>
      <c r="F4" s="279"/>
    </row>
    <row r="5" spans="1:257" s="284" customFormat="1" ht="15" customHeight="1" x14ac:dyDescent="0.2">
      <c r="A5" s="267" t="s">
        <v>42</v>
      </c>
      <c r="B5" s="280"/>
      <c r="C5" s="280"/>
      <c r="D5" s="281"/>
      <c r="E5" s="281"/>
      <c r="F5" s="282">
        <v>2020</v>
      </c>
      <c r="G5" s="283">
        <v>2021</v>
      </c>
      <c r="H5" s="283">
        <v>2022</v>
      </c>
      <c r="I5" s="283">
        <v>2023</v>
      </c>
      <c r="J5" s="283" t="s">
        <v>167</v>
      </c>
    </row>
    <row r="6" spans="1:257" s="160" customFormat="1" ht="15" customHeight="1" x14ac:dyDescent="0.25">
      <c r="A6" s="166"/>
      <c r="B6" s="37"/>
      <c r="C6" s="126"/>
      <c r="D6" s="115"/>
      <c r="E6" s="115"/>
      <c r="F6" s="100"/>
      <c r="G6" s="99"/>
      <c r="H6" s="99"/>
      <c r="I6" s="99"/>
      <c r="J6" s="99"/>
      <c r="K6" s="99"/>
    </row>
    <row r="7" spans="1:257" s="165" customFormat="1" ht="15" customHeight="1" x14ac:dyDescent="0.25">
      <c r="A7" s="166"/>
      <c r="B7" s="37"/>
      <c r="C7" s="126"/>
      <c r="D7" s="115"/>
      <c r="E7" s="115"/>
      <c r="F7" s="100"/>
      <c r="G7" s="99"/>
      <c r="H7" s="99"/>
      <c r="I7" s="99"/>
      <c r="J7" s="99"/>
      <c r="K7" s="99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BY7" s="160"/>
      <c r="BZ7" s="160"/>
      <c r="CA7" s="160"/>
      <c r="CB7" s="160"/>
      <c r="CC7" s="160"/>
      <c r="CD7" s="160"/>
      <c r="CE7" s="160"/>
      <c r="CF7" s="160"/>
      <c r="CG7" s="160"/>
      <c r="CH7" s="160"/>
      <c r="CI7" s="160"/>
      <c r="CJ7" s="160"/>
      <c r="CK7" s="160"/>
      <c r="CL7" s="160"/>
      <c r="CM7" s="160"/>
      <c r="CN7" s="160"/>
      <c r="CO7" s="160"/>
      <c r="CP7" s="160"/>
      <c r="CQ7" s="160"/>
      <c r="CR7" s="160"/>
      <c r="CS7" s="160"/>
      <c r="CT7" s="160"/>
      <c r="CU7" s="160"/>
      <c r="CV7" s="160"/>
      <c r="CW7" s="160"/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60"/>
      <c r="DN7" s="160"/>
      <c r="DO7" s="160"/>
      <c r="DP7" s="160"/>
      <c r="DQ7" s="160"/>
      <c r="DR7" s="160"/>
      <c r="DS7" s="160"/>
      <c r="DT7" s="160"/>
      <c r="DU7" s="160"/>
      <c r="DV7" s="160"/>
      <c r="DW7" s="160"/>
      <c r="DX7" s="160"/>
      <c r="DY7" s="160"/>
      <c r="DZ7" s="160"/>
      <c r="EA7" s="160"/>
      <c r="EB7" s="160"/>
      <c r="EC7" s="160"/>
      <c r="ED7" s="160"/>
      <c r="EE7" s="160"/>
      <c r="EF7" s="160"/>
      <c r="EG7" s="160"/>
      <c r="EH7" s="160"/>
      <c r="EI7" s="160"/>
      <c r="EJ7" s="160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</row>
    <row r="8" spans="1:257" s="165" customFormat="1" ht="15" customHeight="1" x14ac:dyDescent="0.25">
      <c r="A8" s="167" t="s">
        <v>47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7"/>
      <c r="M8" s="168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60"/>
      <c r="AU8" s="160"/>
      <c r="AV8" s="160"/>
      <c r="AW8" s="160"/>
      <c r="AX8" s="160"/>
      <c r="AY8" s="160"/>
      <c r="AZ8" s="160"/>
      <c r="BA8" s="160"/>
      <c r="BB8" s="160"/>
      <c r="BC8" s="160"/>
      <c r="BD8" s="160"/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160"/>
      <c r="CO8" s="160"/>
      <c r="CP8" s="160"/>
      <c r="CQ8" s="160"/>
      <c r="CR8" s="160"/>
      <c r="CS8" s="160"/>
      <c r="CT8" s="160"/>
      <c r="CU8" s="160"/>
      <c r="CV8" s="160"/>
      <c r="CW8" s="160"/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60"/>
      <c r="DN8" s="160"/>
      <c r="DO8" s="160"/>
      <c r="DP8" s="160"/>
      <c r="DQ8" s="160"/>
      <c r="DR8" s="160"/>
      <c r="DS8" s="160"/>
      <c r="DT8" s="160"/>
      <c r="DU8" s="160"/>
      <c r="DV8" s="160"/>
      <c r="DW8" s="160"/>
      <c r="DX8" s="160"/>
      <c r="DY8" s="160"/>
      <c r="DZ8" s="160"/>
      <c r="EA8" s="160"/>
      <c r="EB8" s="160"/>
      <c r="EC8" s="160"/>
      <c r="ED8" s="160"/>
      <c r="EE8" s="160"/>
      <c r="EF8" s="160"/>
      <c r="EG8" s="160"/>
      <c r="EH8" s="160"/>
      <c r="EI8" s="160"/>
      <c r="EJ8" s="160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</row>
    <row r="9" spans="1:257" s="165" customFormat="1" ht="15" customHeight="1" x14ac:dyDescent="0.25">
      <c r="A9" s="167"/>
      <c r="B9" s="66"/>
      <c r="C9" s="66"/>
      <c r="D9" s="66"/>
      <c r="E9" s="66"/>
      <c r="F9" s="66"/>
      <c r="G9" s="66"/>
      <c r="H9" s="66"/>
      <c r="I9" s="66"/>
      <c r="J9" s="66"/>
      <c r="K9" s="66"/>
      <c r="L9" s="7"/>
      <c r="M9" s="168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0"/>
      <c r="CE9" s="160"/>
      <c r="CF9" s="160"/>
      <c r="CG9" s="160"/>
      <c r="CH9" s="160"/>
      <c r="CI9" s="160"/>
      <c r="CJ9" s="160"/>
      <c r="CK9" s="160"/>
      <c r="CL9" s="160"/>
      <c r="CM9" s="160"/>
      <c r="CN9" s="160"/>
      <c r="CO9" s="160"/>
      <c r="CP9" s="160"/>
      <c r="CQ9" s="160"/>
      <c r="CR9" s="160"/>
      <c r="CS9" s="160"/>
      <c r="CT9" s="160"/>
      <c r="CU9" s="160"/>
      <c r="CV9" s="160"/>
      <c r="CW9" s="160"/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60"/>
      <c r="DN9" s="160"/>
      <c r="DO9" s="160"/>
      <c r="DP9" s="160"/>
      <c r="DQ9" s="160"/>
      <c r="DR9" s="160"/>
      <c r="DS9" s="160"/>
      <c r="DT9" s="160"/>
      <c r="DU9" s="160"/>
      <c r="DV9" s="160"/>
      <c r="DW9" s="160"/>
      <c r="DX9" s="160"/>
      <c r="DY9" s="160"/>
      <c r="DZ9" s="160"/>
      <c r="EA9" s="160"/>
      <c r="EB9" s="160"/>
      <c r="EC9" s="160"/>
      <c r="ED9" s="160"/>
      <c r="EE9" s="160"/>
      <c r="EF9" s="160"/>
      <c r="EG9" s="160"/>
      <c r="EH9" s="160"/>
      <c r="EI9" s="160"/>
      <c r="EJ9" s="160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</row>
    <row r="10" spans="1:257" s="165" customFormat="1" ht="15" customHeight="1" x14ac:dyDescent="0.3">
      <c r="A10" s="160"/>
      <c r="B10" s="160"/>
      <c r="C10" s="66"/>
      <c r="D10" s="127"/>
      <c r="E10" s="466"/>
      <c r="F10" s="116"/>
      <c r="G10" s="116"/>
      <c r="H10" s="116"/>
      <c r="I10" s="116"/>
      <c r="J10" s="66"/>
      <c r="K10" s="66"/>
      <c r="L10" s="7"/>
      <c r="M10" s="168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  <c r="AW10" s="160"/>
      <c r="AX10" s="160"/>
      <c r="AY10" s="160"/>
      <c r="AZ10" s="160"/>
      <c r="BA10" s="160"/>
      <c r="BB10" s="160"/>
      <c r="BC10" s="160"/>
      <c r="BD10" s="160"/>
      <c r="BE10" s="160"/>
      <c r="BF10" s="160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  <c r="CL10" s="160"/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0"/>
      <c r="DY10" s="160"/>
      <c r="DZ10" s="160"/>
      <c r="EA10" s="160"/>
      <c r="EB10" s="160"/>
      <c r="EC10" s="160"/>
      <c r="ED10" s="160"/>
      <c r="EE10" s="160"/>
      <c r="EF10" s="160"/>
      <c r="EG10" s="160"/>
      <c r="EH10" s="160"/>
      <c r="EI10" s="160"/>
      <c r="EJ10" s="160"/>
      <c r="EK10" s="160"/>
      <c r="EL10" s="160"/>
      <c r="EM10" s="160"/>
      <c r="EN10" s="160"/>
      <c r="EO10" s="160"/>
      <c r="EP10" s="160"/>
      <c r="EQ10" s="160"/>
      <c r="ER10" s="160"/>
      <c r="ES10" s="160"/>
      <c r="ET10" s="160"/>
      <c r="EU10" s="160"/>
      <c r="EV10" s="160"/>
      <c r="EW10" s="160"/>
      <c r="EX10" s="160"/>
      <c r="EY10" s="160"/>
      <c r="EZ10" s="160"/>
      <c r="FA10" s="160"/>
      <c r="FB10" s="160"/>
      <c r="FC10" s="160"/>
      <c r="FD10" s="160"/>
      <c r="FE10" s="160"/>
      <c r="FF10" s="160"/>
      <c r="FG10" s="160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60"/>
      <c r="FW10" s="160"/>
      <c r="FX10" s="160"/>
      <c r="FY10" s="160"/>
      <c r="FZ10" s="160"/>
      <c r="GA10" s="160"/>
      <c r="GB10" s="160"/>
      <c r="GC10" s="160"/>
      <c r="GD10" s="160"/>
      <c r="GE10" s="160"/>
      <c r="GF10" s="160"/>
      <c r="GG10" s="160"/>
      <c r="GH10" s="160"/>
      <c r="GI10" s="160"/>
      <c r="GJ10" s="160"/>
      <c r="GK10" s="160"/>
      <c r="GL10" s="160"/>
      <c r="GM10" s="160"/>
      <c r="GN10" s="160"/>
      <c r="GO10" s="160"/>
      <c r="GP10" s="160"/>
      <c r="GQ10" s="160"/>
      <c r="GR10" s="160"/>
      <c r="GS10" s="160"/>
      <c r="GT10" s="160"/>
      <c r="GU10" s="160"/>
      <c r="GV10" s="160"/>
      <c r="GW10" s="160"/>
      <c r="GX10" s="160"/>
      <c r="GY10" s="160"/>
      <c r="GZ10" s="160"/>
      <c r="HA10" s="160"/>
      <c r="HB10" s="160"/>
      <c r="HC10" s="160"/>
      <c r="HD10" s="160"/>
      <c r="HE10" s="160"/>
      <c r="HF10" s="160"/>
      <c r="HG10" s="160"/>
      <c r="HH10" s="160"/>
      <c r="HI10" s="160"/>
      <c r="HJ10" s="160"/>
      <c r="HK10" s="160"/>
      <c r="HL10" s="160"/>
      <c r="HM10" s="160"/>
      <c r="HN10" s="160"/>
      <c r="HO10" s="160"/>
      <c r="HP10" s="160"/>
      <c r="HQ10" s="160"/>
      <c r="HR10" s="160"/>
      <c r="HS10" s="160"/>
      <c r="HT10" s="160"/>
      <c r="HU10" s="160"/>
      <c r="HV10" s="160"/>
      <c r="HW10" s="160"/>
      <c r="HX10" s="160"/>
      <c r="HY10" s="160"/>
      <c r="HZ10" s="160"/>
      <c r="IA10" s="160"/>
      <c r="IB10" s="160"/>
      <c r="IC10" s="160"/>
      <c r="ID10" s="160"/>
      <c r="IE10" s="160"/>
      <c r="IF10" s="160"/>
      <c r="IG10" s="160"/>
      <c r="IH10" s="160"/>
      <c r="II10" s="160"/>
      <c r="IJ10" s="160"/>
      <c r="IK10" s="160"/>
      <c r="IL10" s="160"/>
      <c r="IM10" s="160"/>
      <c r="IN10" s="160"/>
      <c r="IO10" s="160"/>
      <c r="IP10" s="160"/>
      <c r="IQ10" s="160"/>
      <c r="IR10" s="160"/>
      <c r="IS10" s="160"/>
      <c r="IT10" s="160"/>
      <c r="IU10" s="160"/>
      <c r="IV10" s="160"/>
      <c r="IW10" s="160"/>
    </row>
    <row r="11" spans="1:257" s="165" customFormat="1" ht="15" customHeight="1" x14ac:dyDescent="0.25">
      <c r="A11" s="167"/>
      <c r="B11" s="66"/>
      <c r="C11" s="66"/>
      <c r="D11" s="66"/>
      <c r="E11" s="66"/>
      <c r="F11" s="75"/>
      <c r="G11" s="75"/>
      <c r="H11" s="75"/>
      <c r="I11" s="75"/>
      <c r="J11" s="66"/>
      <c r="K11" s="66"/>
      <c r="L11" s="7"/>
      <c r="M11" s="168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  <c r="CO11" s="160"/>
      <c r="CP11" s="160"/>
      <c r="CQ11" s="160"/>
      <c r="CR11" s="160"/>
      <c r="CS11" s="160"/>
      <c r="CT11" s="160"/>
      <c r="CU11" s="160"/>
      <c r="CV11" s="160"/>
      <c r="CW11" s="160"/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60"/>
      <c r="DN11" s="160"/>
      <c r="DO11" s="160"/>
      <c r="DP11" s="160"/>
      <c r="DQ11" s="160"/>
      <c r="DR11" s="160"/>
      <c r="DS11" s="160"/>
      <c r="DT11" s="160"/>
      <c r="DU11" s="160"/>
      <c r="DV11" s="160"/>
      <c r="DW11" s="160"/>
      <c r="DX11" s="160"/>
      <c r="DY11" s="160"/>
      <c r="DZ11" s="160"/>
      <c r="EA11" s="160"/>
      <c r="EB11" s="160"/>
      <c r="EC11" s="160"/>
      <c r="ED11" s="160"/>
      <c r="EE11" s="160"/>
      <c r="EF11" s="160"/>
      <c r="EG11" s="160"/>
      <c r="EH11" s="160"/>
      <c r="EI11" s="160"/>
      <c r="EJ11" s="160"/>
      <c r="EK11" s="160"/>
      <c r="EL11" s="160"/>
      <c r="EM11" s="160"/>
      <c r="EN11" s="160"/>
      <c r="EO11" s="160"/>
      <c r="EP11" s="160"/>
      <c r="EQ11" s="160"/>
      <c r="ER11" s="160"/>
      <c r="ES11" s="160"/>
      <c r="ET11" s="160"/>
      <c r="EU11" s="160"/>
      <c r="EV11" s="160"/>
      <c r="EW11" s="160"/>
      <c r="EX11" s="160"/>
      <c r="EY11" s="160"/>
      <c r="EZ11" s="160"/>
      <c r="FA11" s="160"/>
      <c r="FB11" s="160"/>
      <c r="FC11" s="160"/>
      <c r="FD11" s="160"/>
      <c r="FE11" s="160"/>
      <c r="FF11" s="160"/>
      <c r="FG11" s="160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60"/>
      <c r="FW11" s="160"/>
      <c r="FX11" s="160"/>
      <c r="FY11" s="160"/>
      <c r="FZ11" s="160"/>
      <c r="GA11" s="160"/>
      <c r="GB11" s="160"/>
      <c r="GC11" s="160"/>
      <c r="GD11" s="160"/>
      <c r="GE11" s="160"/>
      <c r="GF11" s="160"/>
      <c r="GG11" s="160"/>
      <c r="GH11" s="160"/>
      <c r="GI11" s="160"/>
      <c r="GJ11" s="160"/>
      <c r="GK11" s="160"/>
      <c r="GL11" s="160"/>
      <c r="GM11" s="160"/>
      <c r="GN11" s="160"/>
      <c r="GO11" s="160"/>
      <c r="GP11" s="160"/>
      <c r="GQ11" s="160"/>
      <c r="GR11" s="160"/>
      <c r="GS11" s="160"/>
      <c r="GT11" s="160"/>
      <c r="GU11" s="160"/>
      <c r="GV11" s="160"/>
      <c r="GW11" s="160"/>
      <c r="GX11" s="160"/>
      <c r="GY11" s="160"/>
      <c r="GZ11" s="160"/>
      <c r="HA11" s="160"/>
      <c r="HB11" s="160"/>
      <c r="HC11" s="160"/>
      <c r="HD11" s="160"/>
      <c r="HE11" s="160"/>
      <c r="HF11" s="160"/>
      <c r="HG11" s="160"/>
      <c r="HH11" s="160"/>
      <c r="HI11" s="160"/>
      <c r="HJ11" s="160"/>
      <c r="HK11" s="160"/>
      <c r="HL11" s="160"/>
      <c r="HM11" s="160"/>
      <c r="HN11" s="160"/>
      <c r="HO11" s="160"/>
      <c r="HP11" s="160"/>
      <c r="HQ11" s="160"/>
      <c r="HR11" s="160"/>
      <c r="HS11" s="160"/>
      <c r="HT11" s="160"/>
      <c r="HU11" s="160"/>
      <c r="HV11" s="160"/>
      <c r="HW11" s="160"/>
      <c r="HX11" s="160"/>
      <c r="HY11" s="160"/>
      <c r="HZ11" s="160"/>
      <c r="IA11" s="160"/>
      <c r="IB11" s="160"/>
      <c r="IC11" s="160"/>
      <c r="ID11" s="160"/>
      <c r="IE11" s="160"/>
      <c r="IF11" s="160"/>
      <c r="IG11" s="160"/>
      <c r="IH11" s="160"/>
      <c r="II11" s="160"/>
      <c r="IJ11" s="160"/>
      <c r="IK11" s="160"/>
      <c r="IL11" s="160"/>
      <c r="IM11" s="160"/>
      <c r="IN11" s="160"/>
      <c r="IO11" s="160"/>
      <c r="IP11" s="160"/>
      <c r="IQ11" s="160"/>
      <c r="IR11" s="160"/>
      <c r="IS11" s="160"/>
      <c r="IT11" s="160"/>
      <c r="IU11" s="160"/>
      <c r="IV11" s="160"/>
      <c r="IW11" s="160"/>
    </row>
    <row r="12" spans="1:257" s="165" customFormat="1" ht="15" customHeight="1" x14ac:dyDescent="0.25">
      <c r="A12" s="169"/>
      <c r="B12" s="66"/>
      <c r="C12" s="66"/>
      <c r="D12" s="66"/>
      <c r="E12" s="66"/>
      <c r="F12" s="101" t="s">
        <v>149</v>
      </c>
      <c r="G12" s="101" t="s">
        <v>149</v>
      </c>
      <c r="H12" s="101" t="s">
        <v>149</v>
      </c>
      <c r="I12" s="101" t="s">
        <v>149</v>
      </c>
      <c r="J12" s="66"/>
      <c r="K12" s="66"/>
      <c r="L12" s="7"/>
      <c r="M12" s="168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0"/>
      <c r="GJ12" s="160"/>
      <c r="GK12" s="160"/>
      <c r="GL12" s="160"/>
      <c r="GM12" s="160"/>
      <c r="GN12" s="160"/>
      <c r="GO12" s="160"/>
      <c r="GP12" s="160"/>
      <c r="GQ12" s="160"/>
      <c r="GR12" s="160"/>
      <c r="GS12" s="160"/>
      <c r="GT12" s="160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  <c r="HX12" s="160"/>
      <c r="HY12" s="160"/>
      <c r="HZ12" s="160"/>
      <c r="IA12" s="160"/>
      <c r="IB12" s="160"/>
      <c r="IC12" s="160"/>
      <c r="ID12" s="160"/>
      <c r="IE12" s="160"/>
      <c r="IF12" s="160"/>
      <c r="IG12" s="160"/>
      <c r="IH12" s="160"/>
      <c r="II12" s="160"/>
      <c r="IJ12" s="160"/>
      <c r="IK12" s="160"/>
      <c r="IL12" s="160"/>
      <c r="IM12" s="160"/>
      <c r="IN12" s="160"/>
      <c r="IO12" s="160"/>
      <c r="IP12" s="160"/>
      <c r="IQ12" s="160"/>
      <c r="IR12" s="160"/>
      <c r="IS12" s="160"/>
      <c r="IT12" s="160"/>
      <c r="IU12" s="160"/>
      <c r="IV12" s="160"/>
      <c r="IW12" s="160"/>
    </row>
    <row r="13" spans="1:257" ht="15" customHeight="1" x14ac:dyDescent="0.25">
      <c r="A13" s="166" t="s">
        <v>16</v>
      </c>
      <c r="B13" s="37" t="s">
        <v>1</v>
      </c>
      <c r="C13" s="87"/>
      <c r="D13" s="67"/>
      <c r="E13" s="67"/>
      <c r="F13" s="128"/>
      <c r="G13" s="128"/>
      <c r="H13" s="128"/>
      <c r="I13" s="128"/>
      <c r="J13" s="170"/>
      <c r="K13" s="99"/>
    </row>
    <row r="14" spans="1:257" ht="15" customHeight="1" x14ac:dyDescent="0.25">
      <c r="A14" s="171" t="s">
        <v>168</v>
      </c>
      <c r="B14" s="133" t="s">
        <v>169</v>
      </c>
      <c r="C14" s="87"/>
      <c r="D14" s="67"/>
      <c r="E14" s="67"/>
      <c r="F14" s="130"/>
      <c r="G14" s="130"/>
      <c r="H14" s="130"/>
      <c r="I14" s="130"/>
      <c r="J14" s="170"/>
      <c r="K14" s="99"/>
    </row>
    <row r="15" spans="1:257" ht="15" customHeight="1" x14ac:dyDescent="0.25">
      <c r="A15" s="166" t="s">
        <v>16</v>
      </c>
      <c r="B15" s="133" t="s">
        <v>170</v>
      </c>
      <c r="C15" s="87"/>
      <c r="D15" s="67"/>
      <c r="E15" s="67"/>
      <c r="F15" s="130"/>
      <c r="G15" s="130"/>
      <c r="H15" s="130"/>
      <c r="I15" s="130"/>
      <c r="J15" s="170"/>
      <c r="K15" s="99"/>
    </row>
    <row r="16" spans="1:257" ht="15" customHeight="1" x14ac:dyDescent="0.25">
      <c r="A16" s="172" t="s">
        <v>151</v>
      </c>
      <c r="B16" s="129" t="s">
        <v>171</v>
      </c>
      <c r="C16" s="87"/>
      <c r="D16" s="67"/>
      <c r="E16" s="67"/>
      <c r="F16" s="173">
        <f>SUM(F17)</f>
        <v>0</v>
      </c>
      <c r="G16" s="173">
        <f>SUM(G17)</f>
        <v>0</v>
      </c>
      <c r="H16" s="173">
        <f>SUM(H17)</f>
        <v>0</v>
      </c>
      <c r="I16" s="173">
        <f>SUM(I17)</f>
        <v>0</v>
      </c>
      <c r="J16" s="170"/>
      <c r="K16" s="99"/>
    </row>
    <row r="17" spans="1:20" ht="15" customHeight="1" x14ac:dyDescent="0.25">
      <c r="A17" s="174"/>
      <c r="B17" s="175" t="s">
        <v>172</v>
      </c>
      <c r="C17" s="87" t="s">
        <v>173</v>
      </c>
      <c r="D17" s="67"/>
      <c r="E17" s="67"/>
      <c r="F17" s="130"/>
      <c r="G17" s="130"/>
      <c r="H17" s="130"/>
      <c r="I17" s="130"/>
      <c r="J17" s="170"/>
      <c r="K17" s="99"/>
    </row>
    <row r="18" spans="1:20" s="160" customFormat="1" ht="15" customHeight="1" x14ac:dyDescent="0.25">
      <c r="A18" s="166"/>
      <c r="B18" s="176"/>
      <c r="D18" s="71" t="s">
        <v>174</v>
      </c>
      <c r="E18" s="67"/>
      <c r="F18" s="131"/>
      <c r="G18" s="131"/>
      <c r="H18" s="131"/>
      <c r="I18" s="131"/>
      <c r="J18" s="170"/>
      <c r="K18" s="99"/>
    </row>
    <row r="19" spans="1:20" s="160" customFormat="1" ht="15" customHeight="1" x14ac:dyDescent="0.25">
      <c r="A19" s="166"/>
      <c r="B19" s="176"/>
      <c r="D19" s="71" t="s">
        <v>175</v>
      </c>
      <c r="E19" s="67"/>
      <c r="F19" s="131"/>
      <c r="G19" s="131"/>
      <c r="H19" s="131"/>
      <c r="I19" s="131"/>
      <c r="J19" s="170"/>
      <c r="K19" s="99"/>
    </row>
    <row r="20" spans="1:20" s="160" customFormat="1" ht="15" customHeight="1" x14ac:dyDescent="0.25">
      <c r="A20" s="166"/>
      <c r="B20" s="176"/>
      <c r="D20" s="71" t="s">
        <v>284</v>
      </c>
      <c r="E20" s="67"/>
      <c r="F20" s="131"/>
      <c r="G20" s="131"/>
      <c r="H20" s="131"/>
      <c r="I20" s="131"/>
      <c r="J20" s="170"/>
      <c r="K20" s="99"/>
    </row>
    <row r="21" spans="1:20" s="160" customFormat="1" ht="15" customHeight="1" x14ac:dyDescent="0.25">
      <c r="A21" s="177" t="s">
        <v>151</v>
      </c>
      <c r="B21" s="178" t="s">
        <v>176</v>
      </c>
      <c r="C21" s="71"/>
      <c r="D21" s="67"/>
      <c r="E21" s="67"/>
      <c r="F21" s="173">
        <f>F22+F27</f>
        <v>0</v>
      </c>
      <c r="G21" s="173">
        <f>G22+G27</f>
        <v>0</v>
      </c>
      <c r="H21" s="173">
        <f>H22+H27</f>
        <v>0</v>
      </c>
      <c r="I21" s="173">
        <f>I22+I27</f>
        <v>0</v>
      </c>
      <c r="J21" s="170"/>
      <c r="K21" s="99"/>
    </row>
    <row r="22" spans="1:20" ht="15" customHeight="1" x14ac:dyDescent="0.25">
      <c r="A22" s="174"/>
      <c r="B22" s="177" t="s">
        <v>151</v>
      </c>
      <c r="C22" s="129" t="s">
        <v>177</v>
      </c>
      <c r="D22" s="67"/>
      <c r="E22" s="67"/>
      <c r="F22" s="132">
        <f>SUM(F23+F26)</f>
        <v>0</v>
      </c>
      <c r="G22" s="132">
        <f>SUM(G23+G26)</f>
        <v>0</v>
      </c>
      <c r="H22" s="132">
        <f>SUM(H23+H26)</f>
        <v>0</v>
      </c>
      <c r="I22" s="132">
        <f>SUM(I23+I26)</f>
        <v>0</v>
      </c>
      <c r="J22" s="170"/>
      <c r="K22" s="99"/>
      <c r="L22" s="162"/>
      <c r="M22" s="162"/>
      <c r="N22" s="162"/>
      <c r="O22" s="162"/>
      <c r="P22" s="162"/>
      <c r="Q22" s="162"/>
      <c r="R22" s="162"/>
      <c r="S22" s="162"/>
      <c r="T22" s="162"/>
    </row>
    <row r="23" spans="1:20" ht="15" customHeight="1" x14ac:dyDescent="0.25">
      <c r="A23" s="174"/>
      <c r="B23" s="98"/>
      <c r="C23" s="177" t="s">
        <v>151</v>
      </c>
      <c r="D23" s="129" t="s">
        <v>178</v>
      </c>
      <c r="E23" s="67"/>
      <c r="F23" s="132">
        <f>F24+F25</f>
        <v>0</v>
      </c>
      <c r="G23" s="132">
        <f>G24+G25</f>
        <v>0</v>
      </c>
      <c r="H23" s="132">
        <f>H24+H25</f>
        <v>0</v>
      </c>
      <c r="I23" s="132">
        <f>I24+I25</f>
        <v>0</v>
      </c>
      <c r="J23" s="170"/>
      <c r="K23" s="99"/>
      <c r="L23" s="162"/>
      <c r="M23" s="162"/>
      <c r="N23" s="162"/>
      <c r="O23" s="162"/>
      <c r="P23" s="162"/>
      <c r="Q23" s="162"/>
      <c r="R23" s="162"/>
      <c r="S23" s="162"/>
      <c r="T23" s="162"/>
    </row>
    <row r="24" spans="1:20" ht="15" customHeight="1" x14ac:dyDescent="0.25">
      <c r="A24" s="177"/>
      <c r="B24" s="87"/>
      <c r="C24" s="87"/>
      <c r="D24" s="73" t="s">
        <v>21</v>
      </c>
      <c r="E24" s="71" t="s">
        <v>20</v>
      </c>
      <c r="F24" s="137"/>
      <c r="G24" s="103"/>
      <c r="H24" s="103"/>
      <c r="I24" s="103"/>
      <c r="J24" s="170"/>
      <c r="K24" s="99"/>
      <c r="L24" s="162"/>
      <c r="M24" s="162"/>
      <c r="N24" s="162"/>
      <c r="O24" s="162"/>
      <c r="P24" s="162"/>
      <c r="Q24" s="162"/>
      <c r="R24" s="162"/>
      <c r="S24" s="162"/>
      <c r="T24" s="162"/>
    </row>
    <row r="25" spans="1:20" ht="15" customHeight="1" x14ac:dyDescent="0.25">
      <c r="A25" s="177"/>
      <c r="B25" s="98"/>
      <c r="C25" s="98"/>
      <c r="D25" s="73" t="s">
        <v>21</v>
      </c>
      <c r="E25" s="133" t="s">
        <v>179</v>
      </c>
      <c r="F25" s="137"/>
      <c r="G25" s="103"/>
      <c r="H25" s="103"/>
      <c r="I25" s="103"/>
      <c r="J25" s="170"/>
      <c r="K25" s="99"/>
      <c r="L25" s="162"/>
      <c r="M25" s="162"/>
      <c r="N25" s="162"/>
      <c r="O25" s="162"/>
      <c r="P25" s="162"/>
      <c r="Q25" s="162"/>
      <c r="R25" s="162"/>
      <c r="S25" s="162"/>
      <c r="T25" s="162"/>
    </row>
    <row r="26" spans="1:20" ht="15" customHeight="1" x14ac:dyDescent="0.25">
      <c r="A26" s="179"/>
      <c r="B26" s="87"/>
      <c r="C26" s="175" t="s">
        <v>180</v>
      </c>
      <c r="D26" s="87" t="s">
        <v>181</v>
      </c>
      <c r="E26" s="67"/>
      <c r="F26" s="130"/>
      <c r="G26" s="103"/>
      <c r="H26" s="103"/>
      <c r="I26" s="103"/>
      <c r="J26" s="170"/>
      <c r="K26" s="99"/>
      <c r="L26" s="162"/>
      <c r="M26" s="162"/>
      <c r="N26" s="162"/>
      <c r="O26" s="162"/>
      <c r="P26" s="162"/>
      <c r="Q26" s="162"/>
      <c r="R26" s="162"/>
      <c r="S26" s="162"/>
      <c r="T26" s="162"/>
    </row>
    <row r="27" spans="1:20" ht="15" customHeight="1" x14ac:dyDescent="0.25">
      <c r="A27" s="180"/>
      <c r="B27" s="177" t="s">
        <v>151</v>
      </c>
      <c r="C27" s="129" t="s">
        <v>53</v>
      </c>
      <c r="D27" s="67"/>
      <c r="E27" s="67"/>
      <c r="F27" s="132">
        <f>F28+F30</f>
        <v>0</v>
      </c>
      <c r="G27" s="132">
        <f t="shared" ref="G27:I27" si="0">G28+G30</f>
        <v>0</v>
      </c>
      <c r="H27" s="132">
        <f t="shared" si="0"/>
        <v>0</v>
      </c>
      <c r="I27" s="132">
        <f t="shared" si="0"/>
        <v>0</v>
      </c>
      <c r="J27" s="170"/>
      <c r="K27" s="99"/>
      <c r="L27" s="162"/>
      <c r="M27" s="162"/>
      <c r="N27" s="162"/>
      <c r="O27" s="162"/>
      <c r="P27" s="162"/>
      <c r="Q27" s="162"/>
      <c r="R27" s="162"/>
      <c r="S27" s="162"/>
      <c r="T27" s="162"/>
    </row>
    <row r="28" spans="1:20" ht="15" customHeight="1" x14ac:dyDescent="0.25">
      <c r="A28" s="177"/>
      <c r="B28" s="87"/>
      <c r="C28" s="73" t="s">
        <v>21</v>
      </c>
      <c r="D28" s="71" t="s">
        <v>218</v>
      </c>
      <c r="E28" s="74"/>
      <c r="F28" s="130"/>
      <c r="G28" s="130"/>
      <c r="H28" s="130"/>
      <c r="I28" s="130"/>
      <c r="J28" s="170"/>
      <c r="K28" s="99"/>
      <c r="L28" s="162"/>
      <c r="M28" s="162"/>
      <c r="N28" s="162"/>
      <c r="O28" s="162"/>
      <c r="P28" s="162"/>
      <c r="Q28" s="162"/>
      <c r="R28" s="162"/>
      <c r="S28" s="162"/>
      <c r="T28" s="162"/>
    </row>
    <row r="29" spans="1:20" ht="15" customHeight="1" x14ac:dyDescent="0.25">
      <c r="A29" s="177"/>
      <c r="B29" s="87"/>
      <c r="C29" s="73"/>
      <c r="D29" s="181"/>
      <c r="E29" s="74" t="s">
        <v>182</v>
      </c>
      <c r="F29" s="130"/>
      <c r="G29" s="130"/>
      <c r="H29" s="130"/>
      <c r="I29" s="130"/>
      <c r="J29" s="170"/>
      <c r="K29" s="99"/>
      <c r="L29" s="162"/>
      <c r="M29" s="162"/>
      <c r="N29" s="162"/>
      <c r="O29" s="162"/>
      <c r="P29" s="162"/>
      <c r="Q29" s="162"/>
      <c r="R29" s="162"/>
      <c r="S29" s="162"/>
      <c r="T29" s="162"/>
    </row>
    <row r="30" spans="1:20" ht="15" customHeight="1" x14ac:dyDescent="0.25">
      <c r="A30" s="177"/>
      <c r="B30" s="87"/>
      <c r="C30" s="73" t="s">
        <v>21</v>
      </c>
      <c r="D30" s="133" t="s">
        <v>183</v>
      </c>
      <c r="E30" s="67"/>
      <c r="F30" s="130"/>
      <c r="G30" s="130"/>
      <c r="H30" s="130"/>
      <c r="I30" s="130"/>
      <c r="J30" s="170"/>
      <c r="K30" s="99"/>
      <c r="L30" s="162"/>
      <c r="M30" s="162"/>
      <c r="N30" s="162"/>
      <c r="O30" s="162"/>
      <c r="P30" s="162"/>
      <c r="Q30" s="162"/>
      <c r="R30" s="162"/>
      <c r="S30" s="162"/>
      <c r="T30" s="162"/>
    </row>
    <row r="31" spans="1:20" ht="15" customHeight="1" x14ac:dyDescent="0.25">
      <c r="A31" s="177" t="s">
        <v>151</v>
      </c>
      <c r="B31" s="129" t="s">
        <v>184</v>
      </c>
      <c r="C31" s="87"/>
      <c r="D31" s="67"/>
      <c r="E31" s="67"/>
      <c r="F31" s="173">
        <f>F32+F33</f>
        <v>0</v>
      </c>
      <c r="G31" s="173">
        <f t="shared" ref="G31:I31" si="1">G32+G33</f>
        <v>0</v>
      </c>
      <c r="H31" s="173">
        <f t="shared" si="1"/>
        <v>0</v>
      </c>
      <c r="I31" s="173">
        <f t="shared" si="1"/>
        <v>0</v>
      </c>
      <c r="J31" s="170"/>
      <c r="K31" s="99"/>
      <c r="L31" s="162"/>
      <c r="M31" s="162"/>
      <c r="N31" s="162"/>
      <c r="O31" s="162"/>
      <c r="P31" s="162"/>
      <c r="Q31" s="162"/>
      <c r="R31" s="162"/>
      <c r="S31" s="162"/>
      <c r="T31" s="162"/>
    </row>
    <row r="32" spans="1:20" ht="15" customHeight="1" x14ac:dyDescent="0.25">
      <c r="A32" s="177"/>
      <c r="B32" s="73" t="s">
        <v>21</v>
      </c>
      <c r="C32" s="87" t="s">
        <v>185</v>
      </c>
      <c r="D32" s="67"/>
      <c r="E32" s="67"/>
      <c r="F32" s="130"/>
      <c r="G32" s="130"/>
      <c r="H32" s="130"/>
      <c r="I32" s="130"/>
      <c r="J32" s="170"/>
      <c r="K32" s="99"/>
      <c r="L32" s="162"/>
      <c r="M32" s="162"/>
      <c r="N32" s="162"/>
      <c r="O32" s="162"/>
      <c r="P32" s="162"/>
      <c r="Q32" s="162"/>
      <c r="R32" s="162"/>
      <c r="S32" s="162"/>
      <c r="T32" s="162"/>
    </row>
    <row r="33" spans="1:20" ht="15" customHeight="1" x14ac:dyDescent="0.25">
      <c r="A33" s="180"/>
      <c r="B33" s="177" t="s">
        <v>151</v>
      </c>
      <c r="C33" s="37" t="s">
        <v>186</v>
      </c>
      <c r="D33" s="67"/>
      <c r="E33" s="67"/>
      <c r="F33" s="173">
        <f>F34+F35</f>
        <v>0</v>
      </c>
      <c r="G33" s="173">
        <f t="shared" ref="G33:I33" si="2">G34+G35</f>
        <v>0</v>
      </c>
      <c r="H33" s="173">
        <f t="shared" si="2"/>
        <v>0</v>
      </c>
      <c r="I33" s="173">
        <f t="shared" si="2"/>
        <v>0</v>
      </c>
      <c r="J33" s="170"/>
      <c r="K33" s="99"/>
      <c r="L33" s="162"/>
      <c r="M33" s="162"/>
      <c r="N33" s="162"/>
      <c r="O33" s="162"/>
      <c r="P33" s="162"/>
      <c r="Q33" s="162"/>
      <c r="R33" s="162"/>
      <c r="S33" s="162"/>
      <c r="T33" s="162"/>
    </row>
    <row r="34" spans="1:20" ht="15" customHeight="1" x14ac:dyDescent="0.25">
      <c r="A34" s="166"/>
      <c r="B34" s="87"/>
      <c r="C34" s="73" t="s">
        <v>21</v>
      </c>
      <c r="D34" s="87" t="s">
        <v>187</v>
      </c>
      <c r="E34" s="67"/>
      <c r="F34" s="130"/>
      <c r="G34" s="130"/>
      <c r="H34" s="130"/>
      <c r="I34" s="130"/>
      <c r="J34" s="170"/>
      <c r="K34" s="99"/>
      <c r="L34" s="162"/>
      <c r="M34" s="162"/>
      <c r="N34" s="162"/>
      <c r="O34" s="162"/>
      <c r="P34" s="162"/>
      <c r="Q34" s="162"/>
      <c r="R34" s="162"/>
      <c r="S34" s="162"/>
      <c r="T34" s="162"/>
    </row>
    <row r="35" spans="1:20" ht="15" customHeight="1" x14ac:dyDescent="0.25">
      <c r="A35" s="166"/>
      <c r="B35" s="87"/>
      <c r="C35" s="73" t="s">
        <v>21</v>
      </c>
      <c r="D35" s="87" t="s">
        <v>188</v>
      </c>
      <c r="E35" s="67"/>
      <c r="F35" s="130"/>
      <c r="G35" s="130"/>
      <c r="H35" s="130"/>
      <c r="I35" s="130"/>
      <c r="J35" s="170"/>
      <c r="K35" s="99"/>
      <c r="L35" s="162"/>
      <c r="M35" s="162"/>
      <c r="N35" s="162"/>
      <c r="O35" s="162"/>
      <c r="P35" s="162"/>
      <c r="Q35" s="162"/>
      <c r="R35" s="162"/>
      <c r="S35" s="162"/>
      <c r="T35" s="162"/>
    </row>
    <row r="36" spans="1:20" ht="15" customHeight="1" x14ac:dyDescent="0.25">
      <c r="A36" s="180" t="s">
        <v>151</v>
      </c>
      <c r="B36" s="182" t="s">
        <v>189</v>
      </c>
      <c r="C36" s="87"/>
      <c r="D36" s="67"/>
      <c r="E36" s="67"/>
      <c r="F36" s="173">
        <f>F37+F43+F44+F42</f>
        <v>0</v>
      </c>
      <c r="G36" s="173">
        <f t="shared" ref="G36:I36" si="3">G37+G43+G44+G42</f>
        <v>0</v>
      </c>
      <c r="H36" s="173">
        <f t="shared" si="3"/>
        <v>0</v>
      </c>
      <c r="I36" s="173">
        <f t="shared" si="3"/>
        <v>0</v>
      </c>
      <c r="J36" s="170"/>
      <c r="K36" s="99"/>
      <c r="L36" s="162"/>
      <c r="M36" s="162"/>
      <c r="N36" s="162"/>
      <c r="O36" s="162"/>
      <c r="P36" s="162"/>
      <c r="Q36" s="162"/>
      <c r="R36" s="162"/>
      <c r="S36" s="162"/>
      <c r="T36" s="162"/>
    </row>
    <row r="37" spans="1:20" ht="15" customHeight="1" x14ac:dyDescent="0.25">
      <c r="A37" s="180"/>
      <c r="B37" s="166" t="s">
        <v>21</v>
      </c>
      <c r="C37" s="129" t="s">
        <v>190</v>
      </c>
      <c r="D37" s="67"/>
      <c r="E37" s="67"/>
      <c r="F37" s="132">
        <f>SUM(F38:F40)</f>
        <v>0</v>
      </c>
      <c r="G37" s="132">
        <f t="shared" ref="G37:I37" si="4">SUM(G38:G40)</f>
        <v>0</v>
      </c>
      <c r="H37" s="132">
        <f t="shared" si="4"/>
        <v>0</v>
      </c>
      <c r="I37" s="132">
        <f t="shared" si="4"/>
        <v>0</v>
      </c>
      <c r="J37" s="170"/>
      <c r="K37" s="99"/>
      <c r="L37" s="162"/>
      <c r="M37" s="162"/>
      <c r="N37" s="162"/>
      <c r="O37" s="162"/>
      <c r="P37" s="162"/>
      <c r="Q37" s="162"/>
      <c r="R37" s="162"/>
      <c r="S37" s="162"/>
      <c r="T37" s="162"/>
    </row>
    <row r="38" spans="1:20" ht="15" customHeight="1" x14ac:dyDescent="0.25">
      <c r="A38" s="166"/>
      <c r="B38" s="87"/>
      <c r="C38" s="73" t="s">
        <v>21</v>
      </c>
      <c r="D38" s="133" t="s">
        <v>191</v>
      </c>
      <c r="E38" s="134"/>
      <c r="F38" s="130"/>
      <c r="G38" s="130"/>
      <c r="H38" s="130"/>
      <c r="I38" s="130"/>
      <c r="J38" s="170"/>
      <c r="K38" s="99"/>
      <c r="L38" s="162"/>
      <c r="M38" s="162"/>
      <c r="N38" s="162"/>
      <c r="O38" s="162"/>
      <c r="P38" s="162"/>
      <c r="Q38" s="162"/>
      <c r="R38" s="162"/>
      <c r="S38" s="162"/>
      <c r="T38" s="162"/>
    </row>
    <row r="39" spans="1:20" ht="15" customHeight="1" x14ac:dyDescent="0.25">
      <c r="A39" s="166"/>
      <c r="B39" s="87"/>
      <c r="C39" s="73" t="s">
        <v>21</v>
      </c>
      <c r="D39" s="133" t="s">
        <v>192</v>
      </c>
      <c r="E39" s="134"/>
      <c r="F39" s="130"/>
      <c r="G39" s="130"/>
      <c r="H39" s="130"/>
      <c r="I39" s="130"/>
      <c r="J39" s="170"/>
      <c r="K39" s="99"/>
      <c r="L39" s="162"/>
      <c r="M39" s="162"/>
      <c r="N39" s="162"/>
      <c r="O39" s="162"/>
      <c r="P39" s="162"/>
      <c r="Q39" s="162"/>
      <c r="R39" s="162"/>
      <c r="S39" s="162"/>
      <c r="T39" s="162"/>
    </row>
    <row r="40" spans="1:20" ht="15" customHeight="1" x14ac:dyDescent="0.25">
      <c r="A40" s="166"/>
      <c r="B40" s="87"/>
      <c r="C40" s="73" t="s">
        <v>21</v>
      </c>
      <c r="D40" s="133" t="s">
        <v>193</v>
      </c>
      <c r="E40" s="67"/>
      <c r="F40" s="130"/>
      <c r="G40" s="130"/>
      <c r="H40" s="130"/>
      <c r="I40" s="130"/>
      <c r="J40" s="170"/>
      <c r="K40" s="99"/>
      <c r="L40" s="162"/>
      <c r="M40" s="162"/>
      <c r="N40" s="162"/>
      <c r="O40" s="162"/>
      <c r="P40" s="162"/>
      <c r="Q40" s="162"/>
      <c r="R40" s="162"/>
      <c r="S40" s="162"/>
      <c r="T40" s="162"/>
    </row>
    <row r="41" spans="1:20" ht="15" customHeight="1" x14ac:dyDescent="0.25">
      <c r="A41" s="166"/>
      <c r="B41" s="87"/>
      <c r="C41" s="73"/>
      <c r="D41" s="181"/>
      <c r="E41" s="71" t="s">
        <v>86</v>
      </c>
      <c r="F41" s="130"/>
      <c r="G41" s="130"/>
      <c r="H41" s="130"/>
      <c r="I41" s="130"/>
      <c r="J41" s="170"/>
      <c r="K41" s="99"/>
      <c r="L41" s="162"/>
      <c r="M41" s="162"/>
      <c r="N41" s="162"/>
      <c r="O41" s="162"/>
      <c r="P41" s="162"/>
      <c r="Q41" s="162"/>
      <c r="R41" s="162"/>
      <c r="S41" s="162"/>
      <c r="T41" s="162"/>
    </row>
    <row r="42" spans="1:20" ht="15" customHeight="1" x14ac:dyDescent="0.25">
      <c r="A42" s="166"/>
      <c r="B42" s="512" t="s">
        <v>21</v>
      </c>
      <c r="C42" s="514" t="s">
        <v>375</v>
      </c>
      <c r="D42" s="513"/>
      <c r="E42" s="176"/>
      <c r="F42" s="130"/>
      <c r="G42" s="130"/>
      <c r="H42" s="130"/>
      <c r="I42" s="130"/>
      <c r="J42" s="170"/>
      <c r="K42" s="99"/>
      <c r="L42" s="162"/>
      <c r="M42" s="162"/>
      <c r="N42" s="162"/>
      <c r="O42" s="162"/>
      <c r="P42" s="162"/>
      <c r="Q42" s="162"/>
      <c r="R42" s="162"/>
      <c r="S42" s="162"/>
      <c r="T42" s="162"/>
    </row>
    <row r="43" spans="1:20" ht="15" customHeight="1" x14ac:dyDescent="0.25">
      <c r="A43" s="180"/>
      <c r="B43" s="166" t="s">
        <v>21</v>
      </c>
      <c r="C43" s="183" t="s">
        <v>194</v>
      </c>
      <c r="D43" s="67"/>
      <c r="E43" s="67"/>
      <c r="F43" s="130"/>
      <c r="G43" s="130"/>
      <c r="H43" s="130"/>
      <c r="I43" s="130"/>
      <c r="J43" s="170"/>
      <c r="K43" s="99"/>
      <c r="L43" s="162"/>
      <c r="M43" s="162"/>
      <c r="N43" s="162"/>
      <c r="O43" s="162"/>
      <c r="P43" s="162"/>
      <c r="Q43" s="162"/>
      <c r="R43" s="162"/>
      <c r="S43" s="162"/>
      <c r="T43" s="162"/>
    </row>
    <row r="44" spans="1:20" ht="15" customHeight="1" x14ac:dyDescent="0.25">
      <c r="A44" s="180"/>
      <c r="B44" s="166" t="s">
        <v>21</v>
      </c>
      <c r="C44" s="87" t="s">
        <v>195</v>
      </c>
      <c r="D44" s="67"/>
      <c r="E44" s="67"/>
      <c r="F44" s="130"/>
      <c r="G44" s="130"/>
      <c r="H44" s="130"/>
      <c r="I44" s="130"/>
      <c r="J44" s="170"/>
      <c r="K44" s="99"/>
      <c r="L44" s="162"/>
      <c r="M44" s="162"/>
      <c r="N44" s="162"/>
      <c r="O44" s="162"/>
      <c r="P44" s="162"/>
      <c r="Q44" s="162"/>
      <c r="R44" s="162"/>
      <c r="S44" s="162"/>
      <c r="T44" s="162"/>
    </row>
    <row r="45" spans="1:20" ht="15" customHeight="1" x14ac:dyDescent="0.25">
      <c r="A45" s="180" t="s">
        <v>151</v>
      </c>
      <c r="B45" s="184" t="s">
        <v>196</v>
      </c>
      <c r="C45" s="87"/>
      <c r="D45" s="67"/>
      <c r="E45" s="67"/>
      <c r="F45" s="132">
        <f>SUM(F46+F47+F49)</f>
        <v>0</v>
      </c>
      <c r="G45" s="132">
        <f>SUM(G46+G47+G49)</f>
        <v>0</v>
      </c>
      <c r="H45" s="132">
        <f>SUM(H46+H47+H49)</f>
        <v>0</v>
      </c>
      <c r="I45" s="132">
        <f>SUM(I46+I47+I49)</f>
        <v>0</v>
      </c>
      <c r="J45" s="170"/>
      <c r="K45" s="99"/>
      <c r="L45" s="162"/>
      <c r="M45" s="162"/>
      <c r="N45" s="162"/>
      <c r="O45" s="162"/>
      <c r="P45" s="162"/>
      <c r="Q45" s="162"/>
      <c r="R45" s="162"/>
      <c r="S45" s="162"/>
      <c r="T45" s="162"/>
    </row>
    <row r="46" spans="1:20" ht="15" customHeight="1" x14ac:dyDescent="0.25">
      <c r="A46" s="180"/>
      <c r="B46" s="166" t="s">
        <v>21</v>
      </c>
      <c r="C46" s="133" t="s">
        <v>197</v>
      </c>
      <c r="D46" s="134"/>
      <c r="E46" s="134"/>
      <c r="F46" s="130"/>
      <c r="G46" s="130"/>
      <c r="H46" s="130"/>
      <c r="I46" s="130"/>
      <c r="J46" s="170"/>
      <c r="K46" s="99"/>
      <c r="L46" s="162"/>
      <c r="M46" s="162"/>
      <c r="N46" s="162"/>
      <c r="O46" s="162"/>
      <c r="P46" s="162"/>
      <c r="Q46" s="162"/>
      <c r="R46" s="162"/>
      <c r="S46" s="162"/>
      <c r="T46" s="162"/>
    </row>
    <row r="47" spans="1:20" ht="15" customHeight="1" x14ac:dyDescent="0.25">
      <c r="A47" s="180"/>
      <c r="B47" s="166" t="s">
        <v>21</v>
      </c>
      <c r="C47" s="71" t="s">
        <v>198</v>
      </c>
      <c r="D47" s="134"/>
      <c r="E47" s="134"/>
      <c r="F47" s="130"/>
      <c r="G47" s="130"/>
      <c r="H47" s="130"/>
      <c r="I47" s="130"/>
      <c r="J47" s="170"/>
      <c r="K47" s="99"/>
      <c r="L47" s="162"/>
      <c r="M47" s="162"/>
      <c r="N47" s="162"/>
      <c r="O47" s="162"/>
      <c r="P47" s="162"/>
      <c r="Q47" s="162"/>
      <c r="R47" s="162"/>
      <c r="S47" s="162"/>
      <c r="T47" s="162"/>
    </row>
    <row r="48" spans="1:20" ht="29.25" customHeight="1" x14ac:dyDescent="0.25">
      <c r="A48" s="180"/>
      <c r="B48" s="166"/>
      <c r="C48" s="185"/>
      <c r="D48" s="71" t="s">
        <v>199</v>
      </c>
      <c r="E48" s="134"/>
      <c r="F48" s="130"/>
      <c r="G48" s="130"/>
      <c r="H48" s="130"/>
      <c r="I48" s="130"/>
      <c r="J48" s="170"/>
      <c r="K48" s="99"/>
      <c r="L48" s="162"/>
      <c r="M48" s="162"/>
      <c r="N48" s="162"/>
      <c r="O48" s="162"/>
      <c r="P48" s="162"/>
      <c r="Q48" s="162"/>
      <c r="R48" s="162"/>
      <c r="S48" s="162"/>
      <c r="T48" s="162"/>
    </row>
    <row r="49" spans="1:20" ht="15" customHeight="1" x14ac:dyDescent="0.25">
      <c r="A49" s="180"/>
      <c r="B49" s="166" t="s">
        <v>21</v>
      </c>
      <c r="C49" s="133" t="s">
        <v>200</v>
      </c>
      <c r="D49" s="67"/>
      <c r="E49" s="67"/>
      <c r="F49" s="130"/>
      <c r="G49" s="130"/>
      <c r="H49" s="130"/>
      <c r="I49" s="130"/>
      <c r="J49" s="170"/>
      <c r="K49" s="99"/>
      <c r="L49" s="162"/>
      <c r="M49" s="162"/>
      <c r="N49" s="162"/>
      <c r="O49" s="162"/>
      <c r="P49" s="162"/>
      <c r="Q49" s="162"/>
      <c r="R49" s="162"/>
      <c r="S49" s="162"/>
      <c r="T49" s="162"/>
    </row>
    <row r="50" spans="1:20" ht="15" customHeight="1" x14ac:dyDescent="0.25">
      <c r="A50" s="166"/>
      <c r="B50" s="86"/>
      <c r="C50" s="185"/>
      <c r="D50" s="71" t="s">
        <v>201</v>
      </c>
      <c r="E50" s="134"/>
      <c r="F50" s="130"/>
      <c r="G50" s="130"/>
      <c r="H50" s="130"/>
      <c r="I50" s="130"/>
      <c r="J50" s="170"/>
      <c r="K50" s="99"/>
      <c r="L50" s="162"/>
      <c r="M50" s="162"/>
      <c r="N50" s="162"/>
      <c r="O50" s="162"/>
      <c r="P50" s="162"/>
      <c r="Q50" s="162"/>
      <c r="R50" s="162"/>
      <c r="S50" s="162"/>
      <c r="T50" s="162"/>
    </row>
    <row r="51" spans="1:20" ht="15" customHeight="1" x14ac:dyDescent="0.25">
      <c r="A51" s="166"/>
      <c r="B51" s="86"/>
      <c r="C51" s="185"/>
      <c r="D51" s="71" t="s">
        <v>65</v>
      </c>
      <c r="E51" s="134"/>
      <c r="F51" s="130"/>
      <c r="G51" s="130"/>
      <c r="H51" s="130"/>
      <c r="I51" s="130"/>
      <c r="J51" s="170"/>
      <c r="K51" s="99"/>
      <c r="L51" s="162"/>
      <c r="M51" s="162"/>
      <c r="N51" s="162"/>
      <c r="O51" s="162"/>
      <c r="P51" s="162"/>
      <c r="Q51" s="162"/>
      <c r="R51" s="162"/>
      <c r="S51" s="162"/>
      <c r="T51" s="162"/>
    </row>
    <row r="52" spans="1:20" ht="15" customHeight="1" x14ac:dyDescent="0.25">
      <c r="A52" s="166"/>
      <c r="B52" s="86"/>
      <c r="C52" s="185" t="s">
        <v>21</v>
      </c>
      <c r="D52" s="71" t="s">
        <v>285</v>
      </c>
      <c r="E52" s="134"/>
      <c r="F52" s="130"/>
      <c r="G52" s="130"/>
      <c r="H52" s="130"/>
      <c r="I52" s="130"/>
      <c r="J52" s="170"/>
      <c r="K52" s="99"/>
      <c r="L52" s="162"/>
      <c r="M52" s="162"/>
      <c r="N52" s="162"/>
      <c r="O52" s="162"/>
      <c r="P52" s="162"/>
      <c r="Q52" s="162"/>
      <c r="R52" s="162"/>
      <c r="S52" s="162"/>
      <c r="T52" s="162"/>
    </row>
    <row r="53" spans="1:20" ht="15" customHeight="1" x14ac:dyDescent="0.25">
      <c r="A53" s="180" t="s">
        <v>151</v>
      </c>
      <c r="B53" s="129" t="s">
        <v>202</v>
      </c>
      <c r="C53" s="87"/>
      <c r="D53" s="67"/>
      <c r="E53" s="67"/>
      <c r="F53" s="132">
        <f>F13+F14+F15+F16+F21+F31+F36+F45</f>
        <v>0</v>
      </c>
      <c r="G53" s="132">
        <f>G13+G14+G15+G16+G21+G31+G36+G45</f>
        <v>0</v>
      </c>
      <c r="H53" s="132">
        <f>H13+H14+H15+H16+H21+H31+H36+H45</f>
        <v>0</v>
      </c>
      <c r="I53" s="132">
        <f>I13+I14+I15+I16+I21+I31+I36+I45</f>
        <v>0</v>
      </c>
      <c r="J53" s="170"/>
      <c r="K53" s="99"/>
      <c r="L53" s="162"/>
      <c r="M53" s="162"/>
      <c r="N53" s="162"/>
      <c r="O53" s="162"/>
      <c r="P53" s="162"/>
      <c r="Q53" s="162"/>
      <c r="R53" s="162"/>
      <c r="S53" s="162"/>
      <c r="T53" s="162"/>
    </row>
    <row r="54" spans="1:20" ht="15" customHeight="1" x14ac:dyDescent="0.25">
      <c r="A54" s="180" t="s">
        <v>151</v>
      </c>
      <c r="B54" s="182" t="s">
        <v>203</v>
      </c>
      <c r="C54" s="111"/>
      <c r="D54" s="67"/>
      <c r="E54" s="67"/>
      <c r="F54" s="132">
        <f>SUM(F55:F61)</f>
        <v>0</v>
      </c>
      <c r="G54" s="132">
        <f t="shared" ref="G54:I54" si="5">SUM(G55:G61)</f>
        <v>0</v>
      </c>
      <c r="H54" s="132">
        <f t="shared" si="5"/>
        <v>0</v>
      </c>
      <c r="I54" s="132">
        <f t="shared" si="5"/>
        <v>0</v>
      </c>
      <c r="J54" s="170"/>
      <c r="K54" s="99"/>
      <c r="L54" s="162"/>
      <c r="M54" s="162"/>
      <c r="N54" s="162"/>
      <c r="O54" s="162"/>
      <c r="P54" s="162"/>
      <c r="Q54" s="162"/>
      <c r="R54" s="162"/>
      <c r="S54" s="162"/>
      <c r="T54" s="162"/>
    </row>
    <row r="55" spans="1:20" ht="15" customHeight="1" x14ac:dyDescent="0.25">
      <c r="A55" s="180"/>
      <c r="B55" s="186" t="s">
        <v>16</v>
      </c>
      <c r="C55" s="187" t="s">
        <v>58</v>
      </c>
      <c r="D55" s="67"/>
      <c r="E55" s="67"/>
      <c r="F55" s="130"/>
      <c r="G55" s="130"/>
      <c r="H55" s="130"/>
      <c r="I55" s="130"/>
      <c r="J55" s="170"/>
      <c r="K55" s="99"/>
      <c r="L55" s="162"/>
      <c r="M55" s="162"/>
      <c r="N55" s="162"/>
      <c r="O55" s="162"/>
      <c r="P55" s="162"/>
      <c r="Q55" s="162"/>
      <c r="R55" s="162"/>
      <c r="S55" s="162"/>
      <c r="T55" s="162"/>
    </row>
    <row r="56" spans="1:20" ht="15.75" customHeight="1" x14ac:dyDescent="0.25">
      <c r="A56" s="180"/>
      <c r="B56" s="188" t="s">
        <v>16</v>
      </c>
      <c r="C56" s="187" t="s">
        <v>105</v>
      </c>
      <c r="D56" s="67"/>
      <c r="E56" s="67"/>
      <c r="F56" s="130"/>
      <c r="G56" s="130"/>
      <c r="H56" s="130"/>
      <c r="I56" s="130"/>
      <c r="J56" s="170"/>
      <c r="K56" s="99"/>
      <c r="L56" s="162"/>
      <c r="M56" s="162"/>
      <c r="N56" s="162"/>
      <c r="O56" s="162"/>
      <c r="P56" s="162"/>
      <c r="Q56" s="162"/>
      <c r="R56" s="162"/>
      <c r="S56" s="162"/>
      <c r="T56" s="162"/>
    </row>
    <row r="57" spans="1:20" ht="15" customHeight="1" x14ac:dyDescent="0.25">
      <c r="A57" s="180"/>
      <c r="B57" s="186" t="s">
        <v>16</v>
      </c>
      <c r="C57" s="187" t="s">
        <v>104</v>
      </c>
      <c r="D57" s="67"/>
      <c r="E57" s="67"/>
      <c r="F57" s="130"/>
      <c r="G57" s="130"/>
      <c r="H57" s="130"/>
      <c r="I57" s="130"/>
      <c r="J57" s="170"/>
      <c r="K57" s="99"/>
      <c r="L57" s="162"/>
      <c r="M57" s="162"/>
      <c r="N57" s="162"/>
      <c r="O57" s="162"/>
      <c r="P57" s="162"/>
      <c r="Q57" s="162"/>
      <c r="R57" s="162"/>
      <c r="S57" s="162"/>
      <c r="T57" s="162"/>
    </row>
    <row r="58" spans="1:20" ht="15" customHeight="1" x14ac:dyDescent="0.25">
      <c r="A58" s="180"/>
      <c r="B58" s="186" t="s">
        <v>16</v>
      </c>
      <c r="C58" s="187" t="s">
        <v>59</v>
      </c>
      <c r="D58" s="67"/>
      <c r="E58" s="67"/>
      <c r="F58" s="130"/>
      <c r="G58" s="130"/>
      <c r="H58" s="130"/>
      <c r="I58" s="130"/>
      <c r="J58" s="170"/>
      <c r="K58" s="99"/>
      <c r="L58" s="162"/>
      <c r="M58" s="162"/>
      <c r="N58" s="162"/>
      <c r="O58" s="162"/>
      <c r="P58" s="162"/>
      <c r="Q58" s="162"/>
      <c r="R58" s="162"/>
      <c r="S58" s="162"/>
      <c r="T58" s="162"/>
    </row>
    <row r="59" spans="1:20" ht="15" customHeight="1" x14ac:dyDescent="0.25">
      <c r="A59" s="180"/>
      <c r="B59" s="189" t="s">
        <v>21</v>
      </c>
      <c r="C59" s="111" t="s">
        <v>194</v>
      </c>
      <c r="D59" s="67"/>
      <c r="E59" s="67"/>
      <c r="F59" s="130"/>
      <c r="G59" s="130"/>
      <c r="H59" s="130"/>
      <c r="I59" s="130"/>
      <c r="J59" s="170"/>
      <c r="K59" s="99"/>
      <c r="L59" s="162"/>
      <c r="M59" s="162"/>
      <c r="N59" s="162"/>
      <c r="O59" s="162"/>
      <c r="P59" s="162"/>
      <c r="Q59" s="162"/>
      <c r="R59" s="162"/>
      <c r="S59" s="162"/>
      <c r="T59" s="162"/>
    </row>
    <row r="60" spans="1:20" ht="15" customHeight="1" x14ac:dyDescent="0.25">
      <c r="A60" s="180"/>
      <c r="B60" s="189" t="s">
        <v>21</v>
      </c>
      <c r="C60" s="111" t="s">
        <v>60</v>
      </c>
      <c r="D60" s="67"/>
      <c r="E60" s="67"/>
      <c r="F60" s="130"/>
      <c r="G60" s="130"/>
      <c r="H60" s="130"/>
      <c r="I60" s="130"/>
      <c r="J60" s="170"/>
      <c r="K60" s="99"/>
      <c r="L60" s="162"/>
      <c r="M60" s="162"/>
      <c r="N60" s="162"/>
      <c r="O60" s="162"/>
      <c r="P60" s="162"/>
      <c r="Q60" s="162"/>
      <c r="R60" s="162"/>
      <c r="S60" s="162"/>
      <c r="T60" s="162"/>
    </row>
    <row r="61" spans="1:20" ht="15" customHeight="1" x14ac:dyDescent="0.25">
      <c r="A61" s="180"/>
      <c r="B61" s="189" t="s">
        <v>21</v>
      </c>
      <c r="C61" s="111" t="s">
        <v>204</v>
      </c>
      <c r="D61" s="67"/>
      <c r="E61" s="67"/>
      <c r="F61" s="130"/>
      <c r="G61" s="130"/>
      <c r="H61" s="130"/>
      <c r="I61" s="130"/>
      <c r="J61" s="170"/>
      <c r="K61" s="99"/>
      <c r="L61" s="162"/>
      <c r="M61" s="162"/>
      <c r="N61" s="162"/>
      <c r="O61" s="162"/>
      <c r="P61" s="162"/>
      <c r="Q61" s="162"/>
      <c r="R61" s="162"/>
      <c r="S61" s="162"/>
      <c r="T61" s="162"/>
    </row>
    <row r="62" spans="1:20" ht="15" customHeight="1" x14ac:dyDescent="0.25">
      <c r="A62" s="166" t="s">
        <v>151</v>
      </c>
      <c r="B62" s="129" t="s">
        <v>208</v>
      </c>
      <c r="C62" s="87"/>
      <c r="D62" s="67"/>
      <c r="E62" s="67"/>
      <c r="F62" s="132">
        <f>F53+F54</f>
        <v>0</v>
      </c>
      <c r="G62" s="132">
        <f>G53+G54</f>
        <v>0</v>
      </c>
      <c r="H62" s="132">
        <f>H53+H54</f>
        <v>0</v>
      </c>
      <c r="I62" s="132">
        <f>I53+I54</f>
        <v>0</v>
      </c>
      <c r="J62" s="170"/>
      <c r="K62" s="99"/>
      <c r="L62" s="162"/>
      <c r="M62" s="162"/>
      <c r="N62" s="162"/>
      <c r="O62" s="162"/>
      <c r="P62" s="162"/>
      <c r="Q62" s="162"/>
      <c r="R62" s="162"/>
      <c r="S62" s="162"/>
      <c r="T62" s="162"/>
    </row>
    <row r="63" spans="1:20" ht="15" customHeight="1" x14ac:dyDescent="0.25">
      <c r="A63" s="180" t="s">
        <v>151</v>
      </c>
      <c r="B63" s="37" t="s">
        <v>209</v>
      </c>
      <c r="C63" s="87"/>
      <c r="D63" s="67"/>
      <c r="E63" s="67"/>
      <c r="F63" s="132">
        <f>F64+F68+F69+F72</f>
        <v>0</v>
      </c>
      <c r="G63" s="132">
        <f t="shared" ref="G63:I63" si="6">G64+G68+G69+G72</f>
        <v>0</v>
      </c>
      <c r="H63" s="132">
        <f t="shared" si="6"/>
        <v>0</v>
      </c>
      <c r="I63" s="132">
        <f t="shared" si="6"/>
        <v>0</v>
      </c>
      <c r="J63" s="170"/>
      <c r="K63" s="99"/>
      <c r="L63" s="162"/>
      <c r="M63" s="162"/>
      <c r="N63" s="162"/>
      <c r="O63" s="162"/>
      <c r="P63" s="162"/>
      <c r="Q63" s="162"/>
      <c r="R63" s="162"/>
      <c r="S63" s="162"/>
      <c r="T63" s="162"/>
    </row>
    <row r="64" spans="1:20" ht="15" customHeight="1" x14ac:dyDescent="0.25">
      <c r="A64" s="180"/>
      <c r="B64" s="190" t="s">
        <v>151</v>
      </c>
      <c r="C64" s="37" t="s">
        <v>210</v>
      </c>
      <c r="D64" s="67"/>
      <c r="E64" s="67"/>
      <c r="F64" s="132">
        <f>F65+F66+F67</f>
        <v>0</v>
      </c>
      <c r="G64" s="132">
        <f t="shared" ref="G64:I64" si="7">G65+G66+G67</f>
        <v>0</v>
      </c>
      <c r="H64" s="132">
        <f t="shared" si="7"/>
        <v>0</v>
      </c>
      <c r="I64" s="132">
        <f t="shared" si="7"/>
        <v>0</v>
      </c>
      <c r="J64" s="170"/>
      <c r="K64" s="99"/>
      <c r="L64" s="162"/>
      <c r="M64" s="162"/>
      <c r="N64" s="162"/>
      <c r="O64" s="162"/>
      <c r="P64" s="162"/>
      <c r="Q64" s="162"/>
      <c r="R64" s="162"/>
      <c r="S64" s="162"/>
      <c r="T64" s="162"/>
    </row>
    <row r="65" spans="1:20" ht="15" customHeight="1" x14ac:dyDescent="0.25">
      <c r="A65" s="166"/>
      <c r="B65" s="98"/>
      <c r="C65" s="192" t="s">
        <v>90</v>
      </c>
      <c r="D65" s="133" t="s">
        <v>22</v>
      </c>
      <c r="E65" s="134"/>
      <c r="F65" s="42"/>
      <c r="G65" s="42"/>
      <c r="H65" s="42"/>
      <c r="I65" s="42"/>
      <c r="J65" s="170"/>
      <c r="K65" s="99"/>
      <c r="L65" s="162"/>
      <c r="M65" s="162"/>
      <c r="N65" s="162"/>
      <c r="O65" s="162"/>
      <c r="P65" s="162"/>
      <c r="Q65" s="162"/>
      <c r="R65" s="162"/>
      <c r="S65" s="162"/>
      <c r="T65" s="162"/>
    </row>
    <row r="66" spans="1:20" ht="14.25" customHeight="1" x14ac:dyDescent="0.25">
      <c r="A66" s="166"/>
      <c r="B66" s="98"/>
      <c r="C66" s="192" t="s">
        <v>90</v>
      </c>
      <c r="D66" s="133" t="s">
        <v>211</v>
      </c>
      <c r="E66" s="67"/>
      <c r="F66" s="130"/>
      <c r="G66" s="130"/>
      <c r="H66" s="130"/>
      <c r="I66" s="130"/>
      <c r="J66" s="170"/>
      <c r="K66" s="99"/>
      <c r="L66" s="162"/>
      <c r="M66" s="162"/>
      <c r="N66" s="162"/>
      <c r="O66" s="162"/>
      <c r="P66" s="162"/>
      <c r="Q66" s="162"/>
      <c r="R66" s="162"/>
      <c r="S66" s="162"/>
      <c r="T66" s="162"/>
    </row>
    <row r="67" spans="1:20" ht="15" customHeight="1" x14ac:dyDescent="0.25">
      <c r="A67" s="166"/>
      <c r="B67" s="98"/>
      <c r="C67" s="192" t="s">
        <v>90</v>
      </c>
      <c r="D67" s="133" t="s">
        <v>55</v>
      </c>
      <c r="E67" s="67"/>
      <c r="F67" s="130"/>
      <c r="G67" s="130"/>
      <c r="H67" s="130"/>
      <c r="I67" s="130"/>
      <c r="J67" s="170"/>
      <c r="K67" s="99"/>
      <c r="L67" s="162"/>
      <c r="M67" s="162"/>
      <c r="N67" s="162"/>
      <c r="O67" s="162"/>
      <c r="P67" s="162"/>
      <c r="Q67" s="162"/>
      <c r="R67" s="162"/>
      <c r="S67" s="162"/>
      <c r="T67" s="162"/>
    </row>
    <row r="68" spans="1:20" ht="15" customHeight="1" x14ac:dyDescent="0.25">
      <c r="A68" s="166"/>
      <c r="B68" s="98" t="s">
        <v>90</v>
      </c>
      <c r="C68" s="509" t="s">
        <v>369</v>
      </c>
      <c r="D68" s="133"/>
      <c r="E68" s="67"/>
      <c r="F68" s="130"/>
      <c r="G68" s="130"/>
      <c r="H68" s="130"/>
      <c r="I68" s="130"/>
      <c r="J68" s="170"/>
      <c r="K68" s="99"/>
      <c r="L68" s="162"/>
      <c r="M68" s="162"/>
      <c r="N68" s="162"/>
      <c r="O68" s="162"/>
      <c r="P68" s="162"/>
      <c r="Q68" s="162"/>
      <c r="R68" s="162"/>
      <c r="S68" s="162"/>
      <c r="T68" s="162"/>
    </row>
    <row r="69" spans="1:20" ht="15" customHeight="1" x14ac:dyDescent="0.25">
      <c r="A69" s="166"/>
      <c r="B69" s="87" t="s">
        <v>16</v>
      </c>
      <c r="C69" s="86" t="s">
        <v>64</v>
      </c>
      <c r="D69" s="71"/>
      <c r="E69" s="134"/>
      <c r="F69" s="173">
        <f>F70+F71</f>
        <v>0</v>
      </c>
      <c r="G69" s="173">
        <f t="shared" ref="G69:I69" si="8">G70+G71</f>
        <v>0</v>
      </c>
      <c r="H69" s="173">
        <f t="shared" si="8"/>
        <v>0</v>
      </c>
      <c r="I69" s="173">
        <f t="shared" si="8"/>
        <v>0</v>
      </c>
      <c r="J69" s="170"/>
      <c r="K69" s="99"/>
      <c r="L69" s="162"/>
      <c r="M69" s="162"/>
      <c r="N69" s="162"/>
      <c r="O69" s="162"/>
      <c r="P69" s="162"/>
      <c r="Q69" s="162"/>
      <c r="R69" s="162"/>
      <c r="S69" s="162"/>
      <c r="T69" s="162"/>
    </row>
    <row r="70" spans="1:20" ht="15" customHeight="1" x14ac:dyDescent="0.25">
      <c r="A70" s="166"/>
      <c r="B70" s="98"/>
      <c r="C70" s="98" t="s">
        <v>16</v>
      </c>
      <c r="D70" s="86" t="s">
        <v>205</v>
      </c>
      <c r="E70" s="133"/>
      <c r="F70" s="130"/>
      <c r="G70" s="130"/>
      <c r="H70" s="130"/>
      <c r="I70" s="130"/>
      <c r="J70" s="170"/>
      <c r="K70" s="99"/>
      <c r="L70" s="162"/>
      <c r="M70" s="162"/>
      <c r="N70" s="162"/>
      <c r="O70" s="162"/>
      <c r="P70" s="162"/>
      <c r="Q70" s="162"/>
      <c r="R70" s="162"/>
      <c r="S70" s="162"/>
      <c r="T70" s="162"/>
    </row>
    <row r="71" spans="1:20" ht="15" customHeight="1" x14ac:dyDescent="0.25">
      <c r="A71" s="166"/>
      <c r="B71" s="98"/>
      <c r="C71" s="98" t="s">
        <v>16</v>
      </c>
      <c r="D71" s="86" t="s">
        <v>206</v>
      </c>
      <c r="E71" s="133"/>
      <c r="F71" s="130"/>
      <c r="G71" s="130"/>
      <c r="H71" s="130"/>
      <c r="I71" s="130"/>
      <c r="J71" s="170"/>
      <c r="K71" s="99"/>
      <c r="L71" s="162"/>
      <c r="M71" s="162"/>
      <c r="N71" s="162"/>
      <c r="O71" s="162"/>
      <c r="P71" s="162"/>
      <c r="Q71" s="162"/>
      <c r="R71" s="162"/>
      <c r="S71" s="162"/>
      <c r="T71" s="162"/>
    </row>
    <row r="72" spans="1:20" ht="15" customHeight="1" x14ac:dyDescent="0.25">
      <c r="A72" s="191"/>
      <c r="B72" s="98" t="s">
        <v>21</v>
      </c>
      <c r="C72" s="86" t="s">
        <v>207</v>
      </c>
      <c r="D72" s="71"/>
      <c r="E72" s="134"/>
      <c r="F72" s="173">
        <f>F73+F74</f>
        <v>0</v>
      </c>
      <c r="G72" s="173">
        <f t="shared" ref="G72:I72" si="9">G73+G74</f>
        <v>0</v>
      </c>
      <c r="H72" s="173">
        <f t="shared" si="9"/>
        <v>0</v>
      </c>
      <c r="I72" s="173">
        <f t="shared" si="9"/>
        <v>0</v>
      </c>
      <c r="J72" s="170"/>
      <c r="K72" s="99"/>
      <c r="L72" s="162"/>
      <c r="M72" s="162"/>
      <c r="N72" s="162"/>
      <c r="O72" s="162"/>
      <c r="P72" s="162"/>
      <c r="Q72" s="162"/>
      <c r="R72" s="162"/>
      <c r="S72" s="162"/>
      <c r="T72" s="162"/>
    </row>
    <row r="73" spans="1:20" ht="15" customHeight="1" x14ac:dyDescent="0.25">
      <c r="A73" s="191"/>
      <c r="B73" s="98"/>
      <c r="C73" s="86" t="s">
        <v>21</v>
      </c>
      <c r="D73" s="133" t="s">
        <v>205</v>
      </c>
      <c r="E73" s="133"/>
      <c r="F73" s="130"/>
      <c r="G73" s="130"/>
      <c r="H73" s="130"/>
      <c r="I73" s="130"/>
      <c r="J73" s="170"/>
      <c r="K73" s="99"/>
      <c r="L73" s="162"/>
      <c r="M73" s="162"/>
      <c r="N73" s="162"/>
      <c r="O73" s="162"/>
      <c r="P73" s="162"/>
      <c r="Q73" s="162"/>
      <c r="R73" s="162"/>
      <c r="S73" s="162"/>
      <c r="T73" s="162"/>
    </row>
    <row r="74" spans="1:20" ht="15" customHeight="1" x14ac:dyDescent="0.25">
      <c r="A74" s="166"/>
      <c r="B74" s="73"/>
      <c r="C74" s="133" t="s">
        <v>21</v>
      </c>
      <c r="D74" s="133" t="s">
        <v>206</v>
      </c>
      <c r="E74" s="133"/>
      <c r="F74" s="130"/>
      <c r="G74" s="130"/>
      <c r="H74" s="130"/>
      <c r="I74" s="130"/>
      <c r="J74" s="170"/>
      <c r="K74" s="99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1:20" ht="15" customHeight="1" x14ac:dyDescent="0.25">
      <c r="A75" s="175" t="s">
        <v>21</v>
      </c>
      <c r="B75" s="133" t="s">
        <v>212</v>
      </c>
      <c r="C75" s="87"/>
      <c r="D75" s="67"/>
      <c r="E75" s="67"/>
      <c r="F75" s="135"/>
      <c r="G75" s="135"/>
      <c r="H75" s="135"/>
      <c r="I75" s="135"/>
      <c r="J75" s="170"/>
      <c r="K75" s="99"/>
      <c r="L75" s="162"/>
      <c r="M75" s="162"/>
      <c r="N75" s="162"/>
      <c r="O75" s="162"/>
      <c r="P75" s="162"/>
      <c r="Q75" s="162"/>
      <c r="R75" s="162"/>
      <c r="S75" s="162"/>
      <c r="T75" s="162"/>
    </row>
    <row r="76" spans="1:20" ht="15" customHeight="1" x14ac:dyDescent="0.25">
      <c r="A76" s="175" t="s">
        <v>21</v>
      </c>
      <c r="B76" s="133" t="s">
        <v>213</v>
      </c>
      <c r="C76" s="87"/>
      <c r="D76" s="67"/>
      <c r="E76" s="67"/>
      <c r="F76" s="130"/>
      <c r="G76" s="130"/>
      <c r="H76" s="130"/>
      <c r="I76" s="130"/>
      <c r="J76" s="170"/>
      <c r="K76" s="99"/>
      <c r="L76" s="162"/>
      <c r="M76" s="162"/>
      <c r="N76" s="162"/>
      <c r="O76" s="162"/>
      <c r="P76" s="162"/>
      <c r="Q76" s="162"/>
      <c r="R76" s="162"/>
      <c r="S76" s="162"/>
      <c r="T76" s="162"/>
    </row>
    <row r="77" spans="1:20" ht="15" customHeight="1" x14ac:dyDescent="0.25">
      <c r="A77" s="166" t="s">
        <v>151</v>
      </c>
      <c r="B77" s="129" t="s">
        <v>214</v>
      </c>
      <c r="C77" s="87"/>
      <c r="D77" s="67"/>
      <c r="E77" s="67"/>
      <c r="F77" s="136">
        <f>F62+F63+F76+F75</f>
        <v>0</v>
      </c>
      <c r="G77" s="136">
        <f t="shared" ref="G77:I77" si="10">G62+G63+G76+G75</f>
        <v>0</v>
      </c>
      <c r="H77" s="136">
        <f t="shared" si="10"/>
        <v>0</v>
      </c>
      <c r="I77" s="136">
        <f t="shared" si="10"/>
        <v>0</v>
      </c>
      <c r="J77" s="170"/>
      <c r="K77" s="99"/>
      <c r="L77" s="162"/>
      <c r="M77" s="162"/>
      <c r="N77" s="162"/>
      <c r="O77" s="162"/>
      <c r="P77" s="162"/>
      <c r="Q77" s="162"/>
      <c r="R77" s="162"/>
      <c r="S77" s="162"/>
      <c r="T77" s="162"/>
    </row>
    <row r="78" spans="1:20" ht="15" customHeight="1" x14ac:dyDescent="0.25">
      <c r="A78" s="166"/>
      <c r="B78" s="87"/>
      <c r="C78" s="87"/>
      <c r="D78" s="67"/>
      <c r="E78" s="67"/>
      <c r="F78" s="99"/>
      <c r="G78" s="99"/>
      <c r="H78" s="99"/>
      <c r="I78" s="99"/>
      <c r="J78" s="99"/>
      <c r="K78" s="99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1:20" ht="15" customHeight="1" x14ac:dyDescent="0.25">
      <c r="A79" s="166"/>
      <c r="B79" s="87"/>
      <c r="C79" s="87"/>
      <c r="D79" s="67"/>
      <c r="E79" s="67"/>
      <c r="F79" s="99"/>
      <c r="G79" s="99"/>
      <c r="H79" s="99"/>
      <c r="I79" s="99"/>
      <c r="J79" s="99"/>
      <c r="K79" s="99"/>
      <c r="L79" s="162"/>
      <c r="M79" s="162"/>
      <c r="N79" s="162"/>
      <c r="O79" s="162"/>
      <c r="P79" s="162"/>
      <c r="Q79" s="162"/>
      <c r="R79" s="162"/>
      <c r="S79" s="162"/>
      <c r="T79" s="162"/>
    </row>
    <row r="80" spans="1:20" ht="15" customHeight="1" x14ac:dyDescent="0.25">
      <c r="A80" s="166"/>
      <c r="B80" s="87"/>
      <c r="C80" s="87"/>
      <c r="D80" s="67"/>
      <c r="E80" s="67"/>
      <c r="F80" s="99"/>
      <c r="G80" s="99"/>
      <c r="H80" s="99"/>
      <c r="I80" s="99"/>
      <c r="J80" s="99"/>
      <c r="K80" s="99"/>
      <c r="L80" s="162"/>
      <c r="M80" s="162"/>
      <c r="N80" s="162"/>
      <c r="O80" s="162"/>
      <c r="P80" s="162"/>
      <c r="Q80" s="162"/>
      <c r="R80" s="162"/>
      <c r="S80" s="162"/>
      <c r="T80" s="162"/>
    </row>
    <row r="83" spans="1:20" ht="15" customHeight="1" x14ac:dyDescent="0.2">
      <c r="B83" s="194"/>
      <c r="L83" s="162"/>
      <c r="M83" s="162"/>
      <c r="N83" s="162"/>
      <c r="O83" s="162"/>
      <c r="P83" s="162"/>
      <c r="Q83" s="162"/>
      <c r="R83" s="162"/>
      <c r="S83" s="162"/>
      <c r="T83" s="162"/>
    </row>
    <row r="84" spans="1:20" ht="15" customHeight="1" x14ac:dyDescent="0.2">
      <c r="B84" s="194"/>
      <c r="L84" s="162"/>
      <c r="M84" s="162"/>
      <c r="N84" s="162"/>
      <c r="O84" s="162"/>
      <c r="P84" s="162"/>
      <c r="Q84" s="162"/>
      <c r="R84" s="162"/>
      <c r="S84" s="162"/>
      <c r="T84" s="162"/>
    </row>
    <row r="85" spans="1:20" ht="15" customHeight="1" x14ac:dyDescent="0.2">
      <c r="A85" s="162"/>
      <c r="B85" s="194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</row>
    <row r="86" spans="1:20" ht="15" customHeight="1" x14ac:dyDescent="0.2">
      <c r="A86" s="162"/>
      <c r="B86" s="194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</row>
    <row r="87" spans="1:20" ht="15" customHeight="1" x14ac:dyDescent="0.2">
      <c r="A87" s="162"/>
      <c r="B87" s="194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62"/>
      <c r="T87" s="162"/>
    </row>
    <row r="88" spans="1:20" ht="15" customHeight="1" x14ac:dyDescent="0.2">
      <c r="A88" s="162"/>
      <c r="B88" s="197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</row>
    <row r="89" spans="1:20" ht="15" customHeight="1" x14ac:dyDescent="0.2">
      <c r="A89" s="162"/>
      <c r="B89" s="194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62"/>
      <c r="T89" s="162"/>
    </row>
    <row r="90" spans="1:20" ht="15" customHeight="1" x14ac:dyDescent="0.2">
      <c r="A90" s="162"/>
      <c r="B90" s="194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62"/>
      <c r="T90" s="162"/>
    </row>
    <row r="91" spans="1:20" ht="15" customHeight="1" x14ac:dyDescent="0.2">
      <c r="A91" s="162"/>
      <c r="B91" s="197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62"/>
      <c r="T91" s="162"/>
    </row>
    <row r="92" spans="1:20" ht="15" customHeight="1" x14ac:dyDescent="0.2">
      <c r="A92" s="162"/>
      <c r="B92" s="197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</row>
    <row r="93" spans="1:20" ht="15" customHeight="1" x14ac:dyDescent="0.2">
      <c r="A93" s="162"/>
      <c r="B93" s="197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62"/>
      <c r="T93" s="162"/>
    </row>
    <row r="104" spans="1:20" ht="15" customHeight="1" x14ac:dyDescent="0.2">
      <c r="A104" s="162"/>
      <c r="B104" s="197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</row>
    <row r="105" spans="1:20" ht="15" customHeight="1" x14ac:dyDescent="0.2">
      <c r="A105" s="162"/>
      <c r="B105" s="197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</row>
    <row r="106" spans="1:20" ht="15" customHeight="1" x14ac:dyDescent="0.2">
      <c r="A106" s="162"/>
      <c r="B106" s="197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</row>
  </sheetData>
  <protectedRanges>
    <protectedRange sqref="F65:I68 F75:I76" name="Alue10"/>
    <protectedRange sqref="F69:I74" name="Alue9"/>
    <protectedRange sqref="F59:I61" name="Alue7"/>
    <protectedRange sqref="F55:I58" name="Alue6"/>
    <protectedRange sqref="F46:I52" name="Alue5"/>
    <protectedRange sqref="F13:I21" name="Alue1"/>
    <protectedRange sqref="F24:I26" name="Alue2"/>
    <protectedRange sqref="F28:I36" name="Alue3"/>
    <protectedRange sqref="F38:I44" name="Alue4"/>
  </protectedRanges>
  <pageMargins left="0.39370078740157483" right="0.39370078740157483" top="0.39370078740157483" bottom="0.39370078740157483" header="0.31496062992125984" footer="0.27559055118110237"/>
  <pageSetup paperSize="9" scale="65" orientation="portrait" verticalDpi="4294967293" r:id="rId1"/>
  <headerFooter alignWithMargins="0"/>
  <ignoredErrors>
    <ignoredError sqref="F2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S39"/>
  <sheetViews>
    <sheetView workbookViewId="0">
      <pane ySplit="5" topLeftCell="A6" activePane="bottomLeft" state="frozen"/>
      <selection pane="bottomLeft" activeCell="G25" sqref="G25"/>
    </sheetView>
  </sheetViews>
  <sheetFormatPr defaultColWidth="9.140625" defaultRowHeight="12.75" x14ac:dyDescent="0.2"/>
  <cols>
    <col min="1" max="1" width="48" style="8" customWidth="1"/>
    <col min="2" max="2" width="11.5703125" style="11" customWidth="1"/>
    <col min="3" max="7" width="9.140625" style="10"/>
    <col min="8" max="16384" width="9.140625" style="8"/>
  </cols>
  <sheetData>
    <row r="1" spans="1:253" s="284" customFormat="1" ht="15" customHeight="1" x14ac:dyDescent="0.2">
      <c r="A1" s="267" t="s">
        <v>222</v>
      </c>
      <c r="B1" s="287" t="s">
        <v>141</v>
      </c>
      <c r="C1" s="285"/>
    </row>
    <row r="2" spans="1:253" s="285" customFormat="1" ht="15" customHeight="1" x14ac:dyDescent="0.2">
      <c r="A2" s="286" t="s">
        <v>223</v>
      </c>
      <c r="B2" s="287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</row>
    <row r="3" spans="1:253" s="284" customFormat="1" ht="15" customHeight="1" x14ac:dyDescent="0.2">
      <c r="A3" s="289"/>
      <c r="B3" s="290"/>
    </row>
    <row r="4" spans="1:253" s="284" customFormat="1" ht="15" customHeight="1" x14ac:dyDescent="0.2">
      <c r="A4" s="292"/>
      <c r="B4" s="293"/>
      <c r="C4" s="294"/>
    </row>
    <row r="5" spans="1:253" s="284" customFormat="1" ht="15" customHeight="1" x14ac:dyDescent="0.2">
      <c r="A5" s="267" t="s">
        <v>42</v>
      </c>
      <c r="B5" s="282">
        <v>2020</v>
      </c>
      <c r="C5" s="283">
        <v>2021</v>
      </c>
      <c r="D5" s="283">
        <v>2022</v>
      </c>
      <c r="E5" s="283">
        <v>2023</v>
      </c>
      <c r="G5" s="283"/>
    </row>
    <row r="6" spans="1:253" ht="15" x14ac:dyDescent="0.25">
      <c r="A6" s="93"/>
      <c r="B6" s="94"/>
      <c r="C6" s="92"/>
      <c r="D6" s="92"/>
      <c r="E6" s="92"/>
      <c r="F6" s="92"/>
      <c r="G6" s="92"/>
      <c r="H6" s="93"/>
    </row>
    <row r="7" spans="1:253" ht="15" x14ac:dyDescent="0.25">
      <c r="A7" s="95"/>
      <c r="B7" s="94"/>
      <c r="C7" s="92"/>
      <c r="D7" s="92"/>
      <c r="E7" s="92"/>
      <c r="F7" s="92"/>
      <c r="G7" s="92"/>
      <c r="H7" s="93"/>
    </row>
    <row r="8" spans="1:253" ht="15" x14ac:dyDescent="0.25">
      <c r="A8" s="43"/>
      <c r="B8" s="94"/>
      <c r="C8" s="92"/>
      <c r="D8" s="92"/>
      <c r="E8" s="92"/>
      <c r="F8" s="92"/>
      <c r="G8" s="92"/>
      <c r="H8" s="93"/>
    </row>
    <row r="9" spans="1:253" ht="15" x14ac:dyDescent="0.25">
      <c r="A9" s="71" t="s">
        <v>224</v>
      </c>
      <c r="B9" s="96"/>
      <c r="C9" s="96"/>
      <c r="D9" s="96"/>
      <c r="E9" s="96"/>
      <c r="F9" s="92"/>
      <c r="G9" s="92"/>
      <c r="H9" s="93"/>
    </row>
    <row r="10" spans="1:253" ht="15" x14ac:dyDescent="0.25">
      <c r="A10" s="71" t="s">
        <v>225</v>
      </c>
      <c r="B10" s="97"/>
      <c r="C10" s="97"/>
      <c r="D10" s="97"/>
      <c r="E10" s="97"/>
      <c r="F10" s="92"/>
      <c r="G10" s="92"/>
      <c r="H10" s="93"/>
    </row>
    <row r="11" spans="1:253" ht="15" x14ac:dyDescent="0.25">
      <c r="A11" s="71" t="s">
        <v>226</v>
      </c>
      <c r="B11" s="97"/>
      <c r="C11" s="97"/>
      <c r="D11" s="97"/>
      <c r="E11" s="97"/>
      <c r="F11" s="92"/>
      <c r="G11" s="92"/>
      <c r="H11" s="93"/>
    </row>
    <row r="12" spans="1:253" ht="15" x14ac:dyDescent="0.25">
      <c r="A12" s="93"/>
      <c r="B12" s="94"/>
      <c r="C12" s="92"/>
      <c r="D12" s="92"/>
      <c r="E12" s="92"/>
      <c r="F12" s="92"/>
      <c r="G12" s="92"/>
      <c r="H12" s="93"/>
    </row>
    <row r="13" spans="1:253" ht="15" x14ac:dyDescent="0.25">
      <c r="A13" s="93"/>
      <c r="B13" s="94"/>
      <c r="C13" s="92"/>
      <c r="D13" s="92"/>
      <c r="E13" s="92"/>
      <c r="F13" s="92"/>
      <c r="G13" s="92"/>
      <c r="H13" s="93"/>
    </row>
    <row r="14" spans="1:253" ht="15" x14ac:dyDescent="0.25">
      <c r="A14" s="71"/>
      <c r="C14" s="92"/>
      <c r="D14" s="92"/>
      <c r="E14" s="92"/>
      <c r="F14" s="92"/>
      <c r="G14" s="92"/>
      <c r="H14" s="93"/>
    </row>
    <row r="15" spans="1:253" ht="15" x14ac:dyDescent="0.25">
      <c r="A15" s="71"/>
      <c r="C15" s="92"/>
      <c r="D15" s="92"/>
      <c r="E15" s="92"/>
      <c r="F15" s="92"/>
      <c r="G15" s="92"/>
      <c r="H15" s="93"/>
    </row>
    <row r="16" spans="1:253" ht="15" x14ac:dyDescent="0.25">
      <c r="A16" s="71"/>
      <c r="C16" s="92"/>
      <c r="D16" s="92"/>
      <c r="E16" s="92"/>
      <c r="F16" s="92"/>
      <c r="G16" s="92"/>
      <c r="H16" s="93"/>
    </row>
    <row r="17" spans="1:8" ht="15" x14ac:dyDescent="0.25">
      <c r="A17" s="93"/>
      <c r="B17" s="94"/>
      <c r="C17" s="92"/>
      <c r="D17" s="92"/>
      <c r="E17" s="92"/>
      <c r="F17" s="92"/>
      <c r="G17" s="92"/>
      <c r="H17" s="93"/>
    </row>
    <row r="18" spans="1:8" ht="15" x14ac:dyDescent="0.25">
      <c r="A18" s="93"/>
      <c r="B18" s="94"/>
      <c r="C18" s="92"/>
      <c r="D18" s="92"/>
      <c r="E18" s="92"/>
      <c r="F18" s="92"/>
      <c r="G18" s="92"/>
      <c r="H18" s="93"/>
    </row>
    <row r="19" spans="1:8" ht="15" x14ac:dyDescent="0.25">
      <c r="A19" s="71"/>
      <c r="C19" s="92"/>
      <c r="D19" s="92"/>
      <c r="E19" s="92"/>
      <c r="F19" s="92"/>
      <c r="G19" s="92"/>
      <c r="H19" s="93"/>
    </row>
    <row r="20" spans="1:8" ht="15" x14ac:dyDescent="0.25">
      <c r="A20" s="71"/>
      <c r="C20" s="92"/>
      <c r="D20" s="92"/>
      <c r="E20" s="92"/>
      <c r="F20" s="92"/>
      <c r="G20" s="92"/>
      <c r="H20" s="93"/>
    </row>
    <row r="21" spans="1:8" ht="15" x14ac:dyDescent="0.25">
      <c r="A21" s="71"/>
      <c r="C21" s="92"/>
      <c r="D21" s="92"/>
      <c r="E21" s="92"/>
      <c r="F21" s="92"/>
      <c r="G21" s="92"/>
      <c r="H21" s="93"/>
    </row>
    <row r="22" spans="1:8" ht="15" x14ac:dyDescent="0.25">
      <c r="A22" s="93"/>
      <c r="B22" s="94"/>
      <c r="C22" s="92"/>
      <c r="D22" s="92"/>
      <c r="E22" s="92"/>
      <c r="F22" s="92"/>
      <c r="G22" s="92"/>
      <c r="H22" s="93"/>
    </row>
    <row r="23" spans="1:8" ht="15" x14ac:dyDescent="0.25">
      <c r="A23" s="93"/>
      <c r="B23" s="94"/>
      <c r="C23" s="92"/>
      <c r="D23" s="92"/>
      <c r="E23" s="92"/>
      <c r="F23" s="92"/>
      <c r="G23" s="92"/>
      <c r="H23" s="93"/>
    </row>
    <row r="24" spans="1:8" ht="15" x14ac:dyDescent="0.25">
      <c r="A24" s="71"/>
      <c r="C24" s="92"/>
      <c r="D24" s="92"/>
      <c r="E24" s="92"/>
      <c r="F24" s="92"/>
      <c r="G24" s="92"/>
      <c r="H24" s="93"/>
    </row>
    <row r="25" spans="1:8" ht="15" x14ac:dyDescent="0.25">
      <c r="A25" s="71"/>
      <c r="C25" s="92"/>
      <c r="D25" s="92"/>
      <c r="E25" s="92"/>
      <c r="F25" s="92"/>
      <c r="G25" s="92"/>
      <c r="H25" s="93"/>
    </row>
    <row r="26" spans="1:8" ht="15" x14ac:dyDescent="0.25">
      <c r="A26" s="71"/>
      <c r="C26" s="92"/>
      <c r="D26" s="92"/>
      <c r="E26" s="92"/>
      <c r="F26" s="92"/>
      <c r="G26" s="92"/>
      <c r="H26" s="93"/>
    </row>
    <row r="27" spans="1:8" ht="15" x14ac:dyDescent="0.25">
      <c r="A27" s="93"/>
      <c r="B27" s="94"/>
      <c r="C27" s="92"/>
      <c r="D27" s="92"/>
      <c r="E27" s="92"/>
      <c r="F27" s="92"/>
      <c r="G27" s="92"/>
      <c r="H27" s="93"/>
    </row>
    <row r="28" spans="1:8" ht="15" x14ac:dyDescent="0.25">
      <c r="A28" s="93"/>
      <c r="B28" s="94"/>
      <c r="C28" s="92"/>
      <c r="D28" s="92"/>
      <c r="E28" s="92"/>
      <c r="F28" s="92"/>
      <c r="G28" s="92"/>
      <c r="H28" s="93"/>
    </row>
    <row r="29" spans="1:8" ht="15" x14ac:dyDescent="0.25">
      <c r="A29" s="93"/>
      <c r="B29" s="94"/>
      <c r="C29" s="92"/>
      <c r="D29" s="92"/>
      <c r="E29" s="92"/>
      <c r="F29" s="92"/>
      <c r="G29" s="92"/>
      <c r="H29" s="93"/>
    </row>
    <row r="30" spans="1:8" ht="15" x14ac:dyDescent="0.25">
      <c r="A30" s="93"/>
      <c r="B30" s="94"/>
      <c r="C30" s="92"/>
      <c r="D30" s="92"/>
      <c r="E30" s="92"/>
      <c r="F30" s="92"/>
      <c r="G30" s="92"/>
      <c r="H30" s="93"/>
    </row>
    <row r="31" spans="1:8" ht="15" x14ac:dyDescent="0.25">
      <c r="A31" s="93"/>
      <c r="B31" s="94"/>
      <c r="C31" s="92"/>
      <c r="D31" s="92"/>
      <c r="E31" s="92"/>
      <c r="F31" s="92"/>
      <c r="G31" s="92"/>
      <c r="H31" s="93"/>
    </row>
    <row r="32" spans="1:8" ht="15" x14ac:dyDescent="0.25">
      <c r="A32" s="93"/>
      <c r="B32" s="94"/>
      <c r="C32" s="92"/>
      <c r="D32" s="92"/>
      <c r="E32" s="92"/>
      <c r="F32" s="92"/>
      <c r="G32" s="92"/>
      <c r="H32" s="93"/>
    </row>
    <row r="33" spans="1:8" ht="15" x14ac:dyDescent="0.25">
      <c r="A33" s="93"/>
      <c r="B33" s="94"/>
      <c r="C33" s="92"/>
      <c r="D33" s="92"/>
      <c r="E33" s="92"/>
      <c r="F33" s="92"/>
      <c r="G33" s="92"/>
      <c r="H33" s="93"/>
    </row>
    <row r="34" spans="1:8" ht="15" x14ac:dyDescent="0.25">
      <c r="A34" s="93"/>
      <c r="B34" s="94"/>
      <c r="C34" s="92"/>
      <c r="D34" s="92"/>
      <c r="E34" s="92"/>
      <c r="F34" s="92"/>
      <c r="G34" s="92"/>
      <c r="H34" s="93"/>
    </row>
    <row r="35" spans="1:8" ht="15" x14ac:dyDescent="0.25">
      <c r="A35" s="93"/>
      <c r="B35" s="94"/>
      <c r="C35" s="92"/>
      <c r="D35" s="92"/>
      <c r="E35" s="92"/>
      <c r="F35" s="92"/>
      <c r="G35" s="92"/>
      <c r="H35" s="93"/>
    </row>
    <row r="36" spans="1:8" ht="15" x14ac:dyDescent="0.25">
      <c r="A36" s="93"/>
      <c r="B36" s="94"/>
      <c r="C36" s="92"/>
      <c r="D36" s="92"/>
      <c r="E36" s="92"/>
      <c r="F36" s="92"/>
      <c r="G36" s="92"/>
      <c r="H36" s="93"/>
    </row>
    <row r="37" spans="1:8" ht="15" x14ac:dyDescent="0.25">
      <c r="A37" s="93"/>
      <c r="B37" s="94"/>
      <c r="C37" s="92"/>
      <c r="D37" s="92"/>
      <c r="E37" s="92"/>
      <c r="F37" s="92"/>
      <c r="G37" s="92"/>
      <c r="H37" s="93"/>
    </row>
    <row r="38" spans="1:8" ht="15" x14ac:dyDescent="0.25">
      <c r="A38" s="93"/>
      <c r="B38" s="94"/>
      <c r="C38" s="92"/>
      <c r="D38" s="92"/>
      <c r="E38" s="92"/>
      <c r="F38" s="92"/>
      <c r="G38" s="92"/>
      <c r="H38" s="93"/>
    </row>
    <row r="39" spans="1:8" ht="15" x14ac:dyDescent="0.25">
      <c r="A39" s="93"/>
      <c r="B39" s="94"/>
      <c r="C39" s="92"/>
      <c r="D39" s="92"/>
      <c r="E39" s="92"/>
      <c r="F39" s="92"/>
      <c r="G39" s="92"/>
      <c r="H39" s="93"/>
    </row>
  </sheetData>
  <protectedRanges>
    <protectedRange sqref="E9:E11" name="Alue4"/>
    <protectedRange sqref="D9:D11" name="Alue3"/>
    <protectedRange sqref="C9:C11" name="Alue2"/>
    <protectedRange sqref="B9:B11" name="Alue1"/>
  </protectedRanges>
  <customSheetViews>
    <customSheetView guid="{C44CE6ED-446D-4E43-AC42-1BADDBA87353}">
      <pane ySplit="5" topLeftCell="A6" activePane="bottomLeft" state="frozen"/>
      <selection pane="bottomLeft" activeCell="E49" sqref="E49"/>
      <pageMargins left="0.75" right="0.75" top="1" bottom="1" header="0.4921259845" footer="0.4921259845"/>
      <pageSetup paperSize="9" orientation="portrait" r:id="rId1"/>
      <headerFooter alignWithMargins="0"/>
    </customSheetView>
    <customSheetView guid="{8386F830-B269-4ACC-A789-9E42C0FB51D1}">
      <pane ySplit="5" topLeftCell="A6" activePane="bottomLeft" state="frozen"/>
      <selection pane="bottomLeft" activeCell="B14" sqref="B14"/>
      <pageMargins left="0.75" right="0.75" top="1" bottom="1" header="0.4921259845" footer="0.4921259845"/>
      <pageSetup paperSize="9" orientation="portrait" r:id="rId2"/>
      <headerFooter alignWithMargins="0"/>
    </customSheetView>
  </customSheetViews>
  <phoneticPr fontId="0" type="noConversion"/>
  <pageMargins left="0.75" right="0.75" top="1" bottom="1" header="0.4921259845" footer="0.492125984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IV90"/>
  <sheetViews>
    <sheetView showGridLines="0" zoomScaleNormal="80" workbookViewId="0">
      <pane ySplit="5" topLeftCell="A6" activePane="bottomLeft" state="frozen"/>
      <selection activeCell="J20" sqref="J20"/>
      <selection pane="bottomLeft" activeCell="C41" sqref="C41"/>
    </sheetView>
  </sheetViews>
  <sheetFormatPr defaultColWidth="9.140625" defaultRowHeight="15" customHeight="1" x14ac:dyDescent="0.2"/>
  <cols>
    <col min="1" max="1" width="4.28515625" style="228" customWidth="1"/>
    <col min="2" max="2" width="4.42578125" style="220" customWidth="1"/>
    <col min="3" max="3" width="6.5703125" style="220" customWidth="1"/>
    <col min="4" max="4" width="6" style="220" customWidth="1"/>
    <col min="5" max="5" width="50.28515625" style="220" customWidth="1"/>
    <col min="6" max="6" width="16.28515625" style="198" customWidth="1"/>
    <col min="7" max="7" width="14.7109375" style="198" customWidth="1"/>
    <col min="8" max="8" width="15.5703125" style="198" customWidth="1"/>
    <col min="9" max="9" width="15" style="198" customWidth="1"/>
    <col min="10" max="10" width="78.28515625" style="160" customWidth="1"/>
    <col min="11" max="24" width="9.140625" style="198"/>
    <col min="25" max="16384" width="9.140625" style="214"/>
  </cols>
  <sheetData>
    <row r="1" spans="1:256" s="284" customFormat="1" ht="15" customHeight="1" x14ac:dyDescent="0.2">
      <c r="A1" s="267" t="s">
        <v>222</v>
      </c>
      <c r="B1" s="280"/>
      <c r="C1" s="280"/>
      <c r="D1" s="281"/>
      <c r="E1" s="281"/>
      <c r="F1" s="285" t="s">
        <v>220</v>
      </c>
    </row>
    <row r="2" spans="1:256" s="285" customFormat="1" ht="15" customHeight="1" x14ac:dyDescent="0.2">
      <c r="A2" s="286" t="s">
        <v>223</v>
      </c>
      <c r="B2" s="287"/>
      <c r="C2" s="288"/>
      <c r="D2" s="288"/>
      <c r="E2" s="288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</row>
    <row r="3" spans="1:256" s="284" customFormat="1" ht="15" customHeight="1" x14ac:dyDescent="0.2">
      <c r="A3" s="289"/>
      <c r="B3" s="290"/>
      <c r="C3" s="291"/>
      <c r="D3" s="281"/>
      <c r="E3" s="281"/>
    </row>
    <row r="4" spans="1:256" s="284" customFormat="1" ht="15" customHeight="1" x14ac:dyDescent="0.2">
      <c r="A4" s="292"/>
      <c r="B4" s="293"/>
      <c r="D4" s="281"/>
      <c r="E4" s="281"/>
      <c r="F4" s="294"/>
    </row>
    <row r="5" spans="1:256" s="284" customFormat="1" ht="15" customHeight="1" x14ac:dyDescent="0.2">
      <c r="A5" s="267" t="s">
        <v>42</v>
      </c>
      <c r="B5" s="280"/>
      <c r="C5" s="280"/>
      <c r="D5" s="281"/>
      <c r="E5" s="281"/>
      <c r="F5" s="282">
        <v>2020</v>
      </c>
      <c r="G5" s="283">
        <v>2021</v>
      </c>
      <c r="H5" s="283">
        <v>2022</v>
      </c>
      <c r="I5" s="283">
        <v>2023</v>
      </c>
      <c r="J5" s="283" t="s">
        <v>167</v>
      </c>
    </row>
    <row r="6" spans="1:256" s="198" customFormat="1" ht="15" customHeight="1" x14ac:dyDescent="0.25">
      <c r="C6" s="200"/>
      <c r="D6" s="201"/>
      <c r="E6" s="201"/>
      <c r="F6" s="202"/>
      <c r="G6" s="199"/>
      <c r="H6" s="199"/>
      <c r="I6" s="199"/>
      <c r="J6" s="99"/>
      <c r="K6" s="199"/>
    </row>
    <row r="7" spans="1:256" s="198" customFormat="1" ht="15" customHeight="1" x14ac:dyDescent="0.3">
      <c r="C7" s="200"/>
      <c r="D7" s="201"/>
      <c r="E7" s="203"/>
      <c r="F7" s="202"/>
      <c r="G7" s="199"/>
      <c r="H7" s="199"/>
      <c r="I7" s="199"/>
      <c r="J7" s="99"/>
      <c r="K7" s="199"/>
    </row>
    <row r="8" spans="1:256" s="211" customFormat="1" ht="15" customHeight="1" x14ac:dyDescent="0.25">
      <c r="A8" s="205"/>
      <c r="B8" s="206"/>
      <c r="C8" s="207"/>
      <c r="D8" s="208"/>
      <c r="E8" s="208"/>
      <c r="F8" s="209" t="s">
        <v>149</v>
      </c>
      <c r="G8" s="209" t="s">
        <v>149</v>
      </c>
      <c r="H8" s="209" t="s">
        <v>149</v>
      </c>
      <c r="I8" s="209" t="s">
        <v>149</v>
      </c>
      <c r="J8" s="66"/>
      <c r="K8" s="210"/>
    </row>
    <row r="9" spans="1:256" ht="15" customHeight="1" x14ac:dyDescent="0.25">
      <c r="A9" s="117" t="s">
        <v>151</v>
      </c>
      <c r="B9" s="122" t="s">
        <v>2</v>
      </c>
      <c r="C9" s="212"/>
      <c r="D9" s="212"/>
      <c r="E9" s="212"/>
      <c r="F9" s="213">
        <f>F10+F17+F22</f>
        <v>0</v>
      </c>
      <c r="G9" s="213">
        <f>G10+G17+G22</f>
        <v>0</v>
      </c>
      <c r="H9" s="213">
        <f>H10+H17+H22</f>
        <v>0</v>
      </c>
      <c r="I9" s="213">
        <f>I10+I17+I22</f>
        <v>0</v>
      </c>
      <c r="J9" s="170"/>
      <c r="K9" s="199"/>
    </row>
    <row r="10" spans="1:256" ht="15" customHeight="1" x14ac:dyDescent="0.25">
      <c r="A10" s="117" t="s">
        <v>151</v>
      </c>
      <c r="B10" s="119" t="s">
        <v>152</v>
      </c>
      <c r="C10" s="212"/>
      <c r="D10" s="212"/>
      <c r="E10" s="212"/>
      <c r="F10" s="215">
        <f>SUM(F11:F12)+F14+F16</f>
        <v>0</v>
      </c>
      <c r="G10" s="215">
        <f>SUM(G11:G12)+G14+G16</f>
        <v>0</v>
      </c>
      <c r="H10" s="215">
        <f>SUM(H11:H12)+H14+H16</f>
        <v>0</v>
      </c>
      <c r="I10" s="215">
        <f>SUM(I11:I12)+I14+I16</f>
        <v>0</v>
      </c>
      <c r="J10" s="170"/>
      <c r="K10" s="199"/>
    </row>
    <row r="11" spans="1:256" ht="15" customHeight="1" x14ac:dyDescent="0.25">
      <c r="A11" s="117"/>
      <c r="B11" s="216" t="s">
        <v>16</v>
      </c>
      <c r="C11" s="71" t="s">
        <v>17</v>
      </c>
      <c r="D11" s="212"/>
      <c r="E11" s="212"/>
      <c r="F11" s="217"/>
      <c r="G11" s="217"/>
      <c r="H11" s="217"/>
      <c r="I11" s="217"/>
      <c r="J11" s="170"/>
      <c r="K11" s="199"/>
    </row>
    <row r="12" spans="1:256" ht="15" customHeight="1" x14ac:dyDescent="0.25">
      <c r="A12" s="117"/>
      <c r="B12" s="216" t="s">
        <v>16</v>
      </c>
      <c r="C12" s="71" t="s">
        <v>48</v>
      </c>
      <c r="D12" s="212"/>
      <c r="E12" s="212"/>
      <c r="F12" s="103"/>
      <c r="G12" s="103"/>
      <c r="H12" s="103"/>
      <c r="I12" s="103"/>
      <c r="J12" s="170"/>
      <c r="K12" s="199"/>
    </row>
    <row r="13" spans="1:256" ht="15" customHeight="1" x14ac:dyDescent="0.25">
      <c r="A13" s="117"/>
      <c r="B13" s="216"/>
      <c r="C13" s="71"/>
      <c r="D13" s="124" t="s">
        <v>154</v>
      </c>
      <c r="E13" s="212"/>
      <c r="F13" s="103"/>
      <c r="G13" s="103"/>
      <c r="H13" s="103"/>
      <c r="I13" s="103"/>
      <c r="J13" s="170"/>
      <c r="K13" s="199"/>
    </row>
    <row r="14" spans="1:256" ht="15" customHeight="1" x14ac:dyDescent="0.25">
      <c r="A14" s="117"/>
      <c r="B14" s="216" t="s">
        <v>16</v>
      </c>
      <c r="C14" s="120" t="s">
        <v>49</v>
      </c>
      <c r="D14" s="212"/>
      <c r="E14" s="212"/>
      <c r="F14" s="103"/>
      <c r="G14" s="103"/>
      <c r="H14" s="103"/>
      <c r="I14" s="103"/>
      <c r="J14" s="170"/>
      <c r="K14" s="199"/>
    </row>
    <row r="15" spans="1:256" s="198" customFormat="1" x14ac:dyDescent="0.25">
      <c r="A15" s="117"/>
      <c r="B15" s="216"/>
      <c r="D15" s="72" t="s">
        <v>153</v>
      </c>
      <c r="E15" s="212"/>
      <c r="F15" s="121"/>
      <c r="G15" s="121"/>
      <c r="H15" s="121"/>
      <c r="I15" s="121"/>
      <c r="J15" s="170"/>
      <c r="K15" s="199"/>
    </row>
    <row r="16" spans="1:256" ht="15" customHeight="1" x14ac:dyDescent="0.25">
      <c r="A16" s="117"/>
      <c r="B16" s="216" t="s">
        <v>16</v>
      </c>
      <c r="C16" s="120" t="s">
        <v>109</v>
      </c>
      <c r="D16" s="212"/>
      <c r="E16" s="212"/>
      <c r="F16" s="103"/>
      <c r="G16" s="103"/>
      <c r="H16" s="103"/>
      <c r="I16" s="103"/>
      <c r="J16" s="170"/>
      <c r="K16" s="199"/>
    </row>
    <row r="17" spans="1:11" ht="15" customHeight="1" x14ac:dyDescent="0.25">
      <c r="A17" s="117" t="s">
        <v>151</v>
      </c>
      <c r="B17" s="218" t="s">
        <v>159</v>
      </c>
      <c r="C17" s="219"/>
      <c r="D17" s="212"/>
      <c r="E17" s="212"/>
      <c r="F17" s="215">
        <f>SUM(F18+F19+F21)</f>
        <v>0</v>
      </c>
      <c r="G17" s="215">
        <f>SUM(G18+G19+G21)</f>
        <v>0</v>
      </c>
      <c r="H17" s="215">
        <f>SUM(H18+H19+H21)</f>
        <v>0</v>
      </c>
      <c r="I17" s="215">
        <f>SUM(I18+I19+I21)</f>
        <v>0</v>
      </c>
      <c r="J17" s="170"/>
      <c r="K17" s="199"/>
    </row>
    <row r="18" spans="1:11" ht="15" customHeight="1" x14ac:dyDescent="0.25">
      <c r="A18" s="117"/>
      <c r="B18" s="216" t="s">
        <v>16</v>
      </c>
      <c r="C18" s="71" t="s">
        <v>50</v>
      </c>
      <c r="D18" s="212"/>
      <c r="E18" s="212"/>
      <c r="F18" s="103"/>
      <c r="G18" s="103"/>
      <c r="H18" s="103"/>
      <c r="I18" s="103"/>
      <c r="J18" s="170"/>
      <c r="K18" s="199"/>
    </row>
    <row r="19" spans="1:11" ht="15" customHeight="1" x14ac:dyDescent="0.25">
      <c r="A19" s="117"/>
      <c r="B19" s="216" t="s">
        <v>16</v>
      </c>
      <c r="C19" s="120" t="s">
        <v>51</v>
      </c>
      <c r="D19" s="212"/>
      <c r="E19" s="212"/>
      <c r="F19" s="103"/>
      <c r="G19" s="103"/>
      <c r="H19" s="103"/>
      <c r="I19" s="103"/>
      <c r="J19" s="170"/>
      <c r="K19" s="199"/>
    </row>
    <row r="20" spans="1:11" x14ac:dyDescent="0.25">
      <c r="A20" s="117"/>
      <c r="B20" s="216"/>
      <c r="D20" s="72" t="s">
        <v>155</v>
      </c>
      <c r="E20" s="212"/>
      <c r="F20" s="103"/>
      <c r="G20" s="103"/>
      <c r="H20" s="103"/>
      <c r="I20" s="103"/>
      <c r="J20" s="170"/>
      <c r="K20" s="199"/>
    </row>
    <row r="21" spans="1:11" ht="15" customHeight="1" x14ac:dyDescent="0.25">
      <c r="A21" s="117"/>
      <c r="B21" s="216" t="s">
        <v>16</v>
      </c>
      <c r="C21" s="120" t="s">
        <v>54</v>
      </c>
      <c r="D21" s="212"/>
      <c r="E21" s="212"/>
      <c r="F21" s="103"/>
      <c r="G21" s="103"/>
      <c r="H21" s="103"/>
      <c r="I21" s="103"/>
      <c r="J21" s="170"/>
      <c r="K21" s="199"/>
    </row>
    <row r="22" spans="1:11" ht="15" customHeight="1" x14ac:dyDescent="0.25">
      <c r="A22" s="117" t="s">
        <v>16</v>
      </c>
      <c r="B22" s="118" t="s">
        <v>3</v>
      </c>
      <c r="C22" s="212"/>
      <c r="D22" s="212"/>
      <c r="E22" s="212"/>
      <c r="F22" s="217"/>
      <c r="G22" s="217"/>
      <c r="H22" s="217"/>
      <c r="I22" s="217"/>
      <c r="J22" s="170"/>
      <c r="K22" s="199"/>
    </row>
    <row r="23" spans="1:11" ht="15" customHeight="1" x14ac:dyDescent="0.25">
      <c r="A23" s="117" t="s">
        <v>151</v>
      </c>
      <c r="B23" s="123" t="s">
        <v>4</v>
      </c>
      <c r="C23" s="221"/>
      <c r="D23" s="212"/>
      <c r="E23" s="212"/>
      <c r="F23" s="125">
        <f>F24+F25+F34+F35</f>
        <v>0</v>
      </c>
      <c r="G23" s="125">
        <f t="shared" ref="G23:I23" si="0">G24+G25+G34+G35</f>
        <v>0</v>
      </c>
      <c r="H23" s="125">
        <f t="shared" si="0"/>
        <v>0</v>
      </c>
      <c r="I23" s="125">
        <f t="shared" si="0"/>
        <v>0</v>
      </c>
      <c r="J23" s="170"/>
      <c r="K23" s="199"/>
    </row>
    <row r="24" spans="1:11" ht="15" customHeight="1" x14ac:dyDescent="0.25">
      <c r="A24" s="117" t="s">
        <v>16</v>
      </c>
      <c r="B24" s="120" t="s">
        <v>5</v>
      </c>
      <c r="C24" s="221"/>
      <c r="D24" s="212"/>
      <c r="E24" s="212"/>
      <c r="F24" s="103"/>
      <c r="G24" s="103"/>
      <c r="H24" s="103"/>
      <c r="I24" s="103"/>
      <c r="J24" s="170"/>
      <c r="K24" s="199"/>
    </row>
    <row r="25" spans="1:11" ht="15" customHeight="1" x14ac:dyDescent="0.25">
      <c r="A25" s="117" t="s">
        <v>151</v>
      </c>
      <c r="B25" s="72" t="s">
        <v>18</v>
      </c>
      <c r="C25" s="221"/>
      <c r="D25" s="212"/>
      <c r="E25" s="212"/>
      <c r="F25" s="105">
        <f>F26+F30</f>
        <v>0</v>
      </c>
      <c r="G25" s="105">
        <f t="shared" ref="G25:I25" si="1">G26+G30</f>
        <v>0</v>
      </c>
      <c r="H25" s="105">
        <f t="shared" si="1"/>
        <v>0</v>
      </c>
      <c r="I25" s="105">
        <f t="shared" si="1"/>
        <v>0</v>
      </c>
      <c r="J25" s="170"/>
      <c r="K25" s="199"/>
    </row>
    <row r="26" spans="1:11" ht="15" customHeight="1" x14ac:dyDescent="0.25">
      <c r="A26" s="117"/>
      <c r="B26" s="222" t="s">
        <v>151</v>
      </c>
      <c r="C26" s="163" t="s">
        <v>61</v>
      </c>
      <c r="D26" s="212"/>
      <c r="E26" s="212"/>
      <c r="F26" s="125">
        <f>SUM(F27:F29)</f>
        <v>0</v>
      </c>
      <c r="G26" s="125">
        <f t="shared" ref="G26:I26" si="2">SUM(G27:G29)</f>
        <v>0</v>
      </c>
      <c r="H26" s="125">
        <f t="shared" si="2"/>
        <v>0</v>
      </c>
      <c r="I26" s="125">
        <f t="shared" si="2"/>
        <v>0</v>
      </c>
      <c r="J26" s="170"/>
      <c r="K26" s="199"/>
    </row>
    <row r="27" spans="1:11" ht="15" customHeight="1" x14ac:dyDescent="0.25">
      <c r="A27" s="117"/>
      <c r="B27" s="216"/>
      <c r="C27" s="223" t="s">
        <v>16</v>
      </c>
      <c r="D27" s="124" t="s">
        <v>87</v>
      </c>
      <c r="E27" s="212"/>
      <c r="F27" s="103"/>
      <c r="G27" s="110"/>
      <c r="H27" s="110"/>
      <c r="I27" s="110"/>
      <c r="J27" s="170"/>
      <c r="K27" s="199"/>
    </row>
    <row r="28" spans="1:11" ht="15" customHeight="1" x14ac:dyDescent="0.25">
      <c r="A28" s="117"/>
      <c r="B28" s="216"/>
      <c r="C28" s="223" t="s">
        <v>16</v>
      </c>
      <c r="D28" s="124" t="s">
        <v>88</v>
      </c>
      <c r="E28" s="212"/>
      <c r="F28" s="103"/>
      <c r="G28" s="110"/>
      <c r="H28" s="110"/>
      <c r="I28" s="110"/>
      <c r="J28" s="170"/>
      <c r="K28" s="199"/>
    </row>
    <row r="29" spans="1:11" ht="15" customHeight="1" x14ac:dyDescent="0.25">
      <c r="A29" s="117"/>
      <c r="B29" s="216"/>
      <c r="C29" s="223" t="s">
        <v>16</v>
      </c>
      <c r="D29" s="124" t="s">
        <v>89</v>
      </c>
      <c r="E29" s="212"/>
      <c r="F29" s="103"/>
      <c r="G29" s="103"/>
      <c r="H29" s="103"/>
      <c r="I29" s="103"/>
      <c r="J29" s="170"/>
      <c r="K29" s="199"/>
    </row>
    <row r="30" spans="1:11" ht="15" customHeight="1" x14ac:dyDescent="0.25">
      <c r="A30" s="224"/>
      <c r="B30" s="161" t="s">
        <v>151</v>
      </c>
      <c r="C30" s="225" t="s">
        <v>62</v>
      </c>
      <c r="D30" s="212"/>
      <c r="E30" s="212"/>
      <c r="F30" s="125">
        <f>SUM(F31:F33)</f>
        <v>0</v>
      </c>
      <c r="G30" s="125">
        <f t="shared" ref="G30:I30" si="3">SUM(G31:G33)</f>
        <v>0</v>
      </c>
      <c r="H30" s="125">
        <f t="shared" si="3"/>
        <v>0</v>
      </c>
      <c r="I30" s="125">
        <f t="shared" si="3"/>
        <v>0</v>
      </c>
      <c r="J30" s="170"/>
      <c r="K30" s="199"/>
    </row>
    <row r="31" spans="1:11" ht="15" customHeight="1" x14ac:dyDescent="0.25">
      <c r="A31" s="117"/>
      <c r="B31" s="224"/>
      <c r="C31" s="216" t="s">
        <v>16</v>
      </c>
      <c r="D31" s="124" t="s">
        <v>87</v>
      </c>
      <c r="E31" s="212"/>
      <c r="F31" s="103"/>
      <c r="G31" s="103"/>
      <c r="H31" s="103"/>
      <c r="I31" s="103"/>
      <c r="J31" s="170"/>
      <c r="K31" s="199"/>
    </row>
    <row r="32" spans="1:11" ht="15" customHeight="1" x14ac:dyDescent="0.25">
      <c r="A32" s="117"/>
      <c r="B32" s="224"/>
      <c r="C32" s="216" t="s">
        <v>16</v>
      </c>
      <c r="D32" s="124" t="s">
        <v>88</v>
      </c>
      <c r="E32" s="212"/>
      <c r="F32" s="103"/>
      <c r="G32" s="103"/>
      <c r="H32" s="103"/>
      <c r="I32" s="103"/>
      <c r="J32" s="170"/>
      <c r="K32" s="199"/>
    </row>
    <row r="33" spans="1:11" ht="15" customHeight="1" x14ac:dyDescent="0.25">
      <c r="A33" s="117"/>
      <c r="B33" s="224"/>
      <c r="C33" s="216" t="s">
        <v>16</v>
      </c>
      <c r="D33" s="124" t="s">
        <v>89</v>
      </c>
      <c r="E33" s="212"/>
      <c r="F33" s="103"/>
      <c r="G33" s="103"/>
      <c r="H33" s="103"/>
      <c r="I33" s="103"/>
      <c r="J33" s="170"/>
      <c r="K33" s="199"/>
    </row>
    <row r="34" spans="1:11" ht="15" customHeight="1" x14ac:dyDescent="0.25">
      <c r="A34" s="117" t="s">
        <v>16</v>
      </c>
      <c r="B34" s="120" t="s">
        <v>6</v>
      </c>
      <c r="C34" s="212"/>
      <c r="D34" s="212"/>
      <c r="E34" s="212"/>
      <c r="F34" s="103"/>
      <c r="G34" s="109"/>
      <c r="H34" s="109"/>
      <c r="I34" s="109"/>
      <c r="J34" s="170"/>
      <c r="K34" s="199"/>
    </row>
    <row r="35" spans="1:11" ht="15" customHeight="1" x14ac:dyDescent="0.25">
      <c r="A35" s="117" t="s">
        <v>16</v>
      </c>
      <c r="B35" s="120" t="s">
        <v>8</v>
      </c>
      <c r="C35" s="212"/>
      <c r="D35" s="212"/>
      <c r="E35" s="212"/>
      <c r="F35" s="217"/>
      <c r="G35" s="217"/>
      <c r="H35" s="217"/>
      <c r="I35" s="217"/>
      <c r="J35" s="170"/>
      <c r="K35" s="199"/>
    </row>
    <row r="36" spans="1:11" ht="15" customHeight="1" x14ac:dyDescent="0.25">
      <c r="A36" s="117" t="s">
        <v>151</v>
      </c>
      <c r="B36" s="123" t="s">
        <v>7</v>
      </c>
      <c r="C36" s="212"/>
      <c r="D36" s="212"/>
      <c r="E36" s="212"/>
      <c r="F36" s="105">
        <f>F9+F23</f>
        <v>0</v>
      </c>
      <c r="G36" s="105">
        <f>G9+G23</f>
        <v>0</v>
      </c>
      <c r="H36" s="105">
        <f>H9+H23</f>
        <v>0</v>
      </c>
      <c r="I36" s="105">
        <f>I9+I23</f>
        <v>0</v>
      </c>
      <c r="J36" s="170"/>
      <c r="K36" s="199"/>
    </row>
    <row r="37" spans="1:11" ht="15" customHeight="1" x14ac:dyDescent="0.25">
      <c r="A37" s="216"/>
      <c r="B37" s="212"/>
      <c r="C37" s="212"/>
      <c r="D37" s="212"/>
      <c r="E37" s="212"/>
      <c r="F37" s="199"/>
      <c r="G37" s="199"/>
      <c r="H37" s="199"/>
      <c r="I37" s="199"/>
      <c r="J37" s="226"/>
      <c r="K37" s="199"/>
    </row>
    <row r="38" spans="1:11" ht="15" customHeight="1" x14ac:dyDescent="0.25">
      <c r="A38" s="117"/>
      <c r="B38" s="212"/>
      <c r="C38" s="212"/>
      <c r="D38" s="212"/>
      <c r="E38" s="212"/>
      <c r="F38" s="199"/>
      <c r="G38" s="199"/>
      <c r="H38" s="199"/>
      <c r="I38" s="199"/>
      <c r="J38" s="226"/>
      <c r="K38" s="199"/>
    </row>
    <row r="39" spans="1:11" ht="15" customHeight="1" x14ac:dyDescent="0.25">
      <c r="A39" s="117"/>
      <c r="B39" s="118"/>
      <c r="C39" s="212"/>
      <c r="D39" s="212"/>
      <c r="E39" s="212"/>
      <c r="F39" s="199"/>
      <c r="G39" s="199"/>
      <c r="H39" s="199"/>
      <c r="I39" s="199"/>
      <c r="J39" s="226"/>
      <c r="K39" s="199"/>
    </row>
    <row r="40" spans="1:11" ht="15" customHeight="1" x14ac:dyDescent="0.25">
      <c r="A40" s="117"/>
      <c r="B40" s="212"/>
      <c r="C40" s="212"/>
      <c r="D40" s="212"/>
      <c r="E40" s="212"/>
      <c r="F40" s="199"/>
      <c r="G40" s="199"/>
      <c r="H40" s="199"/>
      <c r="I40" s="199"/>
      <c r="J40" s="226"/>
      <c r="K40" s="199"/>
    </row>
    <row r="41" spans="1:11" ht="15" customHeight="1" x14ac:dyDescent="0.25">
      <c r="A41" s="117"/>
      <c r="B41" s="212"/>
      <c r="C41" s="212"/>
      <c r="D41" s="212"/>
      <c r="E41" s="212"/>
      <c r="F41" s="199"/>
      <c r="G41" s="199"/>
      <c r="H41" s="199"/>
      <c r="I41" s="199"/>
      <c r="J41" s="226"/>
      <c r="K41" s="199"/>
    </row>
    <row r="42" spans="1:11" ht="15" customHeight="1" x14ac:dyDescent="0.25">
      <c r="A42" s="227"/>
      <c r="J42" s="226"/>
    </row>
    <row r="43" spans="1:11" ht="15" customHeight="1" x14ac:dyDescent="0.25">
      <c r="A43" s="227"/>
      <c r="J43" s="226"/>
    </row>
    <row r="44" spans="1:11" ht="15" customHeight="1" x14ac:dyDescent="0.25">
      <c r="J44" s="226"/>
    </row>
    <row r="45" spans="1:11" ht="15" customHeight="1" x14ac:dyDescent="0.25">
      <c r="J45" s="226"/>
    </row>
    <row r="46" spans="1:11" ht="15" customHeight="1" x14ac:dyDescent="0.25">
      <c r="J46" s="226"/>
    </row>
    <row r="47" spans="1:11" ht="15" customHeight="1" x14ac:dyDescent="0.25">
      <c r="J47" s="226"/>
    </row>
    <row r="48" spans="1:11" ht="15" customHeight="1" x14ac:dyDescent="0.25">
      <c r="J48" s="226"/>
    </row>
    <row r="49" spans="10:10" ht="15" customHeight="1" x14ac:dyDescent="0.25">
      <c r="J49" s="226"/>
    </row>
    <row r="50" spans="10:10" ht="15" customHeight="1" x14ac:dyDescent="0.25">
      <c r="J50" s="226"/>
    </row>
    <row r="51" spans="10:10" ht="15" customHeight="1" x14ac:dyDescent="0.25">
      <c r="J51" s="226"/>
    </row>
    <row r="52" spans="10:10" ht="15" customHeight="1" x14ac:dyDescent="0.25">
      <c r="J52" s="226"/>
    </row>
    <row r="53" spans="10:10" ht="15" customHeight="1" x14ac:dyDescent="0.25">
      <c r="J53" s="226"/>
    </row>
    <row r="54" spans="10:10" ht="15" customHeight="1" x14ac:dyDescent="0.25">
      <c r="J54" s="226"/>
    </row>
    <row r="55" spans="10:10" ht="15" customHeight="1" x14ac:dyDescent="0.25">
      <c r="J55" s="226"/>
    </row>
    <row r="56" spans="10:10" ht="15" customHeight="1" x14ac:dyDescent="0.25">
      <c r="J56" s="226"/>
    </row>
    <row r="57" spans="10:10" ht="15" customHeight="1" x14ac:dyDescent="0.25">
      <c r="J57" s="226"/>
    </row>
    <row r="58" spans="10:10" ht="15" customHeight="1" x14ac:dyDescent="0.25">
      <c r="J58" s="226"/>
    </row>
    <row r="59" spans="10:10" ht="15" customHeight="1" x14ac:dyDescent="0.25">
      <c r="J59" s="226"/>
    </row>
    <row r="60" spans="10:10" ht="15" customHeight="1" x14ac:dyDescent="0.25">
      <c r="J60" s="226"/>
    </row>
    <row r="61" spans="10:10" ht="15" customHeight="1" x14ac:dyDescent="0.25">
      <c r="J61" s="226"/>
    </row>
    <row r="62" spans="10:10" ht="15" customHeight="1" x14ac:dyDescent="0.25">
      <c r="J62" s="226"/>
    </row>
    <row r="63" spans="10:10" ht="15" customHeight="1" x14ac:dyDescent="0.25">
      <c r="J63" s="226"/>
    </row>
    <row r="64" spans="10:10" ht="15" customHeight="1" x14ac:dyDescent="0.25">
      <c r="J64" s="226"/>
    </row>
    <row r="65" spans="10:10" ht="15" customHeight="1" x14ac:dyDescent="0.25">
      <c r="J65" s="226"/>
    </row>
    <row r="66" spans="10:10" ht="15" customHeight="1" x14ac:dyDescent="0.25">
      <c r="J66" s="226"/>
    </row>
    <row r="67" spans="10:10" ht="15" customHeight="1" x14ac:dyDescent="0.25">
      <c r="J67" s="226"/>
    </row>
    <row r="68" spans="10:10" ht="15" customHeight="1" x14ac:dyDescent="0.25">
      <c r="J68" s="226"/>
    </row>
    <row r="69" spans="10:10" ht="15" customHeight="1" x14ac:dyDescent="0.25">
      <c r="J69" s="226"/>
    </row>
    <row r="70" spans="10:10" ht="15" customHeight="1" x14ac:dyDescent="0.25">
      <c r="J70" s="226"/>
    </row>
    <row r="71" spans="10:10" ht="15" customHeight="1" x14ac:dyDescent="0.25">
      <c r="J71" s="226"/>
    </row>
    <row r="72" spans="10:10" ht="15" customHeight="1" x14ac:dyDescent="0.25">
      <c r="J72" s="226"/>
    </row>
    <row r="73" spans="10:10" ht="15" customHeight="1" x14ac:dyDescent="0.25">
      <c r="J73" s="226"/>
    </row>
    <row r="74" spans="10:10" ht="15" customHeight="1" x14ac:dyDescent="0.25">
      <c r="J74" s="226"/>
    </row>
    <row r="75" spans="10:10" ht="15" customHeight="1" x14ac:dyDescent="0.25">
      <c r="J75" s="226"/>
    </row>
    <row r="76" spans="10:10" ht="15" customHeight="1" x14ac:dyDescent="0.25">
      <c r="J76" s="226"/>
    </row>
    <row r="77" spans="10:10" ht="15" customHeight="1" x14ac:dyDescent="0.25">
      <c r="J77" s="226"/>
    </row>
    <row r="78" spans="10:10" ht="15" customHeight="1" x14ac:dyDescent="0.25">
      <c r="J78" s="226"/>
    </row>
    <row r="79" spans="10:10" ht="15" customHeight="1" x14ac:dyDescent="0.25">
      <c r="J79" s="226"/>
    </row>
    <row r="80" spans="10:10" ht="15" customHeight="1" x14ac:dyDescent="0.25">
      <c r="J80" s="226"/>
    </row>
    <row r="81" spans="10:10" ht="15" customHeight="1" x14ac:dyDescent="0.25">
      <c r="J81" s="226"/>
    </row>
    <row r="82" spans="10:10" ht="15" customHeight="1" x14ac:dyDescent="0.25">
      <c r="J82" s="226"/>
    </row>
    <row r="83" spans="10:10" ht="15" customHeight="1" x14ac:dyDescent="0.25">
      <c r="J83" s="226"/>
    </row>
    <row r="84" spans="10:10" ht="15" customHeight="1" x14ac:dyDescent="0.25">
      <c r="J84" s="226"/>
    </row>
    <row r="85" spans="10:10" ht="15" customHeight="1" x14ac:dyDescent="0.25">
      <c r="J85" s="226"/>
    </row>
    <row r="86" spans="10:10" ht="15" customHeight="1" x14ac:dyDescent="0.25">
      <c r="J86" s="226"/>
    </row>
    <row r="87" spans="10:10" ht="15" customHeight="1" x14ac:dyDescent="0.25">
      <c r="J87" s="226"/>
    </row>
    <row r="88" spans="10:10" ht="15" customHeight="1" x14ac:dyDescent="0.25">
      <c r="J88" s="99"/>
    </row>
    <row r="89" spans="10:10" ht="15" customHeight="1" x14ac:dyDescent="0.25">
      <c r="J89" s="99"/>
    </row>
    <row r="90" spans="10:10" ht="15" customHeight="1" x14ac:dyDescent="0.25">
      <c r="J90" s="99"/>
    </row>
  </sheetData>
  <protectedRanges>
    <protectedRange sqref="F31:I35" name="Alue5"/>
    <protectedRange sqref="F27:I29" name="Alue4"/>
    <protectedRange sqref="F24:I24" name="Alue3"/>
    <protectedRange sqref="F18:I22" name="Alue2"/>
    <protectedRange sqref="F11:I16" name="Alue1"/>
  </protectedRanges>
  <pageMargins left="0.39370078740157483" right="0.35433070866141736" top="0.39370078740157483" bottom="0.39370078740157483" header="0.31496062992125984" footer="0.27559055118110237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V95"/>
  <sheetViews>
    <sheetView showGridLines="0" zoomScaleNormal="100" workbookViewId="0">
      <pane ySplit="5" topLeftCell="A6" activePane="bottomLeft" state="frozen"/>
      <selection pane="bottomLeft" activeCell="D52" sqref="D52"/>
    </sheetView>
  </sheetViews>
  <sheetFormatPr defaultColWidth="9.140625" defaultRowHeight="15" customHeight="1" x14ac:dyDescent="0.2"/>
  <cols>
    <col min="1" max="1" width="4" style="228" customWidth="1"/>
    <col min="2" max="2" width="4.42578125" style="220" customWidth="1"/>
    <col min="3" max="3" width="5.5703125" style="220" customWidth="1"/>
    <col min="4" max="4" width="3.42578125" style="220" customWidth="1"/>
    <col min="5" max="5" width="44.42578125" style="220" customWidth="1"/>
    <col min="6" max="6" width="12.5703125" style="198" customWidth="1"/>
    <col min="7" max="7" width="12.140625" style="214" customWidth="1"/>
    <col min="8" max="9" width="13.140625" style="214" customWidth="1"/>
    <col min="10" max="10" width="78.28515625" style="160" customWidth="1"/>
    <col min="11" max="16384" width="9.140625" style="214"/>
  </cols>
  <sheetData>
    <row r="1" spans="1:256" s="284" customFormat="1" ht="15" customHeight="1" x14ac:dyDescent="0.2">
      <c r="A1" s="267" t="s">
        <v>222</v>
      </c>
      <c r="B1" s="280"/>
      <c r="C1" s="280"/>
      <c r="D1" s="281"/>
      <c r="E1" s="281"/>
      <c r="F1" s="285" t="s">
        <v>221</v>
      </c>
    </row>
    <row r="2" spans="1:256" s="285" customFormat="1" ht="15" customHeight="1" x14ac:dyDescent="0.2">
      <c r="A2" s="286" t="s">
        <v>223</v>
      </c>
      <c r="B2" s="287"/>
      <c r="C2" s="288"/>
      <c r="D2" s="288"/>
      <c r="E2" s="288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</row>
    <row r="3" spans="1:256" s="284" customFormat="1" ht="15" customHeight="1" x14ac:dyDescent="0.2">
      <c r="A3" s="289"/>
      <c r="B3" s="290"/>
      <c r="C3" s="291"/>
      <c r="D3" s="281"/>
      <c r="E3" s="281"/>
    </row>
    <row r="4" spans="1:256" s="284" customFormat="1" ht="15" customHeight="1" x14ac:dyDescent="0.2">
      <c r="A4" s="292"/>
      <c r="B4" s="293"/>
      <c r="D4" s="281"/>
      <c r="E4" s="281"/>
      <c r="F4" s="294"/>
    </row>
    <row r="5" spans="1:256" s="284" customFormat="1" ht="15" customHeight="1" x14ac:dyDescent="0.2">
      <c r="A5" s="267" t="s">
        <v>42</v>
      </c>
      <c r="B5" s="280"/>
      <c r="C5" s="280"/>
      <c r="D5" s="281"/>
      <c r="E5" s="281"/>
      <c r="F5" s="282">
        <v>2020</v>
      </c>
      <c r="G5" s="283">
        <v>2021</v>
      </c>
      <c r="H5" s="283">
        <v>2022</v>
      </c>
      <c r="I5" s="283">
        <v>2023</v>
      </c>
      <c r="J5" s="283" t="s">
        <v>167</v>
      </c>
    </row>
    <row r="6" spans="1:256" s="198" customFormat="1" ht="15" customHeight="1" x14ac:dyDescent="0.25">
      <c r="C6" s="200"/>
      <c r="D6" s="200"/>
      <c r="E6" s="200"/>
      <c r="F6" s="202"/>
      <c r="G6" s="199"/>
      <c r="H6" s="199"/>
      <c r="I6" s="199"/>
      <c r="J6" s="99"/>
      <c r="K6" s="199"/>
    </row>
    <row r="7" spans="1:256" s="198" customFormat="1" ht="15" customHeight="1" x14ac:dyDescent="0.3">
      <c r="B7" s="204"/>
      <c r="C7" s="200"/>
      <c r="D7" s="200"/>
      <c r="E7" s="203"/>
      <c r="F7" s="229"/>
      <c r="G7" s="229"/>
      <c r="H7" s="229"/>
      <c r="I7" s="229"/>
      <c r="J7" s="99"/>
      <c r="K7" s="199"/>
    </row>
    <row r="8" spans="1:256" s="198" customFormat="1" ht="15" customHeight="1" x14ac:dyDescent="0.25">
      <c r="A8" s="216"/>
      <c r="B8" s="204"/>
      <c r="C8" s="200"/>
      <c r="D8" s="200"/>
      <c r="E8" s="200"/>
      <c r="F8" s="209" t="s">
        <v>149</v>
      </c>
      <c r="G8" s="209" t="s">
        <v>149</v>
      </c>
      <c r="H8" s="209" t="s">
        <v>149</v>
      </c>
      <c r="I8" s="209" t="s">
        <v>149</v>
      </c>
      <c r="J8" s="66"/>
      <c r="K8" s="199"/>
    </row>
    <row r="9" spans="1:256" ht="15" customHeight="1" x14ac:dyDescent="0.25">
      <c r="A9" s="230" t="s">
        <v>151</v>
      </c>
      <c r="B9" s="231" t="s">
        <v>156</v>
      </c>
      <c r="C9" s="212"/>
      <c r="D9" s="212"/>
      <c r="E9" s="212"/>
      <c r="F9" s="232">
        <f>F10+F11+F15+F16+F17</f>
        <v>0</v>
      </c>
      <c r="G9" s="232">
        <f t="shared" ref="G9:I9" si="0">G10+G11+G15+G16+G17</f>
        <v>0</v>
      </c>
      <c r="H9" s="232">
        <f t="shared" si="0"/>
        <v>0</v>
      </c>
      <c r="I9" s="232">
        <f t="shared" si="0"/>
        <v>0</v>
      </c>
      <c r="J9" s="170"/>
      <c r="K9" s="224"/>
    </row>
    <row r="10" spans="1:256" ht="15" customHeight="1" x14ac:dyDescent="0.25">
      <c r="A10" s="224"/>
      <c r="B10" s="102" t="s">
        <v>16</v>
      </c>
      <c r="C10" s="71" t="s">
        <v>157</v>
      </c>
      <c r="D10" s="212"/>
      <c r="E10" s="212"/>
      <c r="F10" s="103"/>
      <c r="G10" s="103"/>
      <c r="H10" s="103"/>
      <c r="I10" s="103"/>
      <c r="J10" s="170"/>
      <c r="K10" s="224"/>
    </row>
    <row r="11" spans="1:256" ht="15" customHeight="1" x14ac:dyDescent="0.25">
      <c r="A11" s="224"/>
      <c r="B11" s="102" t="s">
        <v>151</v>
      </c>
      <c r="C11" s="233" t="s">
        <v>19</v>
      </c>
      <c r="D11" s="225"/>
      <c r="E11" s="225"/>
      <c r="F11" s="125">
        <f>F12+F13+F14</f>
        <v>0</v>
      </c>
      <c r="G11" s="125">
        <f t="shared" ref="G11:I11" si="1">G12+G13+G14</f>
        <v>0</v>
      </c>
      <c r="H11" s="125">
        <f t="shared" si="1"/>
        <v>0</v>
      </c>
      <c r="I11" s="125">
        <f t="shared" si="1"/>
        <v>0</v>
      </c>
      <c r="J11" s="170"/>
      <c r="K11" s="224"/>
    </row>
    <row r="12" spans="1:256" ht="15" customHeight="1" x14ac:dyDescent="0.25">
      <c r="A12" s="224"/>
      <c r="B12" s="102"/>
      <c r="C12" s="223" t="s">
        <v>16</v>
      </c>
      <c r="D12" s="71" t="s">
        <v>9</v>
      </c>
      <c r="E12" s="212"/>
      <c r="F12" s="103"/>
      <c r="G12" s="103"/>
      <c r="H12" s="103"/>
      <c r="I12" s="103"/>
      <c r="J12" s="170"/>
      <c r="K12" s="224"/>
    </row>
    <row r="13" spans="1:256" ht="15" customHeight="1" x14ac:dyDescent="0.25">
      <c r="A13" s="224"/>
      <c r="B13" s="102"/>
      <c r="C13" s="510" t="s">
        <v>16</v>
      </c>
      <c r="D13" s="71" t="s">
        <v>371</v>
      </c>
      <c r="E13" s="212"/>
      <c r="F13" s="103"/>
      <c r="G13" s="103"/>
      <c r="H13" s="103"/>
      <c r="I13" s="103"/>
      <c r="J13" s="170"/>
      <c r="K13" s="224"/>
    </row>
    <row r="14" spans="1:256" ht="15" customHeight="1" x14ac:dyDescent="0.25">
      <c r="A14" s="224"/>
      <c r="B14" s="102"/>
      <c r="C14" s="223" t="s">
        <v>16</v>
      </c>
      <c r="D14" s="104" t="s">
        <v>158</v>
      </c>
      <c r="E14" s="212"/>
      <c r="F14" s="103"/>
      <c r="G14" s="103"/>
      <c r="H14" s="103"/>
      <c r="I14" s="103"/>
      <c r="J14" s="170"/>
      <c r="K14" s="224"/>
    </row>
    <row r="15" spans="1:256" ht="15" customHeight="1" x14ac:dyDescent="0.25">
      <c r="A15" s="224"/>
      <c r="B15" s="102" t="s">
        <v>16</v>
      </c>
      <c r="C15" s="104" t="s">
        <v>12</v>
      </c>
      <c r="D15" s="212"/>
      <c r="E15" s="212"/>
      <c r="F15" s="103"/>
      <c r="G15" s="103"/>
      <c r="H15" s="103"/>
      <c r="I15" s="103"/>
      <c r="J15" s="170"/>
      <c r="K15" s="224"/>
    </row>
    <row r="16" spans="1:256" ht="15" customHeight="1" x14ac:dyDescent="0.25">
      <c r="A16" s="224"/>
      <c r="B16" s="102" t="s">
        <v>16</v>
      </c>
      <c r="C16" s="104" t="s">
        <v>13</v>
      </c>
      <c r="D16" s="212"/>
      <c r="E16" s="212"/>
      <c r="F16" s="105">
        <f>Tuloslaskelma!F77</f>
        <v>0</v>
      </c>
      <c r="G16" s="105">
        <f>Tuloslaskelma!G77</f>
        <v>0</v>
      </c>
      <c r="H16" s="105">
        <f>Tuloslaskelma!H77</f>
        <v>0</v>
      </c>
      <c r="I16" s="105">
        <f>Tuloslaskelma!I77</f>
        <v>0</v>
      </c>
      <c r="J16" s="170"/>
      <c r="K16" s="224"/>
    </row>
    <row r="17" spans="1:11" ht="15" customHeight="1" x14ac:dyDescent="0.25">
      <c r="A17" s="224"/>
      <c r="B17" s="102" t="s">
        <v>16</v>
      </c>
      <c r="C17" s="71" t="s">
        <v>10</v>
      </c>
      <c r="D17" s="212"/>
      <c r="E17" s="212"/>
      <c r="F17" s="103"/>
      <c r="G17" s="103"/>
      <c r="H17" s="103"/>
      <c r="I17" s="103"/>
      <c r="J17" s="170"/>
      <c r="K17" s="224"/>
    </row>
    <row r="18" spans="1:11" ht="15" customHeight="1" x14ac:dyDescent="0.25">
      <c r="A18" s="164" t="s">
        <v>151</v>
      </c>
      <c r="B18" s="106" t="s">
        <v>160</v>
      </c>
      <c r="C18" s="212"/>
      <c r="D18" s="212"/>
      <c r="E18" s="212"/>
      <c r="F18" s="215">
        <f>SUM(F19+F22)</f>
        <v>0</v>
      </c>
      <c r="G18" s="215">
        <f>SUM(G19+G22)</f>
        <v>0</v>
      </c>
      <c r="H18" s="215">
        <f>SUM(H19+H22)</f>
        <v>0</v>
      </c>
      <c r="I18" s="215">
        <f t="shared" ref="I18" si="2">SUM(I19+I22)</f>
        <v>0</v>
      </c>
      <c r="J18" s="170"/>
      <c r="K18" s="224"/>
    </row>
    <row r="19" spans="1:11" ht="15" customHeight="1" x14ac:dyDescent="0.25">
      <c r="A19" s="102"/>
      <c r="B19" s="216" t="s">
        <v>16</v>
      </c>
      <c r="C19" s="108" t="s">
        <v>14</v>
      </c>
      <c r="D19" s="108"/>
      <c r="E19" s="108"/>
      <c r="F19" s="125">
        <f>SUM(F20:F21)</f>
        <v>0</v>
      </c>
      <c r="G19" s="125">
        <f t="shared" ref="G19:I19" si="3">SUM(G20:G21)</f>
        <v>0</v>
      </c>
      <c r="H19" s="125">
        <f t="shared" si="3"/>
        <v>0</v>
      </c>
      <c r="I19" s="125">
        <f t="shared" si="3"/>
        <v>0</v>
      </c>
      <c r="J19" s="170"/>
      <c r="K19" s="224"/>
    </row>
    <row r="20" spans="1:11" ht="15" customHeight="1" x14ac:dyDescent="0.25">
      <c r="A20" s="102"/>
      <c r="B20" s="216"/>
      <c r="C20" s="108"/>
      <c r="D20" s="108" t="s">
        <v>326</v>
      </c>
      <c r="E20" s="108"/>
      <c r="F20" s="103"/>
      <c r="G20" s="103"/>
      <c r="H20" s="103"/>
      <c r="I20" s="103"/>
      <c r="J20" s="170"/>
      <c r="K20" s="224"/>
    </row>
    <row r="21" spans="1:11" ht="15" customHeight="1" x14ac:dyDescent="0.25">
      <c r="A21" s="102"/>
      <c r="B21" s="216"/>
      <c r="C21" s="108"/>
      <c r="D21" s="108" t="s">
        <v>327</v>
      </c>
      <c r="E21" s="108"/>
      <c r="F21" s="103"/>
      <c r="G21" s="103"/>
      <c r="H21" s="103"/>
      <c r="I21" s="103"/>
      <c r="J21" s="170"/>
      <c r="K21" s="224"/>
    </row>
    <row r="22" spans="1:11" ht="15" customHeight="1" x14ac:dyDescent="0.25">
      <c r="A22" s="102"/>
      <c r="B22" s="216" t="s">
        <v>16</v>
      </c>
      <c r="C22" s="108" t="s">
        <v>370</v>
      </c>
      <c r="D22" s="108"/>
      <c r="E22" s="108"/>
      <c r="F22" s="109"/>
      <c r="G22" s="109"/>
      <c r="H22" s="109"/>
      <c r="I22" s="109"/>
      <c r="J22" s="170"/>
      <c r="K22" s="224"/>
    </row>
    <row r="23" spans="1:11" ht="15" customHeight="1" x14ac:dyDescent="0.25">
      <c r="A23" s="102" t="s">
        <v>16</v>
      </c>
      <c r="B23" s="108" t="s">
        <v>52</v>
      </c>
      <c r="C23" s="212"/>
      <c r="D23" s="108"/>
      <c r="E23" s="108"/>
      <c r="F23" s="103"/>
      <c r="G23" s="103"/>
      <c r="H23" s="103"/>
      <c r="I23" s="103"/>
      <c r="J23" s="170"/>
      <c r="K23" s="224"/>
    </row>
    <row r="24" spans="1:11" ht="15" customHeight="1" x14ac:dyDescent="0.25">
      <c r="A24" s="102" t="s">
        <v>151</v>
      </c>
      <c r="B24" s="71" t="s">
        <v>15</v>
      </c>
      <c r="C24" s="212"/>
      <c r="D24" s="212"/>
      <c r="E24" s="212"/>
      <c r="F24" s="105">
        <f>F26+F30+F36+F42</f>
        <v>0</v>
      </c>
      <c r="G24" s="105">
        <f t="shared" ref="G24:I24" si="4">G26+G30+G36+G42</f>
        <v>0</v>
      </c>
      <c r="H24" s="105">
        <f t="shared" si="4"/>
        <v>0</v>
      </c>
      <c r="I24" s="105">
        <f t="shared" si="4"/>
        <v>0</v>
      </c>
      <c r="J24" s="170"/>
      <c r="K24" s="224"/>
    </row>
    <row r="25" spans="1:11" ht="15" customHeight="1" x14ac:dyDescent="0.25">
      <c r="A25" s="102"/>
      <c r="B25" s="234" t="s">
        <v>151</v>
      </c>
      <c r="C25" s="225" t="s">
        <v>163</v>
      </c>
      <c r="D25" s="212"/>
      <c r="E25" s="212"/>
      <c r="F25" s="105">
        <f>F26+F30</f>
        <v>0</v>
      </c>
      <c r="G25" s="105">
        <f t="shared" ref="G25:I25" si="5">G26+G30</f>
        <v>0</v>
      </c>
      <c r="H25" s="105">
        <f t="shared" si="5"/>
        <v>0</v>
      </c>
      <c r="I25" s="105">
        <f t="shared" si="5"/>
        <v>0</v>
      </c>
      <c r="J25" s="170"/>
      <c r="K25" s="224"/>
    </row>
    <row r="26" spans="1:11" ht="15" customHeight="1" x14ac:dyDescent="0.25">
      <c r="A26" s="102"/>
      <c r="B26" s="234"/>
      <c r="C26" s="511" t="s">
        <v>151</v>
      </c>
      <c r="D26" s="225" t="s">
        <v>161</v>
      </c>
      <c r="E26" s="225"/>
      <c r="F26" s="105">
        <f>SUM(F27:F29)</f>
        <v>0</v>
      </c>
      <c r="G26" s="105">
        <f t="shared" ref="G26:I26" si="6">SUM(G27:G29)</f>
        <v>0</v>
      </c>
      <c r="H26" s="105">
        <f t="shared" si="6"/>
        <v>0</v>
      </c>
      <c r="I26" s="105">
        <f t="shared" si="6"/>
        <v>0</v>
      </c>
      <c r="J26" s="170"/>
      <c r="K26" s="224"/>
    </row>
    <row r="27" spans="1:11" ht="15" customHeight="1" x14ac:dyDescent="0.25">
      <c r="A27" s="102"/>
      <c r="B27" s="224"/>
      <c r="C27" s="216"/>
      <c r="D27" s="237" t="s">
        <v>16</v>
      </c>
      <c r="E27" s="212" t="s">
        <v>372</v>
      </c>
      <c r="F27" s="217"/>
      <c r="G27" s="217"/>
      <c r="H27" s="217"/>
      <c r="I27" s="217"/>
      <c r="J27" s="170"/>
      <c r="K27" s="224"/>
    </row>
    <row r="28" spans="1:11" ht="15" customHeight="1" x14ac:dyDescent="0.25">
      <c r="A28" s="102"/>
      <c r="B28" s="224"/>
      <c r="C28" s="216"/>
      <c r="D28" s="238" t="s">
        <v>16</v>
      </c>
      <c r="E28" s="212" t="s">
        <v>91</v>
      </c>
      <c r="F28" s="217"/>
      <c r="G28" s="217"/>
      <c r="H28" s="217"/>
      <c r="I28" s="217"/>
      <c r="J28" s="170"/>
      <c r="K28" s="224"/>
    </row>
    <row r="29" spans="1:11" x14ac:dyDescent="0.25">
      <c r="A29" s="102"/>
      <c r="B29" s="212"/>
      <c r="C29" s="224"/>
      <c r="D29" s="238" t="s">
        <v>16</v>
      </c>
      <c r="E29" s="235" t="s">
        <v>373</v>
      </c>
      <c r="F29" s="217"/>
      <c r="G29" s="217"/>
      <c r="H29" s="217"/>
      <c r="I29" s="217"/>
      <c r="J29" s="170"/>
      <c r="K29" s="224"/>
    </row>
    <row r="30" spans="1:11" ht="15" customHeight="1" x14ac:dyDescent="0.25">
      <c r="A30" s="102"/>
      <c r="B30" s="224"/>
      <c r="C30" s="216" t="s">
        <v>151</v>
      </c>
      <c r="D30" s="236" t="s">
        <v>162</v>
      </c>
      <c r="E30" s="224"/>
      <c r="F30" s="105">
        <f>SUM(F31:F34)</f>
        <v>0</v>
      </c>
      <c r="G30" s="105">
        <f t="shared" ref="G30:I30" si="7">SUM(G31:G34)</f>
        <v>0</v>
      </c>
      <c r="H30" s="105">
        <f t="shared" si="7"/>
        <v>0</v>
      </c>
      <c r="I30" s="105">
        <f t="shared" si="7"/>
        <v>0</v>
      </c>
      <c r="J30" s="170"/>
      <c r="K30" s="224"/>
    </row>
    <row r="31" spans="1:11" ht="15" customHeight="1" x14ac:dyDescent="0.25">
      <c r="A31" s="102"/>
      <c r="B31" s="224"/>
      <c r="C31" s="224"/>
      <c r="D31" s="237" t="s">
        <v>16</v>
      </c>
      <c r="E31" s="212" t="s">
        <v>91</v>
      </c>
      <c r="F31" s="103"/>
      <c r="G31" s="103"/>
      <c r="H31" s="103"/>
      <c r="I31" s="103"/>
      <c r="J31" s="170"/>
      <c r="K31" s="224"/>
    </row>
    <row r="32" spans="1:11" ht="15" customHeight="1" x14ac:dyDescent="0.25">
      <c r="A32" s="102"/>
      <c r="B32" s="224"/>
      <c r="C32" s="224"/>
      <c r="D32" s="238" t="s">
        <v>16</v>
      </c>
      <c r="E32" s="212" t="s">
        <v>93</v>
      </c>
      <c r="F32" s="103"/>
      <c r="G32" s="103"/>
      <c r="H32" s="103"/>
      <c r="I32" s="103"/>
      <c r="J32" s="170"/>
      <c r="K32" s="224"/>
    </row>
    <row r="33" spans="1:11" ht="15" customHeight="1" x14ac:dyDescent="0.25">
      <c r="A33" s="102"/>
      <c r="B33" s="224"/>
      <c r="C33" s="224"/>
      <c r="D33" s="238" t="s">
        <v>16</v>
      </c>
      <c r="E33" s="71" t="s">
        <v>94</v>
      </c>
      <c r="F33" s="103"/>
      <c r="G33" s="103"/>
      <c r="H33" s="103"/>
      <c r="I33" s="103"/>
      <c r="J33" s="170"/>
      <c r="K33" s="224"/>
    </row>
    <row r="34" spans="1:11" ht="15" customHeight="1" x14ac:dyDescent="0.25">
      <c r="A34" s="102"/>
      <c r="B34" s="224"/>
      <c r="C34" s="224"/>
      <c r="D34" s="238" t="s">
        <v>16</v>
      </c>
      <c r="E34" s="212" t="s">
        <v>95</v>
      </c>
      <c r="F34" s="103"/>
      <c r="G34" s="103"/>
      <c r="H34" s="103"/>
      <c r="I34" s="103"/>
      <c r="J34" s="170"/>
      <c r="K34" s="224"/>
    </row>
    <row r="35" spans="1:11" ht="15" customHeight="1" x14ac:dyDescent="0.25">
      <c r="A35" s="102"/>
      <c r="B35" s="222" t="s">
        <v>151</v>
      </c>
      <c r="C35" s="239" t="s">
        <v>165</v>
      </c>
      <c r="D35" s="238"/>
      <c r="E35" s="212"/>
      <c r="F35" s="125">
        <f>F36+F42</f>
        <v>0</v>
      </c>
      <c r="G35" s="125">
        <f t="shared" ref="G35:I35" si="8">G36+G42</f>
        <v>0</v>
      </c>
      <c r="H35" s="125">
        <f t="shared" si="8"/>
        <v>0</v>
      </c>
      <c r="I35" s="125">
        <f t="shared" si="8"/>
        <v>0</v>
      </c>
      <c r="J35" s="170"/>
      <c r="K35" s="224"/>
    </row>
    <row r="36" spans="1:11" ht="15" customHeight="1" x14ac:dyDescent="0.25">
      <c r="A36" s="224"/>
      <c r="B36" s="224"/>
      <c r="C36" s="102" t="s">
        <v>151</v>
      </c>
      <c r="D36" s="240" t="s">
        <v>164</v>
      </c>
      <c r="E36" s="224"/>
      <c r="F36" s="105">
        <f>SUM(F37:F41)</f>
        <v>0</v>
      </c>
      <c r="G36" s="105">
        <f t="shared" ref="G36:I36" si="9">SUM(G37:G41)</f>
        <v>0</v>
      </c>
      <c r="H36" s="105">
        <f t="shared" si="9"/>
        <v>0</v>
      </c>
      <c r="I36" s="105">
        <f t="shared" si="9"/>
        <v>0</v>
      </c>
      <c r="J36" s="170"/>
      <c r="K36" s="224"/>
    </row>
    <row r="37" spans="1:11" ht="15" customHeight="1" x14ac:dyDescent="0.25">
      <c r="A37" s="102"/>
      <c r="B37" s="224"/>
      <c r="C37" s="224"/>
      <c r="D37" s="241" t="s">
        <v>16</v>
      </c>
      <c r="E37" s="212" t="s">
        <v>96</v>
      </c>
      <c r="F37" s="103"/>
      <c r="G37" s="103"/>
      <c r="H37" s="103"/>
      <c r="I37" s="103"/>
      <c r="J37" s="170"/>
      <c r="K37" s="224"/>
    </row>
    <row r="38" spans="1:11" ht="15" customHeight="1" x14ac:dyDescent="0.25">
      <c r="A38" s="102"/>
      <c r="B38" s="224"/>
      <c r="C38" s="224"/>
      <c r="D38" s="241" t="s">
        <v>16</v>
      </c>
      <c r="E38" s="212" t="s">
        <v>97</v>
      </c>
      <c r="F38" s="103"/>
      <c r="G38" s="103"/>
      <c r="H38" s="103"/>
      <c r="I38" s="103"/>
      <c r="J38" s="170"/>
      <c r="K38" s="224"/>
    </row>
    <row r="39" spans="1:11" ht="15" customHeight="1" x14ac:dyDescent="0.25">
      <c r="A39" s="102"/>
      <c r="B39" s="224"/>
      <c r="C39" s="224"/>
      <c r="D39" s="241" t="s">
        <v>16</v>
      </c>
      <c r="E39" s="212" t="s">
        <v>91</v>
      </c>
      <c r="F39" s="103"/>
      <c r="G39" s="103"/>
      <c r="H39" s="103"/>
      <c r="I39" s="103"/>
      <c r="J39" s="170"/>
      <c r="K39" s="224"/>
    </row>
    <row r="40" spans="1:11" ht="15" customHeight="1" x14ac:dyDescent="0.25">
      <c r="A40" s="102"/>
      <c r="B40" s="224"/>
      <c r="C40" s="224"/>
      <c r="D40" s="216" t="s">
        <v>16</v>
      </c>
      <c r="E40" s="212" t="s">
        <v>93</v>
      </c>
      <c r="F40" s="103"/>
      <c r="G40" s="103"/>
      <c r="H40" s="103"/>
      <c r="I40" s="103"/>
      <c r="J40" s="170"/>
      <c r="K40" s="224"/>
    </row>
    <row r="41" spans="1:11" ht="15" customHeight="1" x14ac:dyDescent="0.25">
      <c r="A41" s="102"/>
      <c r="B41" s="224"/>
      <c r="C41" s="224"/>
      <c r="D41" s="242" t="s">
        <v>16</v>
      </c>
      <c r="E41" s="243" t="s">
        <v>98</v>
      </c>
      <c r="F41" s="103"/>
      <c r="G41" s="103"/>
      <c r="H41" s="103"/>
      <c r="I41" s="103"/>
      <c r="J41" s="170"/>
      <c r="K41" s="224"/>
    </row>
    <row r="42" spans="1:11" ht="15" customHeight="1" x14ac:dyDescent="0.25">
      <c r="A42" s="224"/>
      <c r="B42" s="224"/>
      <c r="C42" s="102" t="s">
        <v>151</v>
      </c>
      <c r="D42" s="218" t="s">
        <v>166</v>
      </c>
      <c r="E42" s="244"/>
      <c r="F42" s="215">
        <f>SUM(F43:F47)</f>
        <v>0</v>
      </c>
      <c r="G42" s="215">
        <f t="shared" ref="G42:I42" si="10">SUM(G43:G47)</f>
        <v>0</v>
      </c>
      <c r="H42" s="215">
        <f t="shared" si="10"/>
        <v>0</v>
      </c>
      <c r="I42" s="215">
        <f t="shared" si="10"/>
        <v>0</v>
      </c>
      <c r="J42" s="170"/>
      <c r="K42" s="224"/>
    </row>
    <row r="43" spans="1:11" ht="15" customHeight="1" x14ac:dyDescent="0.25">
      <c r="A43" s="102"/>
      <c r="B43" s="224"/>
      <c r="C43" s="224"/>
      <c r="D43" s="245" t="s">
        <v>16</v>
      </c>
      <c r="E43" s="212" t="s">
        <v>96</v>
      </c>
      <c r="F43" s="217"/>
      <c r="G43" s="217"/>
      <c r="H43" s="217"/>
      <c r="I43" s="217"/>
      <c r="J43" s="170"/>
      <c r="K43" s="224"/>
    </row>
    <row r="44" spans="1:11" ht="15" customHeight="1" x14ac:dyDescent="0.25">
      <c r="A44" s="102"/>
      <c r="B44" s="224"/>
      <c r="C44" s="224"/>
      <c r="D44" s="245" t="s">
        <v>16</v>
      </c>
      <c r="E44" s="212" t="s">
        <v>97</v>
      </c>
      <c r="F44" s="217"/>
      <c r="G44" s="217"/>
      <c r="H44" s="217"/>
      <c r="I44" s="217"/>
      <c r="J44" s="170"/>
      <c r="K44" s="224"/>
    </row>
    <row r="45" spans="1:11" ht="15" customHeight="1" x14ac:dyDescent="0.25">
      <c r="A45" s="102"/>
      <c r="B45" s="224"/>
      <c r="C45" s="224"/>
      <c r="D45" s="245" t="s">
        <v>16</v>
      </c>
      <c r="E45" s="212" t="s">
        <v>91</v>
      </c>
      <c r="F45" s="217"/>
      <c r="G45" s="217"/>
      <c r="H45" s="217"/>
      <c r="I45" s="217"/>
      <c r="J45" s="170"/>
      <c r="K45" s="224"/>
    </row>
    <row r="46" spans="1:11" ht="15" customHeight="1" x14ac:dyDescent="0.25">
      <c r="A46" s="102"/>
      <c r="B46" s="224"/>
      <c r="C46" s="224"/>
      <c r="D46" s="102" t="s">
        <v>16</v>
      </c>
      <c r="E46" s="212" t="s">
        <v>93</v>
      </c>
      <c r="F46" s="103"/>
      <c r="G46" s="103"/>
      <c r="H46" s="103"/>
      <c r="I46" s="103"/>
      <c r="J46" s="170"/>
      <c r="K46" s="224"/>
    </row>
    <row r="47" spans="1:11" ht="15" customHeight="1" x14ac:dyDescent="0.25">
      <c r="A47" s="102"/>
      <c r="B47" s="224"/>
      <c r="C47" s="224"/>
      <c r="D47" s="216" t="s">
        <v>16</v>
      </c>
      <c r="E47" s="212" t="s">
        <v>99</v>
      </c>
      <c r="F47" s="103"/>
      <c r="G47" s="103"/>
      <c r="H47" s="103"/>
      <c r="I47" s="103"/>
      <c r="J47" s="170"/>
      <c r="K47" s="224"/>
    </row>
    <row r="48" spans="1:11" ht="15" customHeight="1" x14ac:dyDescent="0.25">
      <c r="A48" s="102" t="s">
        <v>151</v>
      </c>
      <c r="B48" s="112" t="s">
        <v>11</v>
      </c>
      <c r="C48" s="212"/>
      <c r="D48" s="212"/>
      <c r="E48" s="212"/>
      <c r="F48" s="113">
        <f>F9+F23+F18+F24</f>
        <v>0</v>
      </c>
      <c r="G48" s="113">
        <f t="shared" ref="G48:I48" si="11">G9+G23+G18+G24</f>
        <v>0</v>
      </c>
      <c r="H48" s="113">
        <f t="shared" si="11"/>
        <v>0</v>
      </c>
      <c r="I48" s="113">
        <f t="shared" si="11"/>
        <v>0</v>
      </c>
      <c r="J48" s="170"/>
      <c r="K48" s="224"/>
    </row>
    <row r="49" spans="1:11" ht="15" customHeight="1" x14ac:dyDescent="0.25">
      <c r="A49" s="102"/>
      <c r="B49" s="108"/>
      <c r="C49" s="212"/>
      <c r="D49" s="212"/>
      <c r="E49" s="212"/>
      <c r="F49" s="114"/>
      <c r="G49" s="224"/>
      <c r="H49" s="224"/>
      <c r="I49" s="224"/>
      <c r="J49" s="226"/>
      <c r="K49" s="224"/>
    </row>
    <row r="50" spans="1:11" ht="15" customHeight="1" x14ac:dyDescent="0.25">
      <c r="A50" s="216"/>
      <c r="B50" s="212"/>
      <c r="C50" s="212"/>
      <c r="D50" s="212"/>
      <c r="E50" s="212"/>
      <c r="F50" s="199"/>
      <c r="G50" s="224"/>
      <c r="H50" s="224"/>
      <c r="I50" s="224"/>
      <c r="J50" s="226"/>
      <c r="K50" s="224"/>
    </row>
    <row r="51" spans="1:11" ht="15" customHeight="1" x14ac:dyDescent="0.25">
      <c r="A51" s="102"/>
      <c r="B51" s="212"/>
      <c r="C51" s="212"/>
      <c r="D51" s="212"/>
      <c r="E51" s="212"/>
      <c r="F51" s="199"/>
      <c r="G51" s="224"/>
      <c r="H51" s="224"/>
      <c r="I51" s="224"/>
      <c r="J51" s="226"/>
    </row>
    <row r="52" spans="1:11" ht="15" customHeight="1" x14ac:dyDescent="0.25">
      <c r="A52" s="216"/>
      <c r="B52" s="212"/>
      <c r="C52" s="212"/>
      <c r="D52" s="212"/>
      <c r="E52" s="212"/>
      <c r="F52" s="199"/>
      <c r="G52" s="224"/>
      <c r="H52" s="224"/>
      <c r="I52" s="224"/>
      <c r="J52" s="226"/>
    </row>
    <row r="53" spans="1:11" ht="15" customHeight="1" x14ac:dyDescent="0.25">
      <c r="A53" s="216"/>
      <c r="B53" s="212"/>
      <c r="C53" s="212"/>
      <c r="D53" s="212"/>
      <c r="E53" s="212"/>
      <c r="F53" s="199"/>
      <c r="G53" s="224"/>
      <c r="H53" s="224"/>
      <c r="I53" s="224"/>
      <c r="J53" s="226"/>
    </row>
    <row r="54" spans="1:11" ht="15" customHeight="1" x14ac:dyDescent="0.25">
      <c r="J54" s="226"/>
    </row>
    <row r="55" spans="1:11" ht="15" customHeight="1" x14ac:dyDescent="0.25">
      <c r="J55" s="226"/>
    </row>
    <row r="56" spans="1:11" ht="15" customHeight="1" x14ac:dyDescent="0.25">
      <c r="J56" s="226"/>
    </row>
    <row r="57" spans="1:11" ht="15" customHeight="1" x14ac:dyDescent="0.25">
      <c r="J57" s="226"/>
    </row>
    <row r="58" spans="1:11" ht="15" customHeight="1" x14ac:dyDescent="0.25">
      <c r="J58" s="226"/>
    </row>
    <row r="59" spans="1:11" ht="15" customHeight="1" x14ac:dyDescent="0.25">
      <c r="J59" s="226"/>
    </row>
    <row r="60" spans="1:11" ht="15" customHeight="1" x14ac:dyDescent="0.25">
      <c r="J60" s="226"/>
    </row>
    <row r="61" spans="1:11" ht="15" customHeight="1" x14ac:dyDescent="0.25">
      <c r="J61" s="226"/>
    </row>
    <row r="62" spans="1:11" ht="15" customHeight="1" x14ac:dyDescent="0.25">
      <c r="J62" s="226"/>
    </row>
    <row r="63" spans="1:11" ht="15" customHeight="1" x14ac:dyDescent="0.25">
      <c r="J63" s="226"/>
    </row>
    <row r="64" spans="1:11" ht="15" customHeight="1" x14ac:dyDescent="0.25">
      <c r="J64" s="226"/>
    </row>
    <row r="65" spans="10:10" ht="15" customHeight="1" x14ac:dyDescent="0.25">
      <c r="J65" s="226"/>
    </row>
    <row r="66" spans="10:10" ht="15" customHeight="1" x14ac:dyDescent="0.25">
      <c r="J66" s="226"/>
    </row>
    <row r="67" spans="10:10" ht="15" customHeight="1" x14ac:dyDescent="0.25">
      <c r="J67" s="226"/>
    </row>
    <row r="68" spans="10:10" ht="15" customHeight="1" x14ac:dyDescent="0.25">
      <c r="J68" s="226"/>
    </row>
    <row r="69" spans="10:10" ht="15" customHeight="1" x14ac:dyDescent="0.25">
      <c r="J69" s="226"/>
    </row>
    <row r="70" spans="10:10" ht="15" customHeight="1" x14ac:dyDescent="0.25">
      <c r="J70" s="226"/>
    </row>
    <row r="71" spans="10:10" ht="15" customHeight="1" x14ac:dyDescent="0.25">
      <c r="J71" s="226"/>
    </row>
    <row r="72" spans="10:10" ht="15" customHeight="1" x14ac:dyDescent="0.25">
      <c r="J72" s="226"/>
    </row>
    <row r="73" spans="10:10" ht="15" customHeight="1" x14ac:dyDescent="0.25">
      <c r="J73" s="226"/>
    </row>
    <row r="74" spans="10:10" ht="15" customHeight="1" x14ac:dyDescent="0.25">
      <c r="J74" s="226"/>
    </row>
    <row r="75" spans="10:10" ht="15" customHeight="1" x14ac:dyDescent="0.25">
      <c r="J75" s="226"/>
    </row>
    <row r="76" spans="10:10" ht="15" customHeight="1" x14ac:dyDescent="0.25">
      <c r="J76" s="226"/>
    </row>
    <row r="77" spans="10:10" ht="15" customHeight="1" x14ac:dyDescent="0.25">
      <c r="J77" s="226"/>
    </row>
    <row r="78" spans="10:10" ht="15" customHeight="1" x14ac:dyDescent="0.25">
      <c r="J78" s="226"/>
    </row>
    <row r="79" spans="10:10" ht="15" customHeight="1" x14ac:dyDescent="0.25">
      <c r="J79" s="226"/>
    </row>
    <row r="80" spans="10:10" ht="15" customHeight="1" x14ac:dyDescent="0.25">
      <c r="J80" s="226"/>
    </row>
    <row r="81" spans="10:10" ht="15" customHeight="1" x14ac:dyDescent="0.25">
      <c r="J81" s="226"/>
    </row>
    <row r="82" spans="10:10" ht="15" customHeight="1" x14ac:dyDescent="0.25">
      <c r="J82" s="226"/>
    </row>
    <row r="83" spans="10:10" ht="15" customHeight="1" x14ac:dyDescent="0.25">
      <c r="J83" s="226"/>
    </row>
    <row r="84" spans="10:10" ht="15" customHeight="1" x14ac:dyDescent="0.25">
      <c r="J84" s="226"/>
    </row>
    <row r="85" spans="10:10" ht="15" customHeight="1" x14ac:dyDescent="0.25">
      <c r="J85" s="226"/>
    </row>
    <row r="86" spans="10:10" ht="15" customHeight="1" x14ac:dyDescent="0.25">
      <c r="J86" s="226"/>
    </row>
    <row r="87" spans="10:10" ht="15" customHeight="1" x14ac:dyDescent="0.25">
      <c r="J87" s="226"/>
    </row>
    <row r="88" spans="10:10" ht="15" customHeight="1" x14ac:dyDescent="0.25">
      <c r="J88" s="226"/>
    </row>
    <row r="89" spans="10:10" ht="15" customHeight="1" x14ac:dyDescent="0.25">
      <c r="J89" s="226"/>
    </row>
    <row r="90" spans="10:10" ht="15" customHeight="1" x14ac:dyDescent="0.25">
      <c r="J90" s="226"/>
    </row>
    <row r="91" spans="10:10" ht="15" customHeight="1" x14ac:dyDescent="0.25">
      <c r="J91" s="226"/>
    </row>
    <row r="92" spans="10:10" ht="15" customHeight="1" x14ac:dyDescent="0.25">
      <c r="J92" s="226"/>
    </row>
    <row r="93" spans="10:10" ht="15" customHeight="1" x14ac:dyDescent="0.25">
      <c r="J93" s="99"/>
    </row>
    <row r="94" spans="10:10" ht="15" customHeight="1" x14ac:dyDescent="0.25">
      <c r="J94" s="99"/>
    </row>
    <row r="95" spans="10:10" ht="15" customHeight="1" x14ac:dyDescent="0.25">
      <c r="J95" s="99"/>
    </row>
  </sheetData>
  <pageMargins left="0.43" right="0.37" top="0.69" bottom="0.64" header="0.4921259845" footer="0.4921259845"/>
  <pageSetup paperSize="9" scale="78" orientation="portrait" r:id="rId1"/>
  <headerFooter alignWithMargins="0"/>
  <colBreaks count="1" manualBreakCount="1">
    <brk id="9" max="1048575" man="1"/>
  </colBreaks>
  <ignoredErrors>
    <ignoredError sqref="F35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ul1"/>
  <dimension ref="A1:IQ55"/>
  <sheetViews>
    <sheetView showGridLines="0" topLeftCell="C1" zoomScaleNormal="100" workbookViewId="0">
      <pane ySplit="5" topLeftCell="A6" activePane="bottomLeft" state="frozen"/>
      <selection pane="bottomLeft" activeCell="I19" sqref="I19"/>
    </sheetView>
  </sheetViews>
  <sheetFormatPr defaultColWidth="9.140625" defaultRowHeight="15" x14ac:dyDescent="0.25"/>
  <cols>
    <col min="1" max="1" width="54.140625" style="3" customWidth="1"/>
    <col min="2" max="2" width="10.5703125" style="3" customWidth="1"/>
    <col min="3" max="3" width="11" style="3" bestFit="1" customWidth="1"/>
    <col min="4" max="4" width="12.140625" style="3" customWidth="1"/>
    <col min="5" max="5" width="9.85546875" style="3" customWidth="1"/>
    <col min="6" max="6" width="9.140625" style="3" customWidth="1"/>
    <col min="7" max="7" width="10.140625" style="3" customWidth="1"/>
    <col min="8" max="8" width="9.28515625" style="23" customWidth="1"/>
    <col min="9" max="9" width="24.85546875" style="3" customWidth="1"/>
    <col min="10" max="10" width="8.5703125" style="3" customWidth="1"/>
    <col min="11" max="11" width="7.5703125" style="3" customWidth="1"/>
    <col min="12" max="12" width="8.140625" style="3" customWidth="1"/>
    <col min="13" max="13" width="7.140625" style="3" customWidth="1"/>
    <col min="14" max="14" width="8.5703125" style="3" customWidth="1"/>
    <col min="15" max="15" width="6.42578125" style="3" customWidth="1"/>
    <col min="16" max="16" width="7.7109375" style="3" customWidth="1"/>
    <col min="17" max="17" width="8.42578125" style="3" customWidth="1"/>
    <col min="18" max="19" width="7.140625" style="3" customWidth="1"/>
    <col min="20" max="20" width="9.140625" style="3"/>
    <col min="21" max="21" width="7.28515625" style="3" customWidth="1"/>
    <col min="22" max="16384" width="9.140625" style="3"/>
  </cols>
  <sheetData>
    <row r="1" spans="1:251" s="284" customFormat="1" x14ac:dyDescent="0.2">
      <c r="A1" s="267" t="s">
        <v>222</v>
      </c>
      <c r="B1" s="285" t="s">
        <v>46</v>
      </c>
    </row>
    <row r="2" spans="1:251" s="285" customFormat="1" x14ac:dyDescent="0.2">
      <c r="A2" s="286" t="s">
        <v>223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</row>
    <row r="3" spans="1:251" s="284" customFormat="1" x14ac:dyDescent="0.2">
      <c r="A3" s="289"/>
    </row>
    <row r="4" spans="1:251" s="284" customFormat="1" x14ac:dyDescent="0.2">
      <c r="A4" s="292"/>
      <c r="B4" s="294"/>
    </row>
    <row r="5" spans="1:251" s="284" customFormat="1" x14ac:dyDescent="0.2">
      <c r="A5" s="267" t="s">
        <v>42</v>
      </c>
      <c r="B5" s="282">
        <v>2020</v>
      </c>
      <c r="C5" s="283">
        <v>2021</v>
      </c>
      <c r="D5" s="283">
        <v>2022</v>
      </c>
      <c r="E5" s="283">
        <v>2023</v>
      </c>
      <c r="F5" s="283"/>
      <c r="H5" s="308" t="s">
        <v>250</v>
      </c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</row>
    <row r="6" spans="1:251" s="5" customFormat="1" ht="32.25" customHeight="1" x14ac:dyDescent="0.25">
      <c r="A6" s="31"/>
      <c r="B6" s="142"/>
      <c r="C6" s="142"/>
      <c r="D6" s="142"/>
      <c r="E6" s="142"/>
      <c r="F6" s="307"/>
      <c r="G6" s="1"/>
      <c r="H6" s="309" t="s">
        <v>216</v>
      </c>
      <c r="I6" s="438" t="s">
        <v>325</v>
      </c>
      <c r="J6" s="314" t="s">
        <v>251</v>
      </c>
      <c r="K6" s="314" t="s">
        <v>252</v>
      </c>
      <c r="L6" s="314" t="s">
        <v>253</v>
      </c>
      <c r="M6" s="314" t="s">
        <v>254</v>
      </c>
      <c r="N6" s="314" t="s">
        <v>255</v>
      </c>
      <c r="O6" s="314" t="s">
        <v>256</v>
      </c>
      <c r="P6" s="314" t="s">
        <v>257</v>
      </c>
      <c r="Q6" s="314" t="s">
        <v>258</v>
      </c>
      <c r="R6" s="314" t="s">
        <v>259</v>
      </c>
      <c r="S6" s="314" t="s">
        <v>260</v>
      </c>
      <c r="T6" s="314" t="s">
        <v>261</v>
      </c>
      <c r="U6" s="314" t="s">
        <v>262</v>
      </c>
    </row>
    <row r="7" spans="1:251" s="5" customFormat="1" x14ac:dyDescent="0.25">
      <c r="A7" s="24"/>
      <c r="B7" s="142"/>
      <c r="C7" s="31"/>
      <c r="D7" s="31"/>
      <c r="E7" s="31"/>
      <c r="F7" s="307"/>
      <c r="G7" s="253"/>
      <c r="H7" s="310" t="s">
        <v>244</v>
      </c>
      <c r="I7" s="312">
        <f>AVERAGE(M7:R7)</f>
        <v>108.2</v>
      </c>
      <c r="J7" s="492">
        <v>105.5</v>
      </c>
      <c r="K7" s="493">
        <v>106.2</v>
      </c>
      <c r="L7" s="493">
        <v>106.9</v>
      </c>
      <c r="M7" s="493">
        <v>107.2</v>
      </c>
      <c r="N7" s="493">
        <v>107.7</v>
      </c>
      <c r="O7" s="493">
        <v>108.2</v>
      </c>
      <c r="P7" s="493">
        <v>108.3</v>
      </c>
      <c r="Q7" s="493">
        <v>108.5</v>
      </c>
      <c r="R7" s="493">
        <v>109.3</v>
      </c>
      <c r="S7" s="493">
        <v>109.4</v>
      </c>
      <c r="T7" s="493">
        <v>109.3</v>
      </c>
      <c r="U7" s="494">
        <v>109.1</v>
      </c>
    </row>
    <row r="8" spans="1:251" x14ac:dyDescent="0.25">
      <c r="A8" s="71" t="s">
        <v>41</v>
      </c>
      <c r="B8" s="44">
        <v>0.2</v>
      </c>
      <c r="C8" s="44">
        <v>0.2</v>
      </c>
      <c r="D8" s="44">
        <v>0.2</v>
      </c>
      <c r="E8" s="44">
        <v>0.2</v>
      </c>
      <c r="F8" s="257"/>
      <c r="G8" s="253"/>
      <c r="H8" s="310" t="s">
        <v>245</v>
      </c>
      <c r="I8" s="312">
        <f t="shared" ref="I8:I21" si="0">AVERAGE(M8:R8)</f>
        <v>111.2</v>
      </c>
      <c r="J8" s="495">
        <v>108.9</v>
      </c>
      <c r="K8" s="491">
        <v>109.5</v>
      </c>
      <c r="L8" s="491">
        <v>110</v>
      </c>
      <c r="M8" s="491">
        <v>110.5</v>
      </c>
      <c r="N8" s="491">
        <v>111.4</v>
      </c>
      <c r="O8" s="491">
        <v>111.5</v>
      </c>
      <c r="P8" s="491">
        <v>111</v>
      </c>
      <c r="Q8" s="491">
        <v>111.1</v>
      </c>
      <c r="R8" s="491">
        <v>111.7</v>
      </c>
      <c r="S8" s="491">
        <v>111.5</v>
      </c>
      <c r="T8" s="491">
        <v>111</v>
      </c>
      <c r="U8" s="496">
        <v>110.9</v>
      </c>
    </row>
    <row r="9" spans="1:251" x14ac:dyDescent="0.25">
      <c r="A9" s="143"/>
      <c r="B9" s="45"/>
      <c r="C9" s="144"/>
      <c r="D9" s="144"/>
      <c r="E9" s="144"/>
      <c r="F9" s="257"/>
      <c r="G9" s="253"/>
      <c r="H9" s="310">
        <v>2002</v>
      </c>
      <c r="I9" s="312">
        <f t="shared" si="0"/>
        <v>112.63333333333333</v>
      </c>
      <c r="J9" s="495">
        <v>111.4</v>
      </c>
      <c r="K9" s="491">
        <v>111.6</v>
      </c>
      <c r="L9" s="491">
        <v>112.2</v>
      </c>
      <c r="M9" s="491">
        <v>112.6</v>
      </c>
      <c r="N9" s="491">
        <v>112.9</v>
      </c>
      <c r="O9" s="491">
        <v>112.6</v>
      </c>
      <c r="P9" s="491">
        <v>112.4</v>
      </c>
      <c r="Q9" s="491">
        <v>112.4</v>
      </c>
      <c r="R9" s="491">
        <v>112.9</v>
      </c>
      <c r="S9" s="491">
        <v>113.1</v>
      </c>
      <c r="T9" s="491">
        <v>112.8</v>
      </c>
      <c r="U9" s="496">
        <v>112.8</v>
      </c>
    </row>
    <row r="10" spans="1:251" x14ac:dyDescent="0.25">
      <c r="A10" s="71" t="str">
        <f>"Verkon liittymismaksukertymä 31.12.2004 (1.000 €)"</f>
        <v>Verkon liittymismaksukertymä 31.12.2004 (1.000 €)</v>
      </c>
      <c r="B10" s="42"/>
      <c r="C10" s="144"/>
      <c r="D10" s="144"/>
      <c r="E10" s="144"/>
      <c r="F10" s="257"/>
      <c r="G10" s="253"/>
      <c r="H10" s="310" t="s">
        <v>246</v>
      </c>
      <c r="I10" s="312">
        <f t="shared" si="0"/>
        <v>113.46666666666668</v>
      </c>
      <c r="J10" s="495">
        <v>112.9</v>
      </c>
      <c r="K10" s="491">
        <v>113.7</v>
      </c>
      <c r="L10" s="491">
        <v>114</v>
      </c>
      <c r="M10" s="491">
        <v>113.8</v>
      </c>
      <c r="N10" s="491">
        <v>113.7</v>
      </c>
      <c r="O10" s="491">
        <v>113.6</v>
      </c>
      <c r="P10" s="491">
        <v>113</v>
      </c>
      <c r="Q10" s="491">
        <v>113.1</v>
      </c>
      <c r="R10" s="491">
        <v>113.6</v>
      </c>
      <c r="S10" s="491">
        <v>113.5</v>
      </c>
      <c r="T10" s="491">
        <v>113.4</v>
      </c>
      <c r="U10" s="496">
        <v>113.5</v>
      </c>
    </row>
    <row r="11" spans="1:251" x14ac:dyDescent="0.25">
      <c r="A11" s="71" t="str">
        <f>"Verkon liittymismaksukertymä edellisen vuoden lopussa "</f>
        <v xml:space="preserve">Verkon liittymismaksukertymä edellisen vuoden lopussa </v>
      </c>
      <c r="B11" s="42"/>
      <c r="C11" s="46">
        <f>Vastattavaa!F33</f>
        <v>0</v>
      </c>
      <c r="D11" s="46">
        <f>Vastattavaa!G33</f>
        <v>0</v>
      </c>
      <c r="E11" s="46">
        <f>Vastattavaa!H33</f>
        <v>0</v>
      </c>
      <c r="F11" s="257"/>
      <c r="G11" s="256"/>
      <c r="H11" s="310" t="s">
        <v>247</v>
      </c>
      <c r="I11" s="312">
        <f t="shared" si="0"/>
        <v>113.58333333333333</v>
      </c>
      <c r="J11" s="495">
        <v>113.1</v>
      </c>
      <c r="K11" s="491">
        <v>113.8</v>
      </c>
      <c r="L11" s="491">
        <v>113.4</v>
      </c>
      <c r="M11" s="491">
        <v>113.4</v>
      </c>
      <c r="N11" s="491">
        <v>113.6</v>
      </c>
      <c r="O11" s="491">
        <v>113.5</v>
      </c>
      <c r="P11" s="491">
        <v>113.3</v>
      </c>
      <c r="Q11" s="491">
        <v>113.6</v>
      </c>
      <c r="R11" s="491">
        <v>114.1</v>
      </c>
      <c r="S11" s="491">
        <v>114.4</v>
      </c>
      <c r="T11" s="491">
        <v>113.9</v>
      </c>
      <c r="U11" s="496">
        <v>113.9</v>
      </c>
    </row>
    <row r="12" spans="1:251" x14ac:dyDescent="0.25">
      <c r="A12" s="71"/>
      <c r="B12" s="71"/>
      <c r="C12" s="295"/>
      <c r="D12" s="295"/>
      <c r="E12" s="295"/>
      <c r="F12" s="257"/>
      <c r="G12" s="256"/>
      <c r="H12" s="310" t="s">
        <v>132</v>
      </c>
      <c r="I12" s="312">
        <f t="shared" si="0"/>
        <v>114.78333333333332</v>
      </c>
      <c r="J12" s="495">
        <v>113.4</v>
      </c>
      <c r="K12" s="491">
        <v>114</v>
      </c>
      <c r="L12" s="491">
        <v>114.5</v>
      </c>
      <c r="M12" s="491">
        <v>114.8</v>
      </c>
      <c r="N12" s="491">
        <v>114.5</v>
      </c>
      <c r="O12" s="491">
        <v>114.8</v>
      </c>
      <c r="P12" s="491">
        <v>114.4</v>
      </c>
      <c r="Q12" s="491">
        <v>114.8</v>
      </c>
      <c r="R12" s="491">
        <v>115.4</v>
      </c>
      <c r="S12" s="491">
        <v>115.3</v>
      </c>
      <c r="T12" s="491">
        <v>115</v>
      </c>
      <c r="U12" s="496">
        <v>115.1</v>
      </c>
    </row>
    <row r="13" spans="1:251" x14ac:dyDescent="0.25">
      <c r="A13" s="296" t="s">
        <v>228</v>
      </c>
      <c r="B13" s="47"/>
      <c r="C13" s="144"/>
      <c r="D13" s="144"/>
      <c r="E13" s="144"/>
      <c r="F13" s="257"/>
      <c r="G13" s="256"/>
      <c r="H13" s="310" t="s">
        <v>76</v>
      </c>
      <c r="I13" s="312">
        <f t="shared" si="0"/>
        <v>116.85000000000001</v>
      </c>
      <c r="J13" s="495">
        <v>114.7</v>
      </c>
      <c r="K13" s="491">
        <v>115.7</v>
      </c>
      <c r="L13" s="491">
        <v>116</v>
      </c>
      <c r="M13" s="491">
        <v>116.6</v>
      </c>
      <c r="N13" s="491">
        <v>116.8</v>
      </c>
      <c r="O13" s="491">
        <v>116.9</v>
      </c>
      <c r="P13" s="491">
        <v>116.6</v>
      </c>
      <c r="Q13" s="491">
        <v>117</v>
      </c>
      <c r="R13" s="491">
        <v>117.2</v>
      </c>
      <c r="S13" s="491">
        <v>117.5</v>
      </c>
      <c r="T13" s="491">
        <v>117.5</v>
      </c>
      <c r="U13" s="496">
        <v>117.7</v>
      </c>
    </row>
    <row r="14" spans="1:251" ht="30" x14ac:dyDescent="0.25">
      <c r="A14" s="65" t="s">
        <v>227</v>
      </c>
      <c r="B14" s="55">
        <v>1.4500000000000001E-2</v>
      </c>
      <c r="C14" s="55"/>
      <c r="D14" s="55"/>
      <c r="E14" s="55"/>
      <c r="H14" s="310" t="s">
        <v>75</v>
      </c>
      <c r="I14" s="312">
        <f t="shared" si="0"/>
        <v>119.71666666666665</v>
      </c>
      <c r="J14" s="495">
        <v>117.4</v>
      </c>
      <c r="K14" s="491">
        <v>118.2</v>
      </c>
      <c r="L14" s="491">
        <v>119.1</v>
      </c>
      <c r="M14" s="491">
        <v>119.6</v>
      </c>
      <c r="N14" s="491">
        <v>119.5</v>
      </c>
      <c r="O14" s="491">
        <v>119.7</v>
      </c>
      <c r="P14" s="491">
        <v>119.5</v>
      </c>
      <c r="Q14" s="491">
        <v>119.7</v>
      </c>
      <c r="R14" s="491">
        <v>120.3</v>
      </c>
      <c r="S14" s="491">
        <v>120.6</v>
      </c>
      <c r="T14" s="491">
        <v>120.9</v>
      </c>
      <c r="U14" s="496">
        <v>120.7</v>
      </c>
    </row>
    <row r="15" spans="1:251" x14ac:dyDescent="0.25">
      <c r="A15" s="68" t="s">
        <v>108</v>
      </c>
      <c r="B15" s="56">
        <v>0.05</v>
      </c>
      <c r="C15" s="56">
        <v>0.05</v>
      </c>
      <c r="D15" s="56">
        <v>0.05</v>
      </c>
      <c r="E15" s="56">
        <v>0.05</v>
      </c>
      <c r="H15" s="310" t="s">
        <v>74</v>
      </c>
      <c r="I15" s="312">
        <f t="shared" si="0"/>
        <v>124.85000000000001</v>
      </c>
      <c r="J15" s="495">
        <v>121.9</v>
      </c>
      <c r="K15" s="491">
        <v>122.6</v>
      </c>
      <c r="L15" s="491">
        <v>123.6</v>
      </c>
      <c r="M15" s="491">
        <v>123.8</v>
      </c>
      <c r="N15" s="491">
        <v>124.5</v>
      </c>
      <c r="O15" s="491">
        <v>124.9</v>
      </c>
      <c r="P15" s="491">
        <v>124.7</v>
      </c>
      <c r="Q15" s="491">
        <v>125.3</v>
      </c>
      <c r="R15" s="491">
        <v>125.9</v>
      </c>
      <c r="S15" s="491">
        <v>125.9</v>
      </c>
      <c r="T15" s="491">
        <v>125.3</v>
      </c>
      <c r="U15" s="496">
        <v>124.9</v>
      </c>
    </row>
    <row r="16" spans="1:251" x14ac:dyDescent="0.25">
      <c r="A16" s="68" t="s">
        <v>229</v>
      </c>
      <c r="B16" s="56">
        <v>1.26E-2</v>
      </c>
      <c r="C16" s="56">
        <v>1.26E-2</v>
      </c>
      <c r="D16" s="56">
        <v>1.26E-2</v>
      </c>
      <c r="E16" s="56">
        <v>1.26E-2</v>
      </c>
      <c r="H16" s="310" t="s">
        <v>248</v>
      </c>
      <c r="I16" s="312">
        <f t="shared" si="0"/>
        <v>124.51666666666667</v>
      </c>
      <c r="J16" s="495">
        <v>124.6</v>
      </c>
      <c r="K16" s="491">
        <v>124.7</v>
      </c>
      <c r="L16" s="491">
        <v>124.8</v>
      </c>
      <c r="M16" s="491">
        <v>124.8</v>
      </c>
      <c r="N16" s="491">
        <v>124.5</v>
      </c>
      <c r="O16" s="491">
        <v>124.8</v>
      </c>
      <c r="P16" s="491">
        <v>124</v>
      </c>
      <c r="Q16" s="491">
        <v>124.4</v>
      </c>
      <c r="R16" s="491">
        <v>124.6</v>
      </c>
      <c r="S16" s="491">
        <v>124</v>
      </c>
      <c r="T16" s="491">
        <v>124.1</v>
      </c>
      <c r="U16" s="496">
        <v>124.2</v>
      </c>
    </row>
    <row r="17" spans="1:23" x14ac:dyDescent="0.25">
      <c r="A17" s="68" t="s">
        <v>40</v>
      </c>
      <c r="B17" s="57">
        <v>0.54</v>
      </c>
      <c r="C17" s="57">
        <v>0.54</v>
      </c>
      <c r="D17" s="57">
        <v>0.54</v>
      </c>
      <c r="E17" s="57">
        <v>0.54</v>
      </c>
      <c r="H17" s="313">
        <v>2010</v>
      </c>
      <c r="I17" s="312">
        <f t="shared" si="0"/>
        <v>125.85000000000001</v>
      </c>
      <c r="J17" s="495">
        <v>124.4</v>
      </c>
      <c r="K17" s="491">
        <v>124.8</v>
      </c>
      <c r="L17" s="491">
        <v>125.5</v>
      </c>
      <c r="M17" s="491">
        <v>125.8</v>
      </c>
      <c r="N17" s="491">
        <v>125.7</v>
      </c>
      <c r="O17" s="491">
        <v>126</v>
      </c>
      <c r="P17" s="491">
        <v>125.3</v>
      </c>
      <c r="Q17" s="491">
        <v>125.9</v>
      </c>
      <c r="R17" s="491">
        <v>126.4</v>
      </c>
      <c r="S17" s="491">
        <v>126.9</v>
      </c>
      <c r="T17" s="491">
        <v>127.2</v>
      </c>
      <c r="U17" s="496">
        <v>127.8</v>
      </c>
    </row>
    <row r="18" spans="1:23" x14ac:dyDescent="0.25">
      <c r="A18" s="71" t="s">
        <v>230</v>
      </c>
      <c r="B18" s="58">
        <f>B17*(1+(1-B8)*B21/B19)</f>
        <v>0.82800000000000007</v>
      </c>
      <c r="C18" s="58">
        <f>C17*(1+(1-C8)*C21/C19)</f>
        <v>0.82800000000000007</v>
      </c>
      <c r="D18" s="58">
        <f>D17*(1+(1-D8)*D21/D19)</f>
        <v>0.82800000000000007</v>
      </c>
      <c r="E18" s="58">
        <f>E17*(1+(1-E8)*E21/E19)</f>
        <v>0.82800000000000007</v>
      </c>
      <c r="H18" s="310" t="s">
        <v>249</v>
      </c>
      <c r="I18" s="312">
        <f t="shared" si="0"/>
        <v>130.4</v>
      </c>
      <c r="J18" s="495">
        <v>128.30000000000001</v>
      </c>
      <c r="K18" s="491">
        <v>129.1</v>
      </c>
      <c r="L18" s="491">
        <v>129.80000000000001</v>
      </c>
      <c r="M18" s="491">
        <v>130</v>
      </c>
      <c r="N18" s="491">
        <v>130.1</v>
      </c>
      <c r="O18" s="497">
        <v>130.5</v>
      </c>
      <c r="P18" s="497">
        <v>130.1</v>
      </c>
      <c r="Q18" s="491">
        <v>130.6</v>
      </c>
      <c r="R18" s="491">
        <v>131.1</v>
      </c>
      <c r="S18" s="491">
        <v>131.5</v>
      </c>
      <c r="T18" s="491">
        <v>131.6</v>
      </c>
      <c r="U18" s="496">
        <v>131.5</v>
      </c>
    </row>
    <row r="19" spans="1:23" x14ac:dyDescent="0.25">
      <c r="A19" s="71" t="s">
        <v>44</v>
      </c>
      <c r="B19" s="59">
        <v>0.6</v>
      </c>
      <c r="C19" s="59">
        <v>0.6</v>
      </c>
      <c r="D19" s="59">
        <v>0.6</v>
      </c>
      <c r="E19" s="59">
        <v>0.6</v>
      </c>
      <c r="H19" s="311">
        <v>2012</v>
      </c>
      <c r="I19" s="312">
        <f t="shared" si="0"/>
        <v>134.16666666666666</v>
      </c>
      <c r="J19" s="495">
        <v>132.4</v>
      </c>
      <c r="K19" s="491">
        <v>133.1</v>
      </c>
      <c r="L19" s="491">
        <v>133.6</v>
      </c>
      <c r="M19" s="491">
        <v>134</v>
      </c>
      <c r="N19" s="491">
        <v>134.1</v>
      </c>
      <c r="O19" s="491">
        <v>134.1</v>
      </c>
      <c r="P19" s="491">
        <v>133.9</v>
      </c>
      <c r="Q19" s="491">
        <v>134.19999999999999</v>
      </c>
      <c r="R19" s="491">
        <v>134.69999999999999</v>
      </c>
      <c r="S19" s="491">
        <v>134.9</v>
      </c>
      <c r="T19" s="498">
        <v>134.4</v>
      </c>
      <c r="U19" s="499">
        <v>134.6</v>
      </c>
    </row>
    <row r="20" spans="1:23" x14ac:dyDescent="0.25">
      <c r="A20" s="65" t="s">
        <v>107</v>
      </c>
      <c r="B20" s="60">
        <v>6.0000000000000001E-3</v>
      </c>
      <c r="C20" s="60">
        <v>6.0000000000000001E-3</v>
      </c>
      <c r="D20" s="60">
        <v>6.0000000000000001E-3</v>
      </c>
      <c r="E20" s="60">
        <v>6.0000000000000001E-3</v>
      </c>
      <c r="H20" s="311">
        <v>2013</v>
      </c>
      <c r="I20" s="312">
        <f t="shared" si="0"/>
        <v>136.06666666666663</v>
      </c>
      <c r="J20" s="495">
        <v>134.5</v>
      </c>
      <c r="K20" s="491">
        <v>135.30000000000001</v>
      </c>
      <c r="L20" s="491">
        <v>135.9</v>
      </c>
      <c r="M20" s="491">
        <v>136.1</v>
      </c>
      <c r="N20" s="491">
        <v>136.1</v>
      </c>
      <c r="O20" s="491">
        <v>136.1</v>
      </c>
      <c r="P20" s="491">
        <v>136</v>
      </c>
      <c r="Q20" s="491">
        <v>135.80000000000001</v>
      </c>
      <c r="R20" s="491">
        <v>136.30000000000001</v>
      </c>
      <c r="S20" s="491">
        <v>136.5</v>
      </c>
      <c r="T20" s="498">
        <v>136.30000000000001</v>
      </c>
      <c r="U20" s="499">
        <v>136.80000000000001</v>
      </c>
    </row>
    <row r="21" spans="1:23" x14ac:dyDescent="0.25">
      <c r="A21" s="71" t="s">
        <v>231</v>
      </c>
      <c r="B21" s="59">
        <f>1-B19</f>
        <v>0.4</v>
      </c>
      <c r="C21" s="59">
        <f t="shared" ref="C21:E21" si="1">1-C19</f>
        <v>0.4</v>
      </c>
      <c r="D21" s="59">
        <f t="shared" si="1"/>
        <v>0.4</v>
      </c>
      <c r="E21" s="59">
        <f t="shared" si="1"/>
        <v>0.4</v>
      </c>
      <c r="H21" s="311">
        <v>2014</v>
      </c>
      <c r="I21" s="312">
        <f t="shared" si="0"/>
        <v>137.46666666666667</v>
      </c>
      <c r="J21" s="495">
        <v>136.69999999999999</v>
      </c>
      <c r="K21" s="491">
        <v>137</v>
      </c>
      <c r="L21" s="491">
        <v>137.4</v>
      </c>
      <c r="M21" s="491">
        <v>137.6</v>
      </c>
      <c r="N21" s="491">
        <v>137.19999999999999</v>
      </c>
      <c r="O21" s="491">
        <v>137.30000000000001</v>
      </c>
      <c r="P21" s="491">
        <v>137.19999999999999</v>
      </c>
      <c r="Q21" s="491">
        <v>137.4</v>
      </c>
      <c r="R21" s="491">
        <v>138.1</v>
      </c>
      <c r="S21" s="491">
        <v>137.9</v>
      </c>
      <c r="T21" s="491">
        <v>137.6</v>
      </c>
      <c r="U21" s="496">
        <v>137.4</v>
      </c>
    </row>
    <row r="22" spans="1:23" x14ac:dyDescent="0.25">
      <c r="A22" s="68" t="s">
        <v>233</v>
      </c>
      <c r="B22" s="61">
        <f>B16+B14</f>
        <v>2.7099999999999999E-2</v>
      </c>
      <c r="C22" s="61">
        <f>C14+C16</f>
        <v>1.26E-2</v>
      </c>
      <c r="D22" s="61">
        <f>D14+D16</f>
        <v>1.26E-2</v>
      </c>
      <c r="E22" s="61">
        <f>E14+E16</f>
        <v>1.26E-2</v>
      </c>
      <c r="H22" s="311">
        <v>2015</v>
      </c>
      <c r="I22" s="312">
        <f>AVERAGE(M22:R22)</f>
        <v>137.16666666666666</v>
      </c>
      <c r="J22" s="495">
        <v>136.5</v>
      </c>
      <c r="K22" s="491">
        <v>136.80000000000001</v>
      </c>
      <c r="L22" s="491">
        <v>137.30000000000001</v>
      </c>
      <c r="M22" s="491">
        <v>137.30000000000001</v>
      </c>
      <c r="N22" s="491">
        <v>137.19999999999999</v>
      </c>
      <c r="O22" s="491">
        <v>137.19999999999999</v>
      </c>
      <c r="P22" s="491">
        <v>136.9</v>
      </c>
      <c r="Q22" s="491">
        <v>137.1</v>
      </c>
      <c r="R22" s="491">
        <v>137.30000000000001</v>
      </c>
      <c r="S22" s="491">
        <v>137.5</v>
      </c>
      <c r="T22" s="491">
        <v>137.30000000000001</v>
      </c>
      <c r="U22" s="496">
        <v>137.1</v>
      </c>
    </row>
    <row r="23" spans="1:23" x14ac:dyDescent="0.25">
      <c r="A23" s="68" t="s">
        <v>234</v>
      </c>
      <c r="B23" s="297">
        <f>B14+(B18*B15)+B20</f>
        <v>6.1900000000000004E-2</v>
      </c>
      <c r="C23" s="297">
        <f>C14+(C18*C15)+C20</f>
        <v>4.7400000000000005E-2</v>
      </c>
      <c r="D23" s="297">
        <f>D14+(D18*D15)+D20</f>
        <v>4.7400000000000005E-2</v>
      </c>
      <c r="E23" s="297">
        <f>E14+(E18*E15)+E20</f>
        <v>4.7400000000000005E-2</v>
      </c>
      <c r="H23" s="311">
        <v>2016</v>
      </c>
      <c r="I23" s="315">
        <f>AVERAGE(M23:R23)</f>
        <v>137.65</v>
      </c>
      <c r="J23" s="495">
        <v>136.5</v>
      </c>
      <c r="K23" s="491">
        <v>136.69999999999999</v>
      </c>
      <c r="L23" s="491">
        <v>137.19999999999999</v>
      </c>
      <c r="M23" s="491">
        <v>137.6</v>
      </c>
      <c r="N23" s="491">
        <v>137.6</v>
      </c>
      <c r="O23" s="491">
        <v>137.69999999999999</v>
      </c>
      <c r="P23" s="491">
        <v>137.5</v>
      </c>
      <c r="Q23" s="491">
        <v>137.6</v>
      </c>
      <c r="R23" s="491">
        <v>137.9</v>
      </c>
      <c r="S23" s="491">
        <v>138.1</v>
      </c>
      <c r="T23" s="491">
        <v>138.19999999999999</v>
      </c>
      <c r="U23" s="496">
        <v>138.5</v>
      </c>
    </row>
    <row r="24" spans="1:23" x14ac:dyDescent="0.25">
      <c r="A24" s="68"/>
      <c r="B24" s="299"/>
      <c r="C24" s="299"/>
      <c r="D24" s="299"/>
      <c r="E24" s="299"/>
      <c r="H24" s="311">
        <v>2017</v>
      </c>
      <c r="I24" s="315">
        <f>AVERAGE(M24:R24)</f>
        <v>138.65</v>
      </c>
      <c r="J24" s="500">
        <v>137.69999999999999</v>
      </c>
      <c r="K24" s="490">
        <v>138.4</v>
      </c>
      <c r="L24" s="490">
        <v>138.4</v>
      </c>
      <c r="M24" s="490">
        <v>138.80000000000001</v>
      </c>
      <c r="N24" s="490">
        <v>138.6</v>
      </c>
      <c r="O24" s="490">
        <v>138.69999999999999</v>
      </c>
      <c r="P24" s="490">
        <v>138.30000000000001</v>
      </c>
      <c r="Q24" s="490">
        <v>138.6</v>
      </c>
      <c r="R24" s="490">
        <v>138.9</v>
      </c>
      <c r="S24" s="490">
        <v>138.9</v>
      </c>
      <c r="T24" s="490">
        <v>139.19999999999999</v>
      </c>
      <c r="U24" s="501">
        <v>139.19999999999999</v>
      </c>
    </row>
    <row r="25" spans="1:23" x14ac:dyDescent="0.25">
      <c r="A25" s="71" t="s">
        <v>228</v>
      </c>
      <c r="B25" s="298">
        <f>B23*(B19/(B21+B19))+B22*(1-B8)*(B21/(B21+B19))</f>
        <v>4.5811999999999999E-2</v>
      </c>
      <c r="C25" s="298">
        <f>C23*(C19/(C21+C19))+C22*(1-C8)*(C21/(C21+C19))</f>
        <v>3.2472000000000001E-2</v>
      </c>
      <c r="D25" s="298">
        <f>D23*(D19/(D21+D19))+D22*(1-D8)*(D21/(D21+D19))</f>
        <v>3.2472000000000001E-2</v>
      </c>
      <c r="E25" s="298">
        <f>E23*(E19/(E21+E19))+E22*(1-E8)*(E21/(E21+E19))</f>
        <v>3.2472000000000001E-2</v>
      </c>
      <c r="H25" s="311">
        <v>2018</v>
      </c>
      <c r="I25" s="315">
        <f t="shared" ref="I25:I26" si="2">AVERAGE(M25:R25)</f>
        <v>140.23333333333332</v>
      </c>
      <c r="J25" s="500">
        <v>138.80000000000001</v>
      </c>
      <c r="K25" s="490">
        <v>139.19999999999999</v>
      </c>
      <c r="L25" s="490">
        <v>139.5</v>
      </c>
      <c r="M25" s="490">
        <v>139.80000000000001</v>
      </c>
      <c r="N25" s="490">
        <v>140</v>
      </c>
      <c r="O25" s="490">
        <v>140.30000000000001</v>
      </c>
      <c r="P25" s="490">
        <v>140.19999999999999</v>
      </c>
      <c r="Q25" s="490">
        <v>140.4</v>
      </c>
      <c r="R25" s="490">
        <v>140.69999999999999</v>
      </c>
      <c r="S25" s="490">
        <v>141</v>
      </c>
      <c r="T25" s="490">
        <v>141</v>
      </c>
      <c r="U25" s="501">
        <v>140.80000000000001</v>
      </c>
    </row>
    <row r="26" spans="1:23" x14ac:dyDescent="0.25">
      <c r="A26" s="70" t="s">
        <v>232</v>
      </c>
      <c r="B26" s="62">
        <f>B25/(1-B8)</f>
        <v>5.7264999999999996E-2</v>
      </c>
      <c r="C26" s="62">
        <f>C25/(1-C8)</f>
        <v>4.0590000000000001E-2</v>
      </c>
      <c r="D26" s="62">
        <f>D25/(1-D8)</f>
        <v>4.0590000000000001E-2</v>
      </c>
      <c r="E26" s="62">
        <f>E25/(1-E8)</f>
        <v>4.0590000000000001E-2</v>
      </c>
      <c r="H26" s="311">
        <v>2019</v>
      </c>
      <c r="I26" s="315">
        <f t="shared" si="2"/>
        <v>141.73333333333332</v>
      </c>
      <c r="J26" s="484">
        <v>140.30000000000001</v>
      </c>
      <c r="K26" s="485">
        <v>141</v>
      </c>
      <c r="L26" s="485">
        <v>141</v>
      </c>
      <c r="M26" s="485">
        <v>141.9</v>
      </c>
      <c r="N26" s="485">
        <v>141.6</v>
      </c>
      <c r="O26" s="485">
        <v>141.69999999999999</v>
      </c>
      <c r="P26" s="485">
        <v>141.30000000000001</v>
      </c>
      <c r="Q26" s="485">
        <v>141.9</v>
      </c>
      <c r="R26" s="485">
        <v>142</v>
      </c>
      <c r="S26" s="485"/>
      <c r="T26" s="485"/>
      <c r="U26" s="486"/>
    </row>
    <row r="27" spans="1:23" x14ac:dyDescent="0.25">
      <c r="A27" s="147"/>
      <c r="B27" s="63"/>
      <c r="C27" s="63"/>
      <c r="D27" s="63"/>
      <c r="E27" s="152"/>
      <c r="H27" s="311">
        <v>2020</v>
      </c>
      <c r="I27" s="508"/>
      <c r="J27" s="485"/>
      <c r="K27" s="485"/>
      <c r="L27" s="485"/>
      <c r="M27" s="485"/>
      <c r="N27" s="485"/>
      <c r="O27" s="485"/>
      <c r="P27" s="485"/>
      <c r="Q27" s="485"/>
      <c r="R27" s="485"/>
      <c r="S27" s="485"/>
      <c r="T27" s="485"/>
      <c r="U27" s="485"/>
    </row>
    <row r="28" spans="1:23" x14ac:dyDescent="0.25">
      <c r="A28" s="148" t="s">
        <v>235</v>
      </c>
      <c r="B28" s="264">
        <f>0.1*Tuloslaskelma!F13</f>
        <v>0</v>
      </c>
      <c r="C28" s="264">
        <f>0.1*Tuloslaskelma!G13</f>
        <v>0</v>
      </c>
      <c r="D28" s="264">
        <f>0.1*Tuloslaskelma!H13</f>
        <v>0</v>
      </c>
      <c r="E28" s="264">
        <f>0.1*Tuloslaskelma!I13</f>
        <v>0</v>
      </c>
      <c r="H28" s="311">
        <v>2021</v>
      </c>
      <c r="I28" s="508"/>
      <c r="J28" s="485"/>
      <c r="K28" s="485"/>
      <c r="L28" s="485"/>
      <c r="M28" s="485"/>
      <c r="N28" s="485"/>
      <c r="O28" s="485"/>
      <c r="P28" s="485"/>
      <c r="Q28" s="485"/>
      <c r="R28" s="485"/>
      <c r="S28" s="485"/>
      <c r="T28" s="485"/>
      <c r="U28" s="485"/>
    </row>
    <row r="29" spans="1:23" x14ac:dyDescent="0.25">
      <c r="A29" s="252" t="s">
        <v>147</v>
      </c>
      <c r="B29" s="264">
        <f>Vastaavaa!F28+Vastaavaa!F29+Vastaavaa!F32+Vastaavaa!F33+Vastaavaa!F34+Vastaavaa!F35+(-Tuloslaskelma!F73)-Tuloslaskelma!F70-Tuloslaskelma!F71-IF((Vastattavaa!F23)&gt;Tuloslaskelma!F75,Tuloslaskelma!F75,(Vastattavaa!F23))</f>
        <v>0</v>
      </c>
      <c r="C29" s="264">
        <f>Vastaavaa!G28+Vastaavaa!G29+Vastaavaa!G32+Vastaavaa!G33+Vastaavaa!G34+Vastaavaa!G35+(-Tuloslaskelma!G73)-Tuloslaskelma!G70-Tuloslaskelma!G71-IF((Vastattavaa!G23)&gt;Tuloslaskelma!G75,Tuloslaskelma!G75,(Vastattavaa!G23))</f>
        <v>0</v>
      </c>
      <c r="D29" s="264">
        <f>Vastaavaa!H28+Vastaavaa!H29+Vastaavaa!H32+Vastaavaa!H33+Vastaavaa!H34+Vastaavaa!H35+(-Tuloslaskelma!H73)-Tuloslaskelma!H70-Tuloslaskelma!H71-IF((Vastattavaa!H23)&gt;Tuloslaskelma!H75,Tuloslaskelma!H75,(Vastattavaa!H23))</f>
        <v>0</v>
      </c>
      <c r="E29" s="264">
        <f>Vastaavaa!I28+Vastaavaa!I29+Vastaavaa!I32+Vastaavaa!I33+Vastaavaa!I34+Vastaavaa!I35+(-Tuloslaskelma!I73)-Tuloslaskelma!I70-Tuloslaskelma!I71-IF((Vastattavaa!I23)&gt;Tuloslaskelma!I75,Tuloslaskelma!I75,(Vastattavaa!I23))</f>
        <v>0</v>
      </c>
      <c r="F29" s="301"/>
      <c r="H29" s="311">
        <v>2022</v>
      </c>
      <c r="I29" s="508"/>
      <c r="J29" s="485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</row>
    <row r="30" spans="1:23" ht="30" x14ac:dyDescent="0.25">
      <c r="A30" s="148" t="s">
        <v>217</v>
      </c>
      <c r="B30" s="464">
        <f>IF(B28&gt;B29,(B29),(B28))</f>
        <v>0</v>
      </c>
      <c r="C30" s="82">
        <f>IF(C28&gt;C29,(C29),(C28))</f>
        <v>0</v>
      </c>
      <c r="D30" s="82">
        <f>IF(D28&gt;D29,(D29),(D28))</f>
        <v>0</v>
      </c>
      <c r="E30" s="82">
        <f>IF(E28&gt;E29,(E29),(E28))</f>
        <v>0</v>
      </c>
      <c r="H30" s="311">
        <v>2023</v>
      </c>
      <c r="I30" s="508"/>
      <c r="J30" s="487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9"/>
      <c r="V30" s="5"/>
      <c r="W30" s="5"/>
    </row>
    <row r="31" spans="1:23" ht="30" x14ac:dyDescent="0.25">
      <c r="A31" s="300" t="s">
        <v>136</v>
      </c>
      <c r="B31" s="465">
        <f>-Parametrit!B22*Parametrit!B30</f>
        <v>0</v>
      </c>
      <c r="C31" s="64">
        <f>-Parametrit!C22*Parametrit!C30</f>
        <v>0</v>
      </c>
      <c r="D31" s="64">
        <f>-Parametrit!D22*Parametrit!D30</f>
        <v>0</v>
      </c>
      <c r="E31" s="64">
        <f>-Parametrit!E22*Parametrit!E30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</row>
    <row r="33" spans="1:9" x14ac:dyDescent="0.25">
      <c r="A33" s="159"/>
      <c r="B33" s="303"/>
      <c r="C33" s="303"/>
      <c r="D33" s="303"/>
      <c r="E33" s="303"/>
    </row>
    <row r="34" spans="1:9" x14ac:dyDescent="0.25">
      <c r="A34" s="140" t="s">
        <v>63</v>
      </c>
      <c r="B34" s="158"/>
      <c r="C34" s="144"/>
      <c r="D34" s="144"/>
      <c r="E34" s="144"/>
      <c r="F34" s="307"/>
    </row>
    <row r="35" spans="1:9" x14ac:dyDescent="0.25">
      <c r="A35" s="149" t="s">
        <v>57</v>
      </c>
      <c r="B35" s="31"/>
      <c r="C35" s="31"/>
      <c r="D35" s="144"/>
      <c r="E35" s="144"/>
      <c r="F35" s="307"/>
    </row>
    <row r="36" spans="1:9" ht="30" x14ac:dyDescent="0.25">
      <c r="A36" s="48" t="s">
        <v>84</v>
      </c>
      <c r="B36" s="69"/>
      <c r="C36" s="69"/>
      <c r="D36" s="69"/>
      <c r="E36" s="153"/>
    </row>
    <row r="37" spans="1:9" ht="30.75" thickBot="1" x14ac:dyDescent="0.3">
      <c r="A37" s="150" t="s">
        <v>85</v>
      </c>
      <c r="B37" s="151"/>
      <c r="C37" s="151"/>
      <c r="D37" s="151"/>
      <c r="E37" s="154"/>
    </row>
    <row r="38" spans="1:9" x14ac:dyDescent="0.25">
      <c r="A38" s="23"/>
      <c r="B38" s="23"/>
      <c r="C38" s="23"/>
      <c r="D38" s="23"/>
      <c r="E38" s="23"/>
    </row>
    <row r="39" spans="1:9" x14ac:dyDescent="0.25">
      <c r="A39" s="23"/>
      <c r="B39" s="23"/>
      <c r="C39" s="23"/>
      <c r="D39" s="23"/>
      <c r="E39" s="23"/>
    </row>
    <row r="40" spans="1:9" x14ac:dyDescent="0.25">
      <c r="C40" s="144"/>
    </row>
    <row r="41" spans="1:9" x14ac:dyDescent="0.25">
      <c r="A41" s="146"/>
      <c r="B41" s="144"/>
      <c r="C41" s="257"/>
      <c r="D41" s="145"/>
      <c r="E41" s="305"/>
    </row>
    <row r="42" spans="1:9" ht="15.75" thickBot="1" x14ac:dyDescent="0.3">
      <c r="A42" s="146"/>
      <c r="B42" s="144"/>
      <c r="C42" s="257"/>
      <c r="D42" s="71"/>
      <c r="E42" s="306"/>
    </row>
    <row r="43" spans="1:9" x14ac:dyDescent="0.25">
      <c r="A43" s="49" t="s">
        <v>68</v>
      </c>
      <c r="B43" s="448">
        <v>116.7</v>
      </c>
      <c r="E43" s="23"/>
    </row>
    <row r="44" spans="1:9" x14ac:dyDescent="0.25">
      <c r="A44" s="50" t="s">
        <v>73</v>
      </c>
      <c r="B44" s="51">
        <v>121.63333333333334</v>
      </c>
      <c r="E44" s="23"/>
      <c r="H44" s="3"/>
    </row>
    <row r="45" spans="1:9" x14ac:dyDescent="0.25">
      <c r="A45" s="50" t="s">
        <v>66</v>
      </c>
      <c r="B45" s="52">
        <v>125.13333333333333</v>
      </c>
      <c r="E45" s="23"/>
      <c r="H45" s="3"/>
    </row>
    <row r="46" spans="1:9" x14ac:dyDescent="0.25">
      <c r="A46" s="50" t="s">
        <v>67</v>
      </c>
      <c r="B46" s="52">
        <v>133.1</v>
      </c>
      <c r="E46" s="23"/>
      <c r="H46" s="3"/>
    </row>
    <row r="47" spans="1:9" x14ac:dyDescent="0.25">
      <c r="A47" s="50" t="s">
        <v>100</v>
      </c>
      <c r="B47" s="52">
        <v>138.83333333333334</v>
      </c>
      <c r="E47" s="23"/>
      <c r="H47" s="3"/>
    </row>
    <row r="48" spans="1:9" x14ac:dyDescent="0.25">
      <c r="A48" s="50" t="s">
        <v>101</v>
      </c>
      <c r="B48" s="51">
        <v>137.23333333333332</v>
      </c>
      <c r="E48" s="23"/>
      <c r="H48" s="3"/>
      <c r="I48" s="254"/>
    </row>
    <row r="49" spans="1:8" x14ac:dyDescent="0.25">
      <c r="A49" s="50" t="s">
        <v>102</v>
      </c>
      <c r="B49" s="51">
        <v>138.06666666666669</v>
      </c>
      <c r="E49" s="23"/>
      <c r="H49" s="3"/>
    </row>
    <row r="50" spans="1:8" x14ac:dyDescent="0.25">
      <c r="A50" s="50" t="s">
        <v>110</v>
      </c>
      <c r="B50" s="51">
        <v>143.26666666666668</v>
      </c>
      <c r="E50" s="23"/>
      <c r="H50" s="3"/>
    </row>
    <row r="51" spans="1:8" x14ac:dyDescent="0.25">
      <c r="A51" s="50" t="s">
        <v>111</v>
      </c>
      <c r="B51" s="52">
        <v>146.733</v>
      </c>
      <c r="E51" s="23"/>
      <c r="H51" s="3"/>
    </row>
    <row r="52" spans="1:8" x14ac:dyDescent="0.25">
      <c r="A52" s="50" t="s">
        <v>112</v>
      </c>
      <c r="B52" s="52">
        <v>148.46700000000001</v>
      </c>
      <c r="E52" s="23"/>
      <c r="H52" s="3"/>
    </row>
    <row r="53" spans="1:8" x14ac:dyDescent="0.25">
      <c r="A53" s="50" t="s">
        <v>113</v>
      </c>
      <c r="B53" s="52">
        <v>148.5</v>
      </c>
      <c r="E53" s="23"/>
      <c r="H53" s="3"/>
    </row>
    <row r="54" spans="1:8" ht="15.75" thickBot="1" x14ac:dyDescent="0.3">
      <c r="A54" s="53" t="s">
        <v>114</v>
      </c>
      <c r="B54" s="54"/>
      <c r="E54" s="23"/>
      <c r="H54" s="3"/>
    </row>
    <row r="55" spans="1:8" ht="12.75" x14ac:dyDescent="0.2">
      <c r="A55" s="4"/>
      <c r="H55" s="3"/>
    </row>
  </sheetData>
  <customSheetViews>
    <customSheetView guid="{C44CE6ED-446D-4E43-AC42-1BADDBA87353}" showGridLines="0">
      <pane ySplit="5" topLeftCell="A27" activePane="bottomLeft" state="frozen"/>
      <selection pane="bottomLeft" activeCell="H47" sqref="H47"/>
      <pageMargins left="0.5" right="0.59" top="0.66" bottom="0.64" header="0.4921259845" footer="0.4921259845"/>
      <pageSetup paperSize="9" scale="80" orientation="landscape" r:id="rId1"/>
      <headerFooter alignWithMargins="0"/>
    </customSheetView>
    <customSheetView guid="{8386F830-B269-4ACC-A789-9E42C0FB51D1}" showGridLines="0" topLeftCell="B1">
      <pane ySplit="5" topLeftCell="A33" activePane="bottomLeft" state="frozen"/>
      <selection pane="bottomLeft" activeCell="D52" sqref="D52"/>
      <pageMargins left="0.5" right="0.59" top="0.66" bottom="0.64" header="0.4921259845" footer="0.4921259845"/>
      <pageSetup paperSize="9" scale="80" orientation="landscape" r:id="rId2"/>
      <headerFooter alignWithMargins="0"/>
    </customSheetView>
  </customSheetViews>
  <phoneticPr fontId="6" type="noConversion"/>
  <pageMargins left="0.5" right="0.59" top="0.66" bottom="0.64" header="0.4921259845" footer="0.4921259845"/>
  <pageSetup paperSize="9" scale="80" orientation="landscape" r:id="rId3"/>
  <headerFooter alignWithMargins="0"/>
  <ignoredErrors>
    <ignoredError sqref="I9:I21 I7:I8 I22" formulaRange="1"/>
    <ignoredError sqref="H10:H18 H7:H8" numberStoredAsText="1"/>
    <ignoredError sqref="I23:I2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56"/>
  <sheetViews>
    <sheetView zoomScale="110" zoomScaleNormal="110" workbookViewId="0">
      <pane xSplit="2" ySplit="5" topLeftCell="C9" activePane="bottomRight" state="frozen"/>
      <selection pane="topRight" activeCell="B1" sqref="B1"/>
      <selection pane="bottomLeft" activeCell="A6" sqref="A6"/>
      <selection pane="bottomRight" activeCell="C12" sqref="C12:K24"/>
    </sheetView>
  </sheetViews>
  <sheetFormatPr defaultRowHeight="12.75" x14ac:dyDescent="0.2"/>
  <cols>
    <col min="2" max="2" width="75.140625" customWidth="1"/>
    <col min="3" max="3" width="13.5703125" customWidth="1"/>
    <col min="4" max="4" width="14" bestFit="1" customWidth="1"/>
    <col min="5" max="5" width="13.85546875" customWidth="1"/>
    <col min="6" max="9" width="14" bestFit="1" customWidth="1"/>
    <col min="10" max="14" width="12.140625" customWidth="1"/>
  </cols>
  <sheetData>
    <row r="1" spans="1:257" s="284" customFormat="1" ht="15" customHeight="1" x14ac:dyDescent="0.2">
      <c r="B1" s="267" t="s">
        <v>222</v>
      </c>
      <c r="C1" s="280"/>
      <c r="D1" s="280"/>
      <c r="E1" s="281"/>
      <c r="F1" s="281"/>
      <c r="G1" s="285"/>
      <c r="I1" s="285" t="s">
        <v>142</v>
      </c>
    </row>
    <row r="2" spans="1:257" s="285" customFormat="1" ht="15" customHeight="1" x14ac:dyDescent="0.2">
      <c r="B2" s="286" t="s">
        <v>223</v>
      </c>
      <c r="C2" s="287"/>
      <c r="D2" s="288"/>
      <c r="E2" s="288"/>
      <c r="F2" s="288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  <c r="IT2" s="284"/>
      <c r="IU2" s="284"/>
      <c r="IV2" s="284"/>
      <c r="IW2" s="284"/>
    </row>
    <row r="3" spans="1:257" s="284" customFormat="1" ht="15" customHeight="1" x14ac:dyDescent="0.2">
      <c r="B3" s="289"/>
      <c r="C3" s="290"/>
      <c r="D3" s="291"/>
      <c r="E3" s="281"/>
      <c r="F3" s="281"/>
    </row>
    <row r="4" spans="1:257" s="284" customFormat="1" ht="15" customHeight="1" x14ac:dyDescent="0.2">
      <c r="B4" s="292"/>
    </row>
    <row r="5" spans="1:257" s="318" customFormat="1" ht="15" customHeight="1" x14ac:dyDescent="0.2">
      <c r="B5" s="316" t="s">
        <v>42</v>
      </c>
      <c r="C5" s="317" t="s">
        <v>263</v>
      </c>
      <c r="D5" s="317" t="s">
        <v>264</v>
      </c>
      <c r="E5" s="317" t="s">
        <v>265</v>
      </c>
      <c r="F5" s="317" t="s">
        <v>266</v>
      </c>
      <c r="G5" s="317" t="s">
        <v>267</v>
      </c>
      <c r="H5" s="317" t="s">
        <v>268</v>
      </c>
      <c r="I5" s="317" t="s">
        <v>269</v>
      </c>
      <c r="J5" s="317" t="s">
        <v>270</v>
      </c>
      <c r="K5" s="317">
        <v>2020</v>
      </c>
      <c r="L5" s="317">
        <v>2021</v>
      </c>
      <c r="M5" s="317">
        <v>2022</v>
      </c>
      <c r="N5" s="317">
        <v>2023</v>
      </c>
    </row>
    <row r="6" spans="1:257" s="1" customFormat="1" ht="15" x14ac:dyDescent="0.25">
      <c r="B6" s="8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</row>
    <row r="7" spans="1:257" ht="15" x14ac:dyDescent="0.25">
      <c r="B7" s="85"/>
      <c r="C7" s="320"/>
      <c r="D7" s="320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257" ht="15" x14ac:dyDescent="0.25">
      <c r="B8" s="91" t="s">
        <v>115</v>
      </c>
      <c r="C8" s="76">
        <f>C26+C41</f>
        <v>0</v>
      </c>
      <c r="D8" s="76">
        <f t="shared" ref="D8:N8" si="0">D26+D41</f>
        <v>0</v>
      </c>
      <c r="E8" s="76">
        <f t="shared" si="0"/>
        <v>0</v>
      </c>
      <c r="F8" s="76">
        <f t="shared" si="0"/>
        <v>0</v>
      </c>
      <c r="G8" s="76">
        <f t="shared" si="0"/>
        <v>0</v>
      </c>
      <c r="H8" s="76">
        <f t="shared" si="0"/>
        <v>0</v>
      </c>
      <c r="I8" s="76">
        <f t="shared" si="0"/>
        <v>0</v>
      </c>
      <c r="J8" s="76">
        <f>J26+J41</f>
        <v>0</v>
      </c>
      <c r="K8" s="76">
        <f t="shared" si="0"/>
        <v>0</v>
      </c>
      <c r="L8" s="76">
        <f t="shared" si="0"/>
        <v>0</v>
      </c>
      <c r="M8" s="76">
        <f t="shared" si="0"/>
        <v>0</v>
      </c>
      <c r="N8" s="76">
        <f t="shared" si="0"/>
        <v>0</v>
      </c>
    </row>
    <row r="9" spans="1:257" ht="15" x14ac:dyDescent="0.25">
      <c r="B9" s="8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257" ht="15" x14ac:dyDescent="0.25">
      <c r="B10" s="91" t="s">
        <v>145</v>
      </c>
      <c r="C10" s="76">
        <f>C8*Parametrit!$I19/Parametrit!$I12</f>
        <v>0</v>
      </c>
      <c r="D10" s="76">
        <f>D8*Parametrit!$I20/Parametrit!$I12</f>
        <v>0</v>
      </c>
      <c r="E10" s="76">
        <f>E8*Parametrit!$I21/Parametrit!$I12</f>
        <v>0</v>
      </c>
      <c r="F10" s="76">
        <f>F8*Parametrit!$I22/Parametrit!$I12</f>
        <v>0</v>
      </c>
      <c r="G10" s="76">
        <f>G8*Parametrit!$I23/Parametrit!$I12</f>
        <v>0</v>
      </c>
      <c r="H10" s="76">
        <f>H8*Parametrit!$I24/Parametrit!$I12</f>
        <v>0</v>
      </c>
      <c r="I10" s="76">
        <f>I8*Parametrit!$I25/Parametrit!$I12</f>
        <v>0</v>
      </c>
      <c r="J10" s="76">
        <f>J8*Parametrit!$I26/Parametrit!$I12</f>
        <v>0</v>
      </c>
      <c r="K10" s="76">
        <f>K8*Parametrit!$I27/Parametrit!$I12</f>
        <v>0</v>
      </c>
      <c r="L10" s="76">
        <f>L8*Parametrit!$I28/Parametrit!$I12</f>
        <v>0</v>
      </c>
      <c r="M10" s="76">
        <f>M8*Parametrit!$I29/Parametrit!$I12</f>
        <v>0</v>
      </c>
      <c r="N10" s="76">
        <f>N8*Parametrit!$I30/Parametrit!$I12</f>
        <v>0</v>
      </c>
    </row>
    <row r="11" spans="1:257" ht="15" x14ac:dyDescent="0.25">
      <c r="B11" s="88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</row>
    <row r="12" spans="1:257" ht="30" x14ac:dyDescent="0.25">
      <c r="A12" s="515"/>
      <c r="B12" s="529" t="s">
        <v>77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1:257" ht="3.75" customHeight="1" x14ac:dyDescent="0.2"/>
    <row r="14" spans="1:257" ht="30" x14ac:dyDescent="0.25">
      <c r="A14" s="515"/>
      <c r="B14" s="529" t="s">
        <v>79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1:257" ht="3.75" customHeight="1" x14ac:dyDescent="0.2"/>
    <row r="16" spans="1:257" ht="30" x14ac:dyDescent="0.25">
      <c r="A16" s="515"/>
      <c r="B16" s="529" t="s">
        <v>78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3.75" customHeight="1" x14ac:dyDescent="0.2"/>
    <row r="18" spans="1:14" ht="30" x14ac:dyDescent="0.25">
      <c r="A18" s="515"/>
      <c r="B18" s="529" t="s">
        <v>80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ht="3.75" customHeight="1" x14ac:dyDescent="0.2"/>
    <row r="20" spans="1:14" ht="30" x14ac:dyDescent="0.25">
      <c r="A20" s="515"/>
      <c r="B20" s="529" t="s">
        <v>81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ht="3.75" customHeight="1" x14ac:dyDescent="0.2"/>
    <row r="22" spans="1:14" ht="30" x14ac:dyDescent="0.25">
      <c r="A22" s="515"/>
      <c r="B22" s="529" t="s">
        <v>82</v>
      </c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ht="3.75" customHeight="1" x14ac:dyDescent="0.2"/>
    <row r="24" spans="1:14" ht="30" x14ac:dyDescent="0.25">
      <c r="A24" s="518"/>
      <c r="B24" s="530" t="s">
        <v>382</v>
      </c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</row>
    <row r="25" spans="1:14" s="524" customFormat="1" ht="3.75" customHeight="1" x14ac:dyDescent="0.25">
      <c r="A25" s="522"/>
      <c r="B25" s="526"/>
      <c r="C25" s="525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</row>
    <row r="26" spans="1:14" ht="15.75" thickBot="1" x14ac:dyDescent="0.3">
      <c r="A26" s="518"/>
      <c r="B26" s="529" t="s">
        <v>377</v>
      </c>
      <c r="C26" s="521">
        <f t="shared" ref="C26:J26" si="1">((C12*C43+C14*C44+C16*C45+C18*C46+C20*C47+C22*C48)*(C24*1000000/C49))</f>
        <v>0</v>
      </c>
      <c r="D26" s="521">
        <f t="shared" si="1"/>
        <v>0</v>
      </c>
      <c r="E26" s="521">
        <f t="shared" si="1"/>
        <v>0</v>
      </c>
      <c r="F26" s="521">
        <f t="shared" si="1"/>
        <v>0</v>
      </c>
      <c r="G26" s="521">
        <f t="shared" si="1"/>
        <v>0</v>
      </c>
      <c r="H26" s="521">
        <f t="shared" si="1"/>
        <v>0</v>
      </c>
      <c r="I26" s="521">
        <f t="shared" si="1"/>
        <v>0</v>
      </c>
      <c r="J26" s="521">
        <f t="shared" si="1"/>
        <v>0</v>
      </c>
      <c r="K26" s="521">
        <f t="shared" ref="K26:N26" si="2">((K12*K43+K14*K44+K16*K45+K18*K46+K20*K47+K22*K48)*(K24*1000000/K49))</f>
        <v>0</v>
      </c>
      <c r="L26" s="521">
        <f t="shared" si="2"/>
        <v>0</v>
      </c>
      <c r="M26" s="521">
        <f t="shared" si="2"/>
        <v>0</v>
      </c>
      <c r="N26" s="521">
        <f t="shared" si="2"/>
        <v>0</v>
      </c>
    </row>
    <row r="27" spans="1:14" ht="30.75" thickTop="1" x14ac:dyDescent="0.25">
      <c r="A27" s="516"/>
      <c r="B27" s="529" t="s">
        <v>383</v>
      </c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</row>
    <row r="28" spans="1:14" ht="3.75" customHeight="1" x14ac:dyDescent="0.2"/>
    <row r="29" spans="1:14" ht="30" x14ac:dyDescent="0.25">
      <c r="A29" s="516"/>
      <c r="B29" s="529" t="s">
        <v>384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ht="3.75" customHeight="1" x14ac:dyDescent="0.2"/>
    <row r="31" spans="1:14" ht="30" x14ac:dyDescent="0.25">
      <c r="A31" s="516"/>
      <c r="B31" s="529" t="s">
        <v>385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ht="3.75" customHeight="1" x14ac:dyDescent="0.2"/>
    <row r="33" spans="1:14" ht="30" x14ac:dyDescent="0.25">
      <c r="A33" s="516"/>
      <c r="B33" s="529" t="s">
        <v>386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 ht="3.75" customHeight="1" x14ac:dyDescent="0.2"/>
    <row r="35" spans="1:14" ht="30" x14ac:dyDescent="0.25">
      <c r="A35" s="516"/>
      <c r="B35" s="529" t="s">
        <v>387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ht="3.75" customHeight="1" x14ac:dyDescent="0.2"/>
    <row r="37" spans="1:14" ht="30" x14ac:dyDescent="0.25">
      <c r="A37" s="516"/>
      <c r="B37" s="529" t="s">
        <v>388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</row>
    <row r="38" spans="1:14" ht="3.75" customHeight="1" x14ac:dyDescent="0.2"/>
    <row r="39" spans="1:14" ht="30" x14ac:dyDescent="0.25">
      <c r="A39" s="516"/>
      <c r="B39" s="529" t="s">
        <v>381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</row>
    <row r="40" spans="1:14" s="524" customFormat="1" ht="3.75" customHeight="1" x14ac:dyDescent="0.25">
      <c r="A40" s="522"/>
      <c r="B40" s="527"/>
      <c r="C40" s="525"/>
      <c r="D40" s="523"/>
      <c r="E40" s="523"/>
      <c r="F40" s="523"/>
      <c r="G40" s="523"/>
      <c r="H40" s="523"/>
      <c r="I40" s="523"/>
      <c r="J40" s="523"/>
      <c r="K40" s="523"/>
      <c r="L40" s="523"/>
      <c r="M40" s="523"/>
      <c r="N40" s="523"/>
    </row>
    <row r="41" spans="1:14" ht="15" x14ac:dyDescent="0.25">
      <c r="A41" s="516"/>
      <c r="B41" s="529" t="s">
        <v>376</v>
      </c>
      <c r="C41" s="519">
        <f t="shared" ref="C41:J41" si="3">((C27*C$43+C29*C$44+C31*C$45+C33*C$46+C35*C$47+C37*C$48)*(C39*1000000/C$49))</f>
        <v>0</v>
      </c>
      <c r="D41" s="519">
        <f t="shared" si="3"/>
        <v>0</v>
      </c>
      <c r="E41" s="519">
        <f t="shared" si="3"/>
        <v>0</v>
      </c>
      <c r="F41" s="519">
        <f t="shared" si="3"/>
        <v>0</v>
      </c>
      <c r="G41" s="519">
        <f t="shared" si="3"/>
        <v>0</v>
      </c>
      <c r="H41" s="519">
        <f t="shared" si="3"/>
        <v>0</v>
      </c>
      <c r="I41" s="519">
        <f t="shared" si="3"/>
        <v>0</v>
      </c>
      <c r="J41" s="519">
        <f t="shared" si="3"/>
        <v>0</v>
      </c>
      <c r="K41" s="519">
        <f t="shared" ref="K41:N41" si="4">((K27*K$43+K29*K$44+K31*K$45+K33*K$46+K35*K$47+K37*K$48)*(K39*1000000/K$49))</f>
        <v>0</v>
      </c>
      <c r="L41" s="519">
        <f t="shared" si="4"/>
        <v>0</v>
      </c>
      <c r="M41" s="519">
        <f t="shared" si="4"/>
        <v>0</v>
      </c>
      <c r="N41" s="519">
        <f t="shared" si="4"/>
        <v>0</v>
      </c>
    </row>
    <row r="42" spans="1:14" ht="15" x14ac:dyDescent="0.25"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</row>
    <row r="43" spans="1:14" ht="30" x14ac:dyDescent="0.25">
      <c r="A43" s="289"/>
      <c r="B43" s="529" t="s">
        <v>70</v>
      </c>
      <c r="C43" s="79">
        <v>11</v>
      </c>
      <c r="D43" s="79">
        <v>11</v>
      </c>
      <c r="E43" s="79">
        <v>11</v>
      </c>
      <c r="F43" s="79">
        <v>11</v>
      </c>
      <c r="G43" s="79">
        <v>11</v>
      </c>
      <c r="H43" s="79">
        <v>11</v>
      </c>
      <c r="I43" s="79">
        <v>11</v>
      </c>
      <c r="J43" s="79">
        <v>11</v>
      </c>
      <c r="K43" s="79">
        <v>11</v>
      </c>
      <c r="L43" s="79">
        <v>11</v>
      </c>
      <c r="M43" s="79">
        <v>11</v>
      </c>
      <c r="N43" s="79">
        <v>11</v>
      </c>
    </row>
    <row r="44" spans="1:14" ht="30" x14ac:dyDescent="0.25">
      <c r="A44" s="289"/>
      <c r="B44" s="529" t="s">
        <v>71</v>
      </c>
      <c r="C44" s="80">
        <v>1.1000000000000001</v>
      </c>
      <c r="D44" s="80">
        <v>1.1000000000000001</v>
      </c>
      <c r="E44" s="80">
        <v>1.1000000000000001</v>
      </c>
      <c r="F44" s="80">
        <v>1.1000000000000001</v>
      </c>
      <c r="G44" s="80">
        <v>1.1000000000000001</v>
      </c>
      <c r="H44" s="80">
        <v>1.1000000000000001</v>
      </c>
      <c r="I44" s="80">
        <v>1.1000000000000001</v>
      </c>
      <c r="J44" s="80">
        <v>1.1000000000000001</v>
      </c>
      <c r="K44" s="80">
        <v>1.1000000000000001</v>
      </c>
      <c r="L44" s="80">
        <v>1.1000000000000001</v>
      </c>
      <c r="M44" s="80">
        <v>1.1000000000000001</v>
      </c>
      <c r="N44" s="80">
        <v>1.1000000000000001</v>
      </c>
    </row>
    <row r="45" spans="1:14" ht="30" x14ac:dyDescent="0.25">
      <c r="A45" s="289"/>
      <c r="B45" s="529" t="s">
        <v>69</v>
      </c>
      <c r="C45" s="80">
        <v>6.8</v>
      </c>
      <c r="D45" s="80">
        <v>6.8</v>
      </c>
      <c r="E45" s="80">
        <v>6.8</v>
      </c>
      <c r="F45" s="80">
        <v>6.8</v>
      </c>
      <c r="G45" s="80">
        <v>6.8</v>
      </c>
      <c r="H45" s="80">
        <v>6.8</v>
      </c>
      <c r="I45" s="80">
        <v>6.8</v>
      </c>
      <c r="J45" s="80">
        <v>6.8</v>
      </c>
      <c r="K45" s="80">
        <v>6.8</v>
      </c>
      <c r="L45" s="80">
        <v>6.8</v>
      </c>
      <c r="M45" s="80">
        <v>6.8</v>
      </c>
      <c r="N45" s="80">
        <v>6.8</v>
      </c>
    </row>
    <row r="46" spans="1:14" ht="30" x14ac:dyDescent="0.25">
      <c r="A46" s="289"/>
      <c r="B46" s="529" t="s">
        <v>72</v>
      </c>
      <c r="C46" s="80">
        <v>0.5</v>
      </c>
      <c r="D46" s="80">
        <v>0.5</v>
      </c>
      <c r="E46" s="80">
        <v>0.5</v>
      </c>
      <c r="F46" s="80">
        <v>0.5</v>
      </c>
      <c r="G46" s="80">
        <v>0.5</v>
      </c>
      <c r="H46" s="80">
        <v>0.5</v>
      </c>
      <c r="I46" s="80">
        <v>0.5</v>
      </c>
      <c r="J46" s="80">
        <v>0.5</v>
      </c>
      <c r="K46" s="80">
        <v>0.5</v>
      </c>
      <c r="L46" s="80">
        <v>0.5</v>
      </c>
      <c r="M46" s="80">
        <v>0.5</v>
      </c>
      <c r="N46" s="80">
        <v>0.5</v>
      </c>
    </row>
    <row r="47" spans="1:14" ht="30" x14ac:dyDescent="0.25">
      <c r="A47" s="289"/>
      <c r="B47" s="529" t="s">
        <v>379</v>
      </c>
      <c r="C47" s="80">
        <v>1.1000000000000001</v>
      </c>
      <c r="D47" s="80">
        <v>1.1000000000000001</v>
      </c>
      <c r="E47" s="80">
        <v>1.1000000000000001</v>
      </c>
      <c r="F47" s="80">
        <v>1.1000000000000001</v>
      </c>
      <c r="G47" s="80">
        <v>1.1000000000000001</v>
      </c>
      <c r="H47" s="80">
        <v>1.1000000000000001</v>
      </c>
      <c r="I47" s="80">
        <v>1.1000000000000001</v>
      </c>
      <c r="J47" s="80">
        <v>1.1000000000000001</v>
      </c>
      <c r="K47" s="80">
        <v>1.1000000000000001</v>
      </c>
      <c r="L47" s="80">
        <v>1.1000000000000001</v>
      </c>
      <c r="M47" s="80">
        <v>1.1000000000000001</v>
      </c>
      <c r="N47" s="80">
        <v>1.1000000000000001</v>
      </c>
    </row>
    <row r="48" spans="1:14" ht="30" x14ac:dyDescent="0.25">
      <c r="A48" s="289"/>
      <c r="B48" s="529" t="s">
        <v>380</v>
      </c>
      <c r="C48" s="80">
        <v>0.55000000000000004</v>
      </c>
      <c r="D48" s="80">
        <v>0.55000000000000004</v>
      </c>
      <c r="E48" s="80">
        <v>0.55000000000000004</v>
      </c>
      <c r="F48" s="80">
        <v>0.55000000000000004</v>
      </c>
      <c r="G48" s="80">
        <v>0.55000000000000004</v>
      </c>
      <c r="H48" s="80">
        <v>0.55000000000000004</v>
      </c>
      <c r="I48" s="80">
        <v>0.55000000000000004</v>
      </c>
      <c r="J48" s="80">
        <v>0.55000000000000004</v>
      </c>
      <c r="K48" s="80">
        <v>0.55000000000000004</v>
      </c>
      <c r="L48" s="80">
        <v>0.55000000000000004</v>
      </c>
      <c r="M48" s="80">
        <v>0.55000000000000004</v>
      </c>
      <c r="N48" s="80">
        <v>0.55000000000000004</v>
      </c>
    </row>
    <row r="49" spans="2:14" ht="15" x14ac:dyDescent="0.25">
      <c r="B49" s="529" t="s">
        <v>83</v>
      </c>
      <c r="C49" s="82">
        <v>8784</v>
      </c>
      <c r="D49" s="82">
        <v>8760</v>
      </c>
      <c r="E49" s="82">
        <v>8760</v>
      </c>
      <c r="F49" s="82">
        <v>8760</v>
      </c>
      <c r="G49" s="82">
        <v>8784</v>
      </c>
      <c r="H49" s="82">
        <v>8760</v>
      </c>
      <c r="I49" s="82">
        <v>8760</v>
      </c>
      <c r="J49" s="82">
        <v>8760</v>
      </c>
      <c r="K49" s="82">
        <v>8784</v>
      </c>
      <c r="L49" s="82">
        <v>8760</v>
      </c>
      <c r="M49" s="82">
        <v>8760</v>
      </c>
      <c r="N49" s="82">
        <v>8760</v>
      </c>
    </row>
    <row r="51" spans="2:14" ht="15" x14ac:dyDescent="0.25">
      <c r="B51" s="90" t="s">
        <v>378</v>
      </c>
      <c r="C51" s="84"/>
      <c r="D51" s="84"/>
      <c r="E51" s="84"/>
      <c r="F51" s="84"/>
      <c r="G51" s="84"/>
      <c r="H51" s="84"/>
      <c r="I51" s="84"/>
      <c r="J51" s="84"/>
      <c r="K51" s="84" t="e">
        <f>(((C26*K24/C24)*(Parametrit!$I27/Parametrit!$I12)+(D26*K24/D24)*(Parametrit!$I27/Parametrit!$I12)+(E26*K24/E24)*(Parametrit!$I27/Parametrit!$I12)+(F26*K24/F24)*(Parametrit!$I27/Parametrit!$I12)+(G26*K24/G24)*(Parametrit!$I27/Parametrit!$I12)+(H26*K24/H24)*(Parametrit!$I27/Parametrit!$I12)+(I26*K24/I24)*(Parametrit!$I27/Parametrit!$I12)+(J26*K24/J24)*(Parametrit!$I27/Parametrit!$I12))/8)+(((D41*K39/D39)*(Parametrit!$I27/Parametrit!$I12)+(E41*K39/E39)*(Parametrit!$I27/Parametrit!$I12)+(F41*K39/F39)*(Parametrit!$I27/Parametrit!$I12)+(G41*K39/G39)*(Parametrit!$I27/Parametrit!$I12)+(H41*K39/H39)*(Parametrit!$I27/Parametrit!$I12)+(I41*K39/I39)*(Parametrit!$I27/Parametrit!$I12)+(J41*K39/J39)*(Parametrit!$I27/Parametrit!$I12))/7)</f>
        <v>#DIV/0!</v>
      </c>
      <c r="L51" s="84" t="e">
        <f>(((C26*L24/C24)*(Parametrit!$I28/Parametrit!$I12)+(D26*L24/D24)*(Parametrit!$I28/Parametrit!$I12)+(E26*L24/E24)*(Parametrit!$I28/Parametrit!$I12)+(F26*L24/F24)*(Parametrit!$I28/Parametrit!$I12)+(G26*L24/G24)*(Parametrit!$I28/Parametrit!$I12)+(H26*L24/H24)*(Parametrit!$I28/Parametrit!$I12)+(I26*L24/I24)*(Parametrit!$I28/Parametrit!$I12)+(J26*L24/J24)*(Parametrit!$I28/Parametrit!$I12))/8)+(((D41*L39/D39)*(Parametrit!$I28/Parametrit!$I12)+(E41*L39/E39)*(Parametrit!$I28/Parametrit!$I12)+(F41*L39/F39)*(Parametrit!$I28/Parametrit!$I12)+(G41*L39/G39)*(Parametrit!$I28/Parametrit!$I12)+(H41*L39/H39)*(Parametrit!$I28/Parametrit!$I12)+(I41*L39/I39)*(Parametrit!$I28/Parametrit!$I12)+(J41*L39/J39)*(Parametrit!$I28/Parametrit!$I12))/7)</f>
        <v>#DIV/0!</v>
      </c>
      <c r="M51" s="84" t="e">
        <f>(((C26*M24/C24)*(Parametrit!$I29/Parametrit!$I12)+(D26*M24/D24)*(Parametrit!$I29/Parametrit!$I12)+(E26*M24/E24)*(Parametrit!$I29/Parametrit!$I12)+(F26*M24/F24)*(Parametrit!$I29/Parametrit!$I12)+(G26*M24/G24)*(Parametrit!$I29/Parametrit!$I12)+(H26*M24/H24)*(Parametrit!$I29/Parametrit!$I12)+(I26*M24/I24)*(Parametrit!$I29/Parametrit!$I12)+(J26*M24/J24)*(Parametrit!$I29/Parametrit!$I12))/8)+(((D41*M39/D39)*(Parametrit!$I29/Parametrit!$I12)+(E41*M39/E39)*(Parametrit!$I29/Parametrit!$I12)+(F41*M39/F39)*(Parametrit!$I29/Parametrit!$I12)+(G41*M39/G39)*(Parametrit!$I29/Parametrit!$I12)+(H41*M39/H39)*(Parametrit!$I29/Parametrit!$I12)+(I41*M39/I39)*(Parametrit!$I29/Parametrit!$I12)+(J41*M39/J39)*(Parametrit!$I29/Parametrit!$I12))/7)</f>
        <v>#DIV/0!</v>
      </c>
      <c r="N51" s="84" t="e">
        <f>(((C26*N24/C24)*(Parametrit!$I30/Parametrit!$I12)+(D26*N24/D24)*(Parametrit!$I30/Parametrit!$I12)+(E26*N24/E24)*(Parametrit!$I30/Parametrit!$I12)+(F26*N24/F24)*(Parametrit!$I30/Parametrit!$I12)+(G26*N24/G24)*(Parametrit!$I30/Parametrit!$I12)+(H26*N24/H24)*(Parametrit!$I30/Parametrit!$I12)+(I26*N24/I24)*(Parametrit!$I30/Parametrit!$I12)+(J26*N24/J24)*(Parametrit!$I30/Parametrit!$I12))/8)+(((D41*N39/D39)*(Parametrit!$I30/Parametrit!$I12)+(E41*N39/E39)*(Parametrit!$I30/Parametrit!$I12)+(F41*N39/F39)*(Parametrit!$I30/Parametrit!$I12)+(G41*N39/G39)*(Parametrit!$I30/Parametrit!$I12)+(H41*N39/H39)*(Parametrit!$I30/Parametrit!$I12)+(I41*N39/I39)*(Parametrit!$I30/Parametrit!$I12)+(J41*N39/J39)*(Parametrit!$I30/Parametrit!$I12))/7)</f>
        <v>#DIV/0!</v>
      </c>
    </row>
    <row r="53" spans="2:14" ht="15" x14ac:dyDescent="0.25">
      <c r="B53" s="70" t="s">
        <v>389</v>
      </c>
    </row>
    <row r="54" spans="2:14" ht="45" x14ac:dyDescent="0.25">
      <c r="B54" s="48" t="s">
        <v>144</v>
      </c>
    </row>
    <row r="55" spans="2:14" x14ac:dyDescent="0.2">
      <c r="B55" s="531" t="s">
        <v>390</v>
      </c>
    </row>
    <row r="56" spans="2:14" x14ac:dyDescent="0.2">
      <c r="B56" s="528" t="s">
        <v>391</v>
      </c>
      <c r="C56" s="528"/>
    </row>
  </sheetData>
  <customSheetViews>
    <customSheetView guid="{C44CE6ED-446D-4E43-AC42-1BADDBA87353}" showPageBreaks="1" printArea="1">
      <pane ySplit="5" topLeftCell="A6" activePane="bottomLeft" state="frozen"/>
      <selection pane="bottomLeft" activeCell="D10" sqref="D10"/>
      <pageMargins left="0.17" right="0.16" top="0.98425196850393704" bottom="0.98425196850393704" header="0.51181102362204722" footer="0.51181102362204722"/>
      <pageSetup paperSize="9" scale="65" orientation="landscape" r:id="rId1"/>
      <headerFooter alignWithMargins="0"/>
    </customSheetView>
    <customSheetView guid="{8386F830-B269-4ACC-A789-9E42C0FB51D1}" showPageBreaks="1" printArea="1">
      <pane ySplit="5" topLeftCell="A6" activePane="bottomLeft" state="frozen"/>
      <selection pane="bottomLeft" activeCell="B12" sqref="B12"/>
      <pageMargins left="0.17" right="0.16" top="0.98425196850393704" bottom="0.98425196850393704" header="0.51181102362204722" footer="0.51181102362204722"/>
      <pageSetup paperSize="9" scale="65" orientation="landscape" r:id="rId2"/>
      <headerFooter alignWithMargins="0"/>
    </customSheetView>
  </customSheetViews>
  <phoneticPr fontId="6" type="noConversion"/>
  <pageMargins left="0.17" right="0.16" top="0.98425196850393704" bottom="0.98425196850393704" header="0.51181102362204722" footer="0.51181102362204722"/>
  <pageSetup paperSize="9" scale="65" orientation="landscape" r:id="rId3"/>
  <headerFooter alignWithMargins="0"/>
  <ignoredErrors>
    <ignoredError sqref="C5:J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40"/>
  <sheetViews>
    <sheetView topLeftCell="A16" zoomScale="90" zoomScaleNormal="90" workbookViewId="0">
      <selection activeCell="B50" sqref="B50"/>
    </sheetView>
  </sheetViews>
  <sheetFormatPr defaultColWidth="9.140625" defaultRowHeight="15" x14ac:dyDescent="0.25"/>
  <cols>
    <col min="1" max="1" width="49.140625" style="83" customWidth="1"/>
    <col min="2" max="2" width="27.140625" style="83" customWidth="1"/>
    <col min="3" max="3" width="18.7109375" style="83" customWidth="1"/>
    <col min="4" max="4" width="18.28515625" style="83" customWidth="1"/>
    <col min="5" max="5" width="20.42578125" style="83" customWidth="1"/>
    <col min="6" max="6" width="21.5703125" style="83" customWidth="1"/>
    <col min="7" max="7" width="15.42578125" style="83" customWidth="1"/>
    <col min="8" max="8" width="17.28515625" style="83" customWidth="1"/>
    <col min="9" max="9" width="16" style="83" customWidth="1"/>
    <col min="10" max="10" width="15.42578125" style="83" customWidth="1"/>
    <col min="11" max="11" width="14.85546875" style="83" customWidth="1"/>
    <col min="12" max="12" width="16.7109375" style="83" customWidth="1"/>
    <col min="13" max="13" width="13" style="83" customWidth="1"/>
    <col min="14" max="14" width="16.7109375" style="83" bestFit="1" customWidth="1"/>
    <col min="15" max="15" width="18.5703125" style="83" bestFit="1" customWidth="1"/>
    <col min="16" max="16" width="9.140625" style="83"/>
    <col min="17" max="17" width="24.7109375" style="83" customWidth="1"/>
    <col min="18" max="18" width="17.7109375" style="83" customWidth="1"/>
    <col min="19" max="20" width="16.5703125" style="83" bestFit="1" customWidth="1"/>
    <col min="21" max="21" width="16.5703125" style="83" customWidth="1"/>
    <col min="22" max="16384" width="9.140625" style="83"/>
  </cols>
  <sheetData>
    <row r="1" spans="1:28" x14ac:dyDescent="0.25">
      <c r="A1" s="437" t="s">
        <v>329</v>
      </c>
      <c r="B1" s="436"/>
      <c r="C1" s="436"/>
      <c r="D1" s="360"/>
      <c r="E1" s="360"/>
      <c r="F1" s="360"/>
      <c r="G1" s="360"/>
      <c r="H1" s="360"/>
      <c r="I1" s="360"/>
      <c r="J1" s="360"/>
      <c r="K1" s="329"/>
      <c r="L1" s="360"/>
      <c r="M1" s="329"/>
      <c r="N1" s="329"/>
      <c r="O1" s="1"/>
      <c r="P1" s="1"/>
      <c r="Q1" s="1"/>
      <c r="R1" s="1"/>
      <c r="S1" s="1"/>
      <c r="T1" s="1"/>
      <c r="U1" s="1"/>
      <c r="V1"/>
      <c r="W1"/>
      <c r="X1"/>
      <c r="Y1"/>
      <c r="Z1"/>
      <c r="AA1"/>
      <c r="AB1"/>
    </row>
    <row r="2" spans="1:28" ht="57.75" x14ac:dyDescent="0.25">
      <c r="A2" s="399" t="s">
        <v>357</v>
      </c>
      <c r="B2" s="435"/>
      <c r="C2" s="429" t="s">
        <v>324</v>
      </c>
      <c r="D2" s="429" t="s">
        <v>323</v>
      </c>
      <c r="E2" s="429" t="s">
        <v>322</v>
      </c>
      <c r="F2" s="434" t="s">
        <v>321</v>
      </c>
      <c r="G2" s="433"/>
      <c r="H2" s="432"/>
      <c r="I2" s="431"/>
      <c r="J2" s="430"/>
      <c r="K2" s="429" t="s">
        <v>320</v>
      </c>
      <c r="L2" s="360"/>
      <c r="M2" s="329"/>
      <c r="N2" s="329"/>
      <c r="O2" s="1"/>
      <c r="P2" s="1"/>
      <c r="Q2" s="1"/>
      <c r="R2" s="1"/>
      <c r="S2" s="1"/>
      <c r="T2" s="1"/>
      <c r="U2" s="1"/>
      <c r="V2"/>
      <c r="W2"/>
      <c r="X2"/>
      <c r="Y2"/>
      <c r="Z2"/>
      <c r="AA2"/>
      <c r="AB2"/>
    </row>
    <row r="3" spans="1:28" ht="46.5" customHeight="1" x14ac:dyDescent="0.25">
      <c r="A3" s="428"/>
      <c r="B3" s="398"/>
      <c r="C3" s="427"/>
      <c r="D3" s="398"/>
      <c r="E3" s="427"/>
      <c r="F3" s="398"/>
      <c r="G3" s="426"/>
      <c r="H3" s="425" t="s">
        <v>116</v>
      </c>
      <c r="I3" s="424"/>
      <c r="J3" s="424"/>
      <c r="K3" s="397"/>
      <c r="L3" s="398"/>
      <c r="M3" s="329"/>
      <c r="N3" s="329"/>
      <c r="O3" s="1"/>
      <c r="P3" s="1"/>
      <c r="Q3" s="1"/>
      <c r="R3" s="1"/>
      <c r="S3" s="1"/>
      <c r="T3" s="1"/>
      <c r="U3" s="1"/>
      <c r="V3"/>
      <c r="W3"/>
      <c r="X3"/>
      <c r="Y3"/>
      <c r="Z3"/>
      <c r="AA3"/>
      <c r="AB3"/>
    </row>
    <row r="4" spans="1:28" ht="72.75" x14ac:dyDescent="0.3">
      <c r="A4" s="423" t="s">
        <v>117</v>
      </c>
      <c r="B4" s="391" t="s">
        <v>135</v>
      </c>
      <c r="C4" s="422" t="s">
        <v>359</v>
      </c>
      <c r="D4" s="391" t="s">
        <v>360</v>
      </c>
      <c r="E4" s="422" t="s">
        <v>361</v>
      </c>
      <c r="F4" s="391" t="s">
        <v>118</v>
      </c>
      <c r="G4" s="421" t="s">
        <v>314</v>
      </c>
      <c r="H4" s="420" t="s">
        <v>119</v>
      </c>
      <c r="I4" s="388" t="s">
        <v>120</v>
      </c>
      <c r="J4" s="419" t="s">
        <v>121</v>
      </c>
      <c r="K4" s="389" t="s">
        <v>319</v>
      </c>
      <c r="L4" s="391" t="s">
        <v>318</v>
      </c>
      <c r="M4" s="329"/>
      <c r="N4" s="417"/>
      <c r="O4" s="1"/>
      <c r="P4" s="1"/>
      <c r="Q4" s="1"/>
      <c r="R4" s="1"/>
      <c r="S4" s="1"/>
      <c r="T4" s="1"/>
      <c r="U4"/>
      <c r="V4"/>
      <c r="W4"/>
      <c r="X4"/>
      <c r="Y4"/>
      <c r="Z4"/>
      <c r="AA4"/>
      <c r="AB4"/>
    </row>
    <row r="5" spans="1:28" ht="16.5" x14ac:dyDescent="0.3">
      <c r="A5" s="439" t="s">
        <v>367</v>
      </c>
      <c r="B5" s="440" t="s">
        <v>368</v>
      </c>
      <c r="C5" s="441">
        <v>5807707.3102861159</v>
      </c>
      <c r="D5" s="442">
        <v>254392786.90750086</v>
      </c>
      <c r="E5" s="441">
        <v>1784918.0074178914</v>
      </c>
      <c r="F5" s="443">
        <v>5193.7175519480525</v>
      </c>
      <c r="G5" s="443">
        <v>46075.029220779223</v>
      </c>
      <c r="H5" s="444">
        <v>466.50146428571446</v>
      </c>
      <c r="I5" s="445">
        <v>152.28305519480509</v>
      </c>
      <c r="J5" s="446">
        <v>174.35258116883119</v>
      </c>
      <c r="K5" s="447">
        <v>0.62861688311688291</v>
      </c>
      <c r="L5" s="418">
        <f>SUMPRODUCT(H5:J5,H23:J23)</f>
        <v>579.51513529038971</v>
      </c>
      <c r="M5" s="329"/>
      <c r="N5" s="417"/>
      <c r="O5" s="1"/>
      <c r="P5" s="1"/>
      <c r="Q5" s="1"/>
      <c r="R5" s="1"/>
      <c r="S5" s="1"/>
      <c r="T5" s="1"/>
      <c r="U5"/>
      <c r="V5"/>
      <c r="W5"/>
      <c r="X5"/>
      <c r="Y5"/>
      <c r="Z5"/>
      <c r="AA5"/>
      <c r="AB5"/>
    </row>
    <row r="6" spans="1:28" x14ac:dyDescent="0.25">
      <c r="A6" s="416"/>
      <c r="B6" s="415"/>
      <c r="C6" s="414"/>
      <c r="D6" s="414"/>
      <c r="E6" s="413"/>
      <c r="F6" s="413"/>
      <c r="G6" s="413"/>
      <c r="H6" s="412"/>
      <c r="I6" s="360"/>
      <c r="J6" s="360"/>
      <c r="K6" s="360"/>
      <c r="L6" s="360"/>
      <c r="M6" s="360"/>
      <c r="N6" s="360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57.75" x14ac:dyDescent="0.25">
      <c r="A7" s="329"/>
      <c r="B7" s="411" t="s">
        <v>358</v>
      </c>
      <c r="C7" s="411" t="s">
        <v>317</v>
      </c>
      <c r="D7" s="411" t="s">
        <v>123</v>
      </c>
      <c r="E7" s="411" t="s">
        <v>124</v>
      </c>
      <c r="F7" s="329"/>
      <c r="G7" s="329"/>
      <c r="H7" s="329"/>
      <c r="I7" s="329"/>
      <c r="J7" s="329"/>
      <c r="K7" s="329"/>
      <c r="L7" s="329"/>
      <c r="M7" s="329"/>
      <c r="N7" s="329"/>
      <c r="O7" s="1"/>
      <c r="P7" s="1"/>
      <c r="Q7" s="1"/>
      <c r="R7" s="1"/>
      <c r="S7" s="1"/>
      <c r="T7" s="1"/>
      <c r="U7" s="1"/>
      <c r="V7"/>
      <c r="W7"/>
      <c r="X7"/>
      <c r="Y7"/>
      <c r="Z7"/>
      <c r="AA7"/>
      <c r="AB7"/>
    </row>
    <row r="8" spans="1:28" x14ac:dyDescent="0.25">
      <c r="A8" s="329"/>
      <c r="B8" s="386">
        <f>H55*1000*EXP(K5*0.920792490455812-0.13921596695632)</f>
        <v>5295836.847388301</v>
      </c>
      <c r="C8" s="409">
        <f>B8/C5</f>
        <v>0.91186359168079401</v>
      </c>
      <c r="D8" s="410">
        <f>C5-B8</f>
        <v>511870.46289781481</v>
      </c>
      <c r="E8" s="409">
        <f>D8/C5</f>
        <v>8.8136408319206008E-2</v>
      </c>
      <c r="F8" s="329"/>
      <c r="G8" s="329"/>
      <c r="H8" s="329"/>
      <c r="I8" s="404"/>
      <c r="J8" s="408"/>
      <c r="K8" s="329"/>
      <c r="L8" s="329"/>
      <c r="M8" s="329"/>
      <c r="N8" s="329"/>
      <c r="O8" s="1"/>
      <c r="P8" s="1"/>
      <c r="Q8" s="1"/>
      <c r="R8" s="1"/>
      <c r="S8" s="1"/>
      <c r="T8" s="1"/>
      <c r="U8" s="1"/>
      <c r="V8"/>
      <c r="W8"/>
      <c r="X8"/>
      <c r="Y8"/>
      <c r="Z8"/>
      <c r="AA8"/>
      <c r="AB8"/>
    </row>
    <row r="9" spans="1:28" x14ac:dyDescent="0.25">
      <c r="A9" s="329"/>
      <c r="B9" s="406"/>
      <c r="C9" s="407"/>
      <c r="D9" s="406"/>
      <c r="E9" s="405"/>
      <c r="F9" s="405"/>
      <c r="G9" s="329"/>
      <c r="H9" s="329"/>
      <c r="I9" s="404"/>
      <c r="J9" s="329"/>
      <c r="K9" s="329"/>
      <c r="L9" s="329"/>
      <c r="M9" s="329"/>
      <c r="N9" s="329"/>
      <c r="O9" s="1"/>
      <c r="P9" s="1"/>
      <c r="Q9" s="1"/>
      <c r="R9" s="1"/>
      <c r="S9" s="1"/>
      <c r="T9" s="1"/>
      <c r="U9" s="1"/>
      <c r="V9"/>
      <c r="W9"/>
      <c r="X9"/>
      <c r="Y9"/>
      <c r="Z9"/>
      <c r="AA9"/>
      <c r="AB9"/>
    </row>
    <row r="10" spans="1:28" x14ac:dyDescent="0.25">
      <c r="A10" s="329"/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1"/>
      <c r="P10" s="1"/>
      <c r="Q10" s="1"/>
      <c r="R10" s="1"/>
      <c r="S10" s="1"/>
      <c r="T10" s="1"/>
      <c r="U10" s="1"/>
      <c r="V10"/>
      <c r="W10"/>
      <c r="X10"/>
      <c r="Y10"/>
      <c r="Z10"/>
      <c r="AA10"/>
      <c r="AB10"/>
    </row>
    <row r="11" spans="1:28" ht="28.5" x14ac:dyDescent="0.25">
      <c r="A11" s="403" t="s">
        <v>362</v>
      </c>
      <c r="B11" s="402"/>
      <c r="C11" s="329"/>
      <c r="D11" s="329"/>
      <c r="E11" s="329"/>
      <c r="F11" s="401"/>
      <c r="G11" s="401"/>
      <c r="H11" s="329"/>
      <c r="I11" s="329"/>
      <c r="J11" s="400"/>
      <c r="K11" s="329"/>
      <c r="L11" s="329"/>
      <c r="M11" s="329"/>
      <c r="N11" s="329"/>
      <c r="O11" s="1"/>
      <c r="P11" s="1"/>
      <c r="Q11" s="1"/>
      <c r="R11" s="1"/>
      <c r="S11" s="1"/>
      <c r="T11" s="1"/>
      <c r="U11" s="1"/>
      <c r="V11"/>
      <c r="W11"/>
      <c r="X11"/>
      <c r="Y11"/>
      <c r="Z11"/>
      <c r="AA11"/>
      <c r="AB11"/>
    </row>
    <row r="12" spans="1:28" ht="29.25" x14ac:dyDescent="0.25">
      <c r="A12" s="399" t="s">
        <v>363</v>
      </c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1"/>
      <c r="P12" s="1"/>
      <c r="Q12" s="1"/>
      <c r="R12" s="1"/>
      <c r="S12" s="1"/>
      <c r="T12" s="1"/>
      <c r="U12" s="1"/>
      <c r="V12"/>
      <c r="W12"/>
      <c r="X12"/>
      <c r="Y12"/>
      <c r="Z12"/>
      <c r="AA12"/>
      <c r="AB12"/>
    </row>
    <row r="13" spans="1:28" x14ac:dyDescent="0.25">
      <c r="A13" s="370"/>
      <c r="B13" s="392"/>
      <c r="C13" s="392"/>
      <c r="D13" s="398"/>
      <c r="E13" s="392"/>
      <c r="F13" s="392"/>
      <c r="G13" s="397"/>
      <c r="H13" s="397"/>
      <c r="I13" s="396" t="s">
        <v>116</v>
      </c>
      <c r="J13" s="395"/>
      <c r="K13" s="394"/>
      <c r="L13" s="393"/>
      <c r="M13" s="392"/>
      <c r="N13" s="329"/>
      <c r="O13" s="1"/>
      <c r="P13" s="1"/>
      <c r="Q13" s="1"/>
      <c r="R13" s="1"/>
      <c r="S13" s="1"/>
      <c r="T13" s="1"/>
      <c r="U13" s="1"/>
      <c r="V13"/>
      <c r="W13"/>
      <c r="X13"/>
      <c r="Y13"/>
      <c r="Z13"/>
      <c r="AA13"/>
      <c r="AB13"/>
    </row>
    <row r="14" spans="1:28" ht="100.5" x14ac:dyDescent="0.25">
      <c r="A14" s="391" t="s">
        <v>312</v>
      </c>
      <c r="B14" s="387" t="s">
        <v>316</v>
      </c>
      <c r="C14" s="387"/>
      <c r="D14" s="391" t="s">
        <v>315</v>
      </c>
      <c r="E14" s="390" t="s">
        <v>364</v>
      </c>
      <c r="F14" s="390" t="s">
        <v>361</v>
      </c>
      <c r="G14" s="389" t="s">
        <v>118</v>
      </c>
      <c r="H14" s="389" t="s">
        <v>314</v>
      </c>
      <c r="I14" s="388" t="s">
        <v>119</v>
      </c>
      <c r="J14" s="388" t="s">
        <v>120</v>
      </c>
      <c r="K14" s="388" t="s">
        <v>121</v>
      </c>
      <c r="L14" s="390" t="s">
        <v>122</v>
      </c>
      <c r="M14" s="387" t="s">
        <v>313</v>
      </c>
      <c r="N14" s="329"/>
      <c r="O14" s="1"/>
      <c r="P14" s="1"/>
      <c r="Q14" s="1"/>
      <c r="R14" s="1"/>
      <c r="S14" s="1"/>
      <c r="T14" s="1"/>
      <c r="U14" s="1"/>
      <c r="V14"/>
      <c r="W14"/>
      <c r="X14"/>
      <c r="Y14"/>
      <c r="Z14"/>
      <c r="AA14"/>
      <c r="AB14"/>
    </row>
    <row r="15" spans="1:28" x14ac:dyDescent="0.25">
      <c r="A15" s="382">
        <v>2020</v>
      </c>
      <c r="B15" s="385">
        <f>Q59*1000*EXP(M15*0.920792490455812-0.13921596695632)*(D15/B$23)*((1-B$22)^5)</f>
        <v>5458077.3720132615</v>
      </c>
      <c r="C15" s="384"/>
      <c r="D15" s="449">
        <f>101%*141.733333333333</f>
        <v>143.15066666666632</v>
      </c>
      <c r="E15" s="383">
        <f>100%*D5</f>
        <v>254392786.90750086</v>
      </c>
      <c r="F15" s="383">
        <f>100%*E5</f>
        <v>1784918.0074178914</v>
      </c>
      <c r="G15" s="459">
        <f>101%*F5</f>
        <v>5245.6547274675331</v>
      </c>
      <c r="H15" s="451">
        <f>101%*G5</f>
        <v>46535.779512987014</v>
      </c>
      <c r="I15" s="452">
        <f>101%*H5</f>
        <v>471.16647892857162</v>
      </c>
      <c r="J15" s="453">
        <f>101%*I5</f>
        <v>153.80588574675315</v>
      </c>
      <c r="K15" s="454">
        <f>101%*J5</f>
        <v>176.09610698051949</v>
      </c>
      <c r="L15" s="378">
        <f>SUMPRODUCT(I15:K15,H$23:J$23)</f>
        <v>585.31028664329358</v>
      </c>
      <c r="M15" s="463">
        <f>K$5</f>
        <v>0.62861688311688291</v>
      </c>
      <c r="N15" s="329"/>
      <c r="O15" s="1"/>
      <c r="P15" s="1"/>
      <c r="Q15" s="1"/>
      <c r="R15" s="1"/>
      <c r="S15" s="1"/>
      <c r="T15" s="1"/>
      <c r="U15" s="1"/>
      <c r="V15"/>
      <c r="W15"/>
      <c r="X15"/>
      <c r="Y15"/>
      <c r="Z15"/>
      <c r="AA15"/>
      <c r="AB15"/>
    </row>
    <row r="16" spans="1:28" x14ac:dyDescent="0.25">
      <c r="A16" s="382">
        <v>2021</v>
      </c>
      <c r="B16" s="381">
        <f>Q60*1000*EXP(M16*0.920792490455812-0.13921596695632)*(D16/B$23)*((1-B$22)^6)</f>
        <v>5565804.7105217976</v>
      </c>
      <c r="C16" s="380"/>
      <c r="D16" s="449">
        <f>101%*D15</f>
        <v>144.582173333333</v>
      </c>
      <c r="E16" s="379">
        <f t="shared" ref="E16:F18" si="0">E15*100%</f>
        <v>254392786.90750086</v>
      </c>
      <c r="F16" s="379">
        <f t="shared" si="0"/>
        <v>1784918.0074178914</v>
      </c>
      <c r="G16" s="459">
        <f>101%*G15</f>
        <v>5298.1112747422085</v>
      </c>
      <c r="H16" s="451">
        <f>101%*H15</f>
        <v>47001.137308116886</v>
      </c>
      <c r="I16" s="452">
        <f>101%*I15</f>
        <v>475.87814371785737</v>
      </c>
      <c r="J16" s="453">
        <f>101%*J15</f>
        <v>155.34394460422067</v>
      </c>
      <c r="K16" s="454">
        <f>101%*K15</f>
        <v>177.8570680503247</v>
      </c>
      <c r="L16" s="378">
        <f>SUMPRODUCT(I16:K16,H$23:J$23)</f>
        <v>591.16338950972658</v>
      </c>
      <c r="M16" s="461">
        <f>K$5</f>
        <v>0.62861688311688291</v>
      </c>
      <c r="N16" s="329"/>
      <c r="O16" s="1"/>
      <c r="P16" s="1"/>
      <c r="Q16" s="1"/>
      <c r="R16" s="1"/>
      <c r="S16" s="1"/>
      <c r="T16" s="1"/>
      <c r="U16" s="1"/>
      <c r="V16"/>
      <c r="W16"/>
      <c r="X16"/>
      <c r="Y16"/>
      <c r="Z16"/>
      <c r="AA16"/>
      <c r="AB16"/>
    </row>
    <row r="17" spans="1:28" x14ac:dyDescent="0.25">
      <c r="A17" s="382">
        <v>2022</v>
      </c>
      <c r="B17" s="381">
        <f>Q61*1000*EXP(M17*0.920792490455812-0.13921596695632)*(D17/B$23)*((1-B$22)^7)</f>
        <v>5675677.5683676647</v>
      </c>
      <c r="C17" s="380"/>
      <c r="D17" s="449">
        <f>101%*D16</f>
        <v>146.02799506666634</v>
      </c>
      <c r="E17" s="379">
        <f t="shared" si="0"/>
        <v>254392786.90750086</v>
      </c>
      <c r="F17" s="379">
        <f t="shared" si="0"/>
        <v>1784918.0074178914</v>
      </c>
      <c r="G17" s="459">
        <f t="shared" ref="G17:I18" si="1">101%*G16</f>
        <v>5351.0923874896307</v>
      </c>
      <c r="H17" s="451">
        <f t="shared" si="1"/>
        <v>47471.148681198058</v>
      </c>
      <c r="I17" s="452">
        <f t="shared" si="1"/>
        <v>480.63692515503595</v>
      </c>
      <c r="J17" s="453">
        <f t="shared" ref="J17:J18" si="2">101%*J16</f>
        <v>156.89738405026287</v>
      </c>
      <c r="K17" s="454">
        <f t="shared" ref="K17:K18" si="3">101%*K16</f>
        <v>179.63563873082794</v>
      </c>
      <c r="L17" s="378">
        <f>SUMPRODUCT(I17:K17,H$23:J$23)</f>
        <v>597.07502340482392</v>
      </c>
      <c r="M17" s="461">
        <f>K$5</f>
        <v>0.62861688311688291</v>
      </c>
      <c r="N17" s="329"/>
      <c r="O17" s="1"/>
      <c r="P17" s="1"/>
      <c r="Q17" s="1"/>
      <c r="R17" s="1"/>
      <c r="S17" s="1"/>
      <c r="T17" s="1"/>
      <c r="U17" s="1"/>
      <c r="V17"/>
      <c r="W17"/>
      <c r="X17"/>
      <c r="Y17"/>
      <c r="Z17"/>
      <c r="AA17"/>
      <c r="AB17"/>
    </row>
    <row r="18" spans="1:28" x14ac:dyDescent="0.25">
      <c r="A18" s="377">
        <v>2023</v>
      </c>
      <c r="B18" s="376">
        <f>Q62*1000*EXP(M18*0.920792490455812-0.13921596695632)*(D18/B$23)*((1-B$22)^8)</f>
        <v>5787738.8724878756</v>
      </c>
      <c r="C18" s="375"/>
      <c r="D18" s="450">
        <f>101%*D17</f>
        <v>147.488275017333</v>
      </c>
      <c r="E18" s="374">
        <f t="shared" si="0"/>
        <v>254392786.90750086</v>
      </c>
      <c r="F18" s="374">
        <f t="shared" si="0"/>
        <v>1784918.0074178914</v>
      </c>
      <c r="G18" s="460">
        <f t="shared" si="1"/>
        <v>5404.6033113645271</v>
      </c>
      <c r="H18" s="455">
        <f t="shared" si="1"/>
        <v>47945.86016801004</v>
      </c>
      <c r="I18" s="456">
        <f t="shared" si="1"/>
        <v>485.44329440658629</v>
      </c>
      <c r="J18" s="457">
        <f t="shared" si="2"/>
        <v>158.46635789076549</v>
      </c>
      <c r="K18" s="458">
        <f t="shared" si="3"/>
        <v>181.43199511813623</v>
      </c>
      <c r="L18" s="373">
        <f>SUMPRODUCT(I18:K18,H$23:J$23)</f>
        <v>603.04577363887211</v>
      </c>
      <c r="M18" s="462">
        <f>K$5</f>
        <v>0.62861688311688291</v>
      </c>
      <c r="N18" s="329"/>
      <c r="O18" s="1"/>
      <c r="P18" s="1"/>
      <c r="Q18" s="1"/>
      <c r="R18" s="1"/>
      <c r="S18" s="1"/>
      <c r="T18" s="1"/>
      <c r="U18" s="1"/>
      <c r="V18"/>
      <c r="W18"/>
      <c r="X18"/>
      <c r="Y18"/>
      <c r="Z18"/>
      <c r="AA18"/>
      <c r="AB18"/>
    </row>
    <row r="19" spans="1:28" x14ac:dyDescent="0.25">
      <c r="A19" s="372"/>
      <c r="B19" s="372"/>
      <c r="C19" s="372"/>
      <c r="D19" s="372"/>
      <c r="E19" s="372"/>
      <c r="F19" s="372"/>
      <c r="G19" s="329"/>
      <c r="H19" s="329"/>
      <c r="I19" s="329"/>
      <c r="J19" s="329"/>
      <c r="K19" s="329"/>
      <c r="L19" s="329"/>
      <c r="M19" s="329"/>
      <c r="N19" s="329"/>
      <c r="O19" s="1"/>
      <c r="P19" s="1"/>
      <c r="Q19" s="1"/>
      <c r="R19" s="1"/>
      <c r="S19" s="1"/>
      <c r="T19" s="1"/>
      <c r="U19" s="1"/>
      <c r="V19"/>
      <c r="W19"/>
      <c r="X19"/>
      <c r="Y19"/>
      <c r="Z19"/>
      <c r="AA19"/>
      <c r="AB19"/>
    </row>
    <row r="20" spans="1:28" x14ac:dyDescent="0.25">
      <c r="A20" s="329"/>
      <c r="B20" s="372"/>
      <c r="C20" s="329"/>
      <c r="D20" s="329"/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1"/>
      <c r="P20" s="1"/>
      <c r="Q20" s="1"/>
      <c r="R20" s="1"/>
      <c r="S20" s="1"/>
      <c r="T20" s="1"/>
      <c r="U20" s="1"/>
      <c r="V20"/>
      <c r="W20"/>
      <c r="X20"/>
      <c r="Y20"/>
      <c r="Z20"/>
      <c r="AA20"/>
      <c r="AB20"/>
    </row>
    <row r="21" spans="1:28" x14ac:dyDescent="0.25">
      <c r="A21" s="371" t="s">
        <v>125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29"/>
      <c r="M21" s="329"/>
      <c r="N21" s="329"/>
      <c r="O21" s="1"/>
      <c r="P21" s="1"/>
      <c r="Q21" s="1"/>
      <c r="R21" s="1"/>
      <c r="S21" s="1"/>
      <c r="T21" s="1"/>
      <c r="U21" s="1"/>
      <c r="V21"/>
      <c r="W21"/>
      <c r="X21"/>
      <c r="Y21"/>
      <c r="Z21"/>
      <c r="AA21"/>
      <c r="AB21"/>
    </row>
    <row r="22" spans="1:28" x14ac:dyDescent="0.25">
      <c r="A22" s="370" t="s">
        <v>0</v>
      </c>
      <c r="B22" s="369">
        <v>0</v>
      </c>
      <c r="C22" s="329"/>
      <c r="D22" s="329"/>
      <c r="E22" s="329"/>
      <c r="F22" s="329"/>
      <c r="G22" s="368" t="s">
        <v>126</v>
      </c>
      <c r="H22" s="367" t="s">
        <v>127</v>
      </c>
      <c r="I22" s="367" t="s">
        <v>128</v>
      </c>
      <c r="J22" s="366" t="s">
        <v>129</v>
      </c>
      <c r="K22" s="329"/>
      <c r="L22" s="329"/>
      <c r="M22" s="329"/>
      <c r="N22" s="329"/>
      <c r="O22" s="1"/>
      <c r="P22" s="1"/>
      <c r="Q22" s="1"/>
      <c r="R22" s="1"/>
      <c r="S22" s="1"/>
      <c r="T22" s="1"/>
      <c r="U22" s="1"/>
      <c r="V22"/>
      <c r="W22"/>
      <c r="X22"/>
      <c r="Y22"/>
      <c r="Z22"/>
      <c r="AA22"/>
      <c r="AB22"/>
    </row>
    <row r="23" spans="1:28" x14ac:dyDescent="0.25">
      <c r="A23" s="354" t="s">
        <v>365</v>
      </c>
      <c r="B23" s="503">
        <f>Parametrit!I25</f>
        <v>140.23333333333332</v>
      </c>
      <c r="C23" s="329"/>
      <c r="D23" s="329"/>
      <c r="E23" s="329"/>
      <c r="F23" s="329"/>
      <c r="G23" s="365" t="s">
        <v>130</v>
      </c>
      <c r="H23" s="364">
        <v>1</v>
      </c>
      <c r="I23" s="363">
        <v>0.43174000000000001</v>
      </c>
      <c r="J23" s="362">
        <v>0.27110000000000001</v>
      </c>
      <c r="K23" s="329"/>
      <c r="L23" s="329"/>
      <c r="M23" s="329"/>
      <c r="N23" s="329"/>
      <c r="O23" s="1"/>
      <c r="P23" s="1"/>
      <c r="Q23" s="1"/>
      <c r="R23" s="1"/>
      <c r="S23" s="1"/>
      <c r="T23" s="1"/>
      <c r="U23" s="1"/>
      <c r="V23"/>
      <c r="W23"/>
      <c r="X23"/>
      <c r="Y23"/>
      <c r="Z23"/>
      <c r="AA23"/>
      <c r="AB23"/>
    </row>
    <row r="24" spans="1:28" x14ac:dyDescent="0.25">
      <c r="A24" s="330"/>
      <c r="B24" s="330"/>
      <c r="C24" s="360"/>
      <c r="D24" s="360"/>
      <c r="E24" s="360"/>
      <c r="F24" s="360"/>
      <c r="G24" s="361"/>
      <c r="H24" s="329"/>
      <c r="I24" s="329"/>
      <c r="J24" s="329"/>
      <c r="K24" s="360"/>
      <c r="L24" s="360"/>
      <c r="M24" s="360"/>
      <c r="N24" s="36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329"/>
      <c r="B25" s="329"/>
      <c r="C25" s="32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1"/>
      <c r="P25" s="1"/>
      <c r="Q25" s="1"/>
      <c r="R25" s="1"/>
      <c r="S25" s="1"/>
      <c r="T25" s="1"/>
      <c r="U25" s="1"/>
      <c r="V25"/>
      <c r="W25"/>
      <c r="X25"/>
      <c r="Y25"/>
      <c r="Z25"/>
      <c r="AA25"/>
      <c r="AB25"/>
    </row>
    <row r="26" spans="1:28" x14ac:dyDescent="0.25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1"/>
      <c r="P26" s="1"/>
      <c r="Q26" s="1"/>
      <c r="R26" s="1"/>
      <c r="S26" s="1"/>
      <c r="T26" s="1"/>
      <c r="U26" s="1"/>
      <c r="V26"/>
      <c r="W26"/>
      <c r="X26"/>
      <c r="Y26"/>
      <c r="Z26"/>
      <c r="AA26"/>
      <c r="AB26"/>
    </row>
    <row r="27" spans="1:28" ht="43.5" x14ac:dyDescent="0.25">
      <c r="A27" s="359" t="s">
        <v>311</v>
      </c>
      <c r="B27" s="358" t="s">
        <v>366</v>
      </c>
      <c r="C27" s="329"/>
      <c r="D27" s="329"/>
      <c r="E27" s="329"/>
      <c r="F27" s="329"/>
      <c r="G27" s="357"/>
      <c r="H27" s="329"/>
      <c r="I27" s="357"/>
      <c r="J27" s="329"/>
      <c r="K27" s="356"/>
      <c r="L27" s="329"/>
      <c r="M27" s="329"/>
      <c r="N27" s="329"/>
      <c r="O27" s="1"/>
      <c r="P27" s="1"/>
      <c r="Q27" s="1"/>
      <c r="R27" s="1"/>
      <c r="S27" s="1"/>
      <c r="T27" s="1"/>
      <c r="U27" s="1"/>
      <c r="V27"/>
      <c r="W27"/>
      <c r="X27"/>
      <c r="Y27"/>
      <c r="Z27"/>
      <c r="AA27"/>
      <c r="AB27"/>
    </row>
    <row r="28" spans="1:28" x14ac:dyDescent="0.25">
      <c r="A28" s="355" t="s">
        <v>310</v>
      </c>
      <c r="B28" s="504">
        <v>0.89470935825029341</v>
      </c>
      <c r="C28" s="353"/>
      <c r="D28" s="352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1"/>
      <c r="P28" s="1"/>
      <c r="Q28" s="1"/>
      <c r="R28" s="1"/>
      <c r="S28" s="1"/>
      <c r="T28" s="1"/>
      <c r="U28" s="1"/>
      <c r="V28"/>
      <c r="W28"/>
      <c r="X28"/>
      <c r="Y28"/>
      <c r="Z28"/>
      <c r="AA28"/>
      <c r="AB28"/>
    </row>
    <row r="29" spans="1:28" x14ac:dyDescent="0.25">
      <c r="A29" s="355" t="s">
        <v>309</v>
      </c>
      <c r="B29" s="505">
        <v>0.88717841307507883</v>
      </c>
      <c r="C29" s="353"/>
      <c r="D29" s="352"/>
      <c r="E29" s="329"/>
      <c r="F29" s="329"/>
      <c r="G29" s="329"/>
      <c r="H29" s="329"/>
      <c r="I29" s="329"/>
      <c r="J29" s="329"/>
      <c r="K29" s="329"/>
      <c r="L29" s="329"/>
      <c r="M29" s="329"/>
      <c r="N29" s="329"/>
      <c r="O29" s="1"/>
      <c r="P29" s="1"/>
      <c r="Q29" s="1"/>
      <c r="R29" s="1"/>
      <c r="S29" s="1"/>
      <c r="T29" s="1"/>
      <c r="U29" s="1"/>
      <c r="V29"/>
      <c r="W29"/>
      <c r="X29"/>
      <c r="Y29"/>
      <c r="Z29"/>
      <c r="AA29"/>
      <c r="AB29"/>
    </row>
    <row r="30" spans="1:28" x14ac:dyDescent="0.25">
      <c r="A30" s="355" t="s">
        <v>308</v>
      </c>
      <c r="B30" s="506">
        <v>0.17173512926086665</v>
      </c>
      <c r="C30" s="353"/>
      <c r="D30" s="352"/>
      <c r="E30" s="329"/>
      <c r="F30" s="329"/>
      <c r="G30" s="329"/>
      <c r="H30" s="329"/>
      <c r="I30" s="329"/>
      <c r="J30" s="329"/>
      <c r="K30" s="329"/>
      <c r="L30" s="329"/>
      <c r="M30" s="329"/>
      <c r="N30" s="329"/>
      <c r="O30" s="1"/>
      <c r="P30" s="1"/>
      <c r="Q30" s="1"/>
      <c r="R30" s="1"/>
      <c r="S30" s="1"/>
      <c r="T30" s="1"/>
      <c r="U30" s="1"/>
      <c r="V30"/>
      <c r="W30"/>
      <c r="X30"/>
      <c r="Y30"/>
      <c r="Z30"/>
      <c r="AA30"/>
      <c r="AB30"/>
    </row>
    <row r="31" spans="1:28" x14ac:dyDescent="0.25">
      <c r="A31" s="355" t="s">
        <v>307</v>
      </c>
      <c r="B31" s="505">
        <v>0.47630665671942618</v>
      </c>
      <c r="C31" s="353"/>
      <c r="D31" s="352"/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1"/>
      <c r="P31" s="1"/>
      <c r="Q31" s="1"/>
      <c r="R31" s="1"/>
      <c r="S31" s="1"/>
      <c r="T31" s="1"/>
      <c r="U31" s="1"/>
      <c r="V31"/>
      <c r="W31"/>
      <c r="X31"/>
      <c r="Y31"/>
      <c r="Z31"/>
      <c r="AA31"/>
      <c r="AB31"/>
    </row>
    <row r="32" spans="1:28" ht="18" customHeight="1" x14ac:dyDescent="0.25">
      <c r="A32" s="354" t="s">
        <v>131</v>
      </c>
      <c r="B32" s="507">
        <v>1.2879307641541915</v>
      </c>
      <c r="C32" s="353"/>
      <c r="D32" s="352"/>
      <c r="E32" s="329"/>
      <c r="F32" s="329"/>
      <c r="G32" s="329"/>
      <c r="H32" s="329"/>
      <c r="I32" s="329"/>
      <c r="J32" s="329"/>
      <c r="K32" s="329"/>
      <c r="L32" s="329"/>
      <c r="M32" s="329"/>
      <c r="N32" s="329"/>
      <c r="O32" s="1"/>
      <c r="P32" s="1"/>
      <c r="Q32" s="1"/>
      <c r="R32" s="1"/>
      <c r="S32" s="1"/>
      <c r="T32" s="1"/>
      <c r="U32" s="1"/>
      <c r="V32"/>
      <c r="W32"/>
      <c r="X32"/>
      <c r="Y32"/>
      <c r="Z32"/>
      <c r="AA32"/>
      <c r="AB32"/>
    </row>
    <row r="33" spans="1:28" ht="33" customHeight="1" thickBot="1" x14ac:dyDescent="0.3">
      <c r="A33" s="329"/>
      <c r="B33" s="329"/>
      <c r="C33" s="329"/>
      <c r="D33" s="329"/>
      <c r="E33" s="329"/>
      <c r="F33" s="329"/>
      <c r="G33" s="329"/>
      <c r="H33" s="329"/>
      <c r="I33" s="329"/>
      <c r="J33" s="329"/>
      <c r="K33" s="329"/>
      <c r="L33" s="329"/>
      <c r="M33" s="329"/>
      <c r="N33" s="329"/>
      <c r="O33" s="1"/>
      <c r="P33" s="1"/>
      <c r="Q33" s="1"/>
      <c r="R33" s="1"/>
      <c r="S33" s="1"/>
      <c r="T33" s="1"/>
      <c r="U33" s="1"/>
      <c r="V33"/>
      <c r="W33"/>
      <c r="X33"/>
      <c r="Y33"/>
      <c r="Z33"/>
      <c r="AA33"/>
      <c r="AB33"/>
    </row>
    <row r="34" spans="1:28" ht="33" customHeight="1" x14ac:dyDescent="0.3">
      <c r="A34" s="155" t="s">
        <v>150</v>
      </c>
      <c r="B34" s="156"/>
      <c r="C34" s="156"/>
      <c r="D34" s="156"/>
      <c r="E34" s="157"/>
      <c r="F34" s="329"/>
      <c r="G34" s="329"/>
      <c r="H34" s="329"/>
      <c r="I34" s="329"/>
      <c r="J34" s="329"/>
      <c r="K34" s="329"/>
      <c r="L34" s="329"/>
      <c r="M34" s="329"/>
      <c r="N34" s="329"/>
      <c r="O34" s="1"/>
      <c r="P34" s="1"/>
      <c r="Q34" s="1"/>
      <c r="R34" s="1"/>
      <c r="S34" s="1"/>
      <c r="T34" s="1"/>
      <c r="U34" s="1"/>
      <c r="V34"/>
      <c r="W34"/>
      <c r="X34"/>
      <c r="Y34"/>
      <c r="Z34"/>
      <c r="AA34"/>
      <c r="AB34"/>
    </row>
    <row r="35" spans="1:28" ht="33" customHeight="1" x14ac:dyDescent="0.25">
      <c r="A35" s="258" t="s">
        <v>42</v>
      </c>
      <c r="B35" s="259">
        <v>2020</v>
      </c>
      <c r="C35" s="259">
        <v>2021</v>
      </c>
      <c r="D35" s="259">
        <v>2022</v>
      </c>
      <c r="E35" s="260">
        <v>2023</v>
      </c>
      <c r="F35" s="329"/>
      <c r="G35" s="329"/>
      <c r="H35" s="329"/>
      <c r="I35" s="329"/>
      <c r="J35" s="329"/>
      <c r="K35" s="329"/>
      <c r="L35" s="329"/>
      <c r="M35" s="329"/>
      <c r="N35" s="329"/>
      <c r="O35" s="1"/>
      <c r="P35" s="1"/>
      <c r="Q35" s="1"/>
      <c r="R35" s="1"/>
      <c r="S35" s="1"/>
      <c r="T35" s="1"/>
      <c r="U35" s="1"/>
      <c r="V35"/>
      <c r="W35"/>
      <c r="X35"/>
      <c r="Y35"/>
      <c r="Z35"/>
      <c r="AA35"/>
      <c r="AB35"/>
    </row>
    <row r="36" spans="1:28" x14ac:dyDescent="0.25">
      <c r="A36" s="261"/>
      <c r="B36" s="89"/>
      <c r="C36" s="89"/>
      <c r="D36" s="89"/>
      <c r="E36" s="141"/>
      <c r="F36" s="329"/>
      <c r="G36" s="329"/>
      <c r="H36" s="329"/>
      <c r="I36" s="329"/>
      <c r="J36" s="329"/>
      <c r="K36" s="329"/>
      <c r="L36" s="329"/>
      <c r="M36" s="329"/>
      <c r="N36" s="329"/>
      <c r="O36" s="1"/>
      <c r="P36" s="1"/>
      <c r="Q36" s="1"/>
      <c r="R36" s="1"/>
      <c r="S36" s="1"/>
      <c r="T36" s="1"/>
      <c r="U36" s="1"/>
      <c r="V36"/>
      <c r="W36"/>
      <c r="X36"/>
      <c r="Y36"/>
      <c r="Z36"/>
      <c r="AA36"/>
      <c r="AB36"/>
    </row>
    <row r="37" spans="1:28" ht="33" customHeight="1" x14ac:dyDescent="0.25">
      <c r="A37" s="261" t="s">
        <v>148</v>
      </c>
      <c r="B37" s="262">
        <f>-(SUM(B38:B50))</f>
        <v>0</v>
      </c>
      <c r="C37" s="262">
        <f>-(SUM(C38:C50))</f>
        <v>0</v>
      </c>
      <c r="D37" s="262">
        <f>-(SUM(D38:D50))</f>
        <v>0</v>
      </c>
      <c r="E37" s="262">
        <f>-(SUM(E38:E50))</f>
        <v>0</v>
      </c>
      <c r="F37" s="329"/>
      <c r="G37" s="329"/>
      <c r="H37" s="329"/>
      <c r="I37" s="329"/>
      <c r="J37" s="329"/>
      <c r="K37" s="329"/>
      <c r="L37" s="329"/>
      <c r="M37" s="329"/>
      <c r="N37" s="329"/>
      <c r="O37" s="1"/>
      <c r="P37" s="1"/>
      <c r="Q37" s="1"/>
      <c r="R37" s="1"/>
      <c r="S37" s="1"/>
      <c r="T37" s="1"/>
      <c r="U37" s="1"/>
      <c r="V37"/>
      <c r="W37"/>
      <c r="X37"/>
      <c r="Y37"/>
      <c r="Z37"/>
      <c r="AA37"/>
      <c r="AB37"/>
    </row>
    <row r="38" spans="1:28" ht="33" customHeight="1" x14ac:dyDescent="0.25">
      <c r="A38" s="469" t="s">
        <v>178</v>
      </c>
      <c r="B38" s="472">
        <f>Tuloslaskelma!F23</f>
        <v>0</v>
      </c>
      <c r="C38" s="472">
        <f>Tuloslaskelma!G23</f>
        <v>0</v>
      </c>
      <c r="D38" s="472">
        <f>Tuloslaskelma!H23</f>
        <v>0</v>
      </c>
      <c r="E38" s="472">
        <f>Tuloslaskelma!I23</f>
        <v>0</v>
      </c>
      <c r="F38" s="329"/>
      <c r="G38" s="329"/>
      <c r="H38" s="329"/>
      <c r="I38" s="329"/>
      <c r="J38" s="329"/>
      <c r="K38" s="329"/>
      <c r="L38" s="329"/>
      <c r="M38" s="329"/>
      <c r="N38" s="329"/>
      <c r="O38" s="1"/>
      <c r="P38" s="1"/>
      <c r="Q38" s="1"/>
      <c r="R38" s="1"/>
      <c r="S38" s="1"/>
      <c r="T38" s="1"/>
      <c r="U38" s="1"/>
      <c r="V38"/>
      <c r="W38"/>
      <c r="X38"/>
      <c r="Y38"/>
      <c r="Z38"/>
      <c r="AA38"/>
      <c r="AB38"/>
    </row>
    <row r="39" spans="1:28" x14ac:dyDescent="0.25">
      <c r="A39" s="470" t="s">
        <v>339</v>
      </c>
      <c r="B39" s="472">
        <f>Tuloslaskelma!F26</f>
        <v>0</v>
      </c>
      <c r="C39" s="472">
        <f>Tuloslaskelma!G26</f>
        <v>0</v>
      </c>
      <c r="D39" s="472">
        <f>Tuloslaskelma!H26</f>
        <v>0</v>
      </c>
      <c r="E39" s="472">
        <f>Tuloslaskelma!I26</f>
        <v>0</v>
      </c>
      <c r="F39" s="329"/>
      <c r="G39" s="329"/>
      <c r="H39" s="483"/>
      <c r="I39" s="329"/>
      <c r="J39" s="329"/>
      <c r="K39" s="329"/>
      <c r="L39" s="329"/>
      <c r="M39" s="329"/>
      <c r="N39" s="329"/>
      <c r="O39" s="1"/>
      <c r="P39" s="1"/>
      <c r="Q39" s="1"/>
      <c r="R39" s="1"/>
      <c r="S39" s="1"/>
      <c r="T39" s="1"/>
      <c r="U39" s="1"/>
      <c r="V39"/>
      <c r="W39"/>
      <c r="X39"/>
      <c r="Y39"/>
      <c r="Z39"/>
      <c r="AA39"/>
      <c r="AB39"/>
    </row>
    <row r="40" spans="1:28" x14ac:dyDescent="0.25">
      <c r="A40" s="470" t="s">
        <v>340</v>
      </c>
      <c r="B40" s="472">
        <f>Tuloslaskelma!F31</f>
        <v>0</v>
      </c>
      <c r="C40" s="472">
        <f>Tuloslaskelma!G31</f>
        <v>0</v>
      </c>
      <c r="D40" s="472">
        <f>Tuloslaskelma!H31</f>
        <v>0</v>
      </c>
      <c r="E40" s="472">
        <f>Tuloslaskelma!I31</f>
        <v>0</v>
      </c>
      <c r="F40" s="329"/>
      <c r="G40" s="329"/>
      <c r="H40" s="329"/>
      <c r="I40" s="329"/>
      <c r="J40" s="329"/>
      <c r="K40" s="329"/>
      <c r="L40" s="329"/>
      <c r="M40" s="329"/>
      <c r="N40" s="329"/>
      <c r="O40" s="1"/>
      <c r="P40" s="1"/>
      <c r="Q40" s="1"/>
      <c r="R40" s="1"/>
      <c r="S40" s="1"/>
      <c r="T40" s="1"/>
      <c r="U40" s="1"/>
      <c r="V40"/>
      <c r="W40"/>
      <c r="X40"/>
      <c r="Y40"/>
      <c r="Z40"/>
      <c r="AA40"/>
      <c r="AB40"/>
    </row>
    <row r="41" spans="1:28" ht="26.25" x14ac:dyDescent="0.25">
      <c r="A41" s="470" t="s">
        <v>341</v>
      </c>
      <c r="B41" s="472">
        <f>Tuloslaskelma!F48</f>
        <v>0</v>
      </c>
      <c r="C41" s="472">
        <f>Tuloslaskelma!G48</f>
        <v>0</v>
      </c>
      <c r="D41" s="472">
        <f>Tuloslaskelma!H48</f>
        <v>0</v>
      </c>
      <c r="E41" s="472">
        <f>Tuloslaskelma!I48</f>
        <v>0</v>
      </c>
      <c r="F41" s="329"/>
      <c r="G41" s="329"/>
      <c r="H41" s="329"/>
      <c r="I41" s="329"/>
      <c r="J41" s="329"/>
      <c r="K41" s="329"/>
      <c r="L41" s="329"/>
      <c r="M41" s="329"/>
      <c r="N41" s="329"/>
      <c r="O41" s="1"/>
      <c r="P41" s="1"/>
      <c r="Q41" s="1"/>
      <c r="R41" s="1"/>
      <c r="S41" s="1"/>
      <c r="T41" s="1"/>
      <c r="U41" s="1"/>
      <c r="V41"/>
      <c r="W41"/>
      <c r="X41"/>
      <c r="Y41"/>
      <c r="Z41"/>
      <c r="AA41"/>
      <c r="AB41"/>
    </row>
    <row r="42" spans="1:28" x14ac:dyDescent="0.25">
      <c r="A42" s="470" t="s">
        <v>342</v>
      </c>
      <c r="B42" s="472">
        <f>Tuloslaskelma!F46</f>
        <v>0</v>
      </c>
      <c r="C42" s="472">
        <f>Tuloslaskelma!G46</f>
        <v>0</v>
      </c>
      <c r="D42" s="472">
        <f>Tuloslaskelma!H46</f>
        <v>0</v>
      </c>
      <c r="E42" s="472">
        <f>Tuloslaskelma!I46</f>
        <v>0</v>
      </c>
      <c r="F42" s="329"/>
      <c r="G42" s="329"/>
      <c r="H42" s="329"/>
      <c r="I42" s="329"/>
      <c r="J42" s="329"/>
      <c r="K42" s="329"/>
      <c r="L42" s="329"/>
      <c r="M42" s="329"/>
      <c r="N42" s="329"/>
      <c r="O42" s="1"/>
      <c r="P42" s="1"/>
      <c r="Q42" s="1"/>
      <c r="R42" s="1"/>
      <c r="S42" s="1"/>
      <c r="T42" s="1"/>
      <c r="U42" s="1"/>
      <c r="V42"/>
      <c r="W42"/>
      <c r="X42"/>
      <c r="Y42"/>
      <c r="Z42"/>
      <c r="AA42"/>
      <c r="AB42"/>
    </row>
    <row r="43" spans="1:28" x14ac:dyDescent="0.25">
      <c r="A43" s="470" t="s">
        <v>343</v>
      </c>
      <c r="B43" s="472">
        <f>Tuloslaskelma!F30</f>
        <v>0</v>
      </c>
      <c r="C43" s="472">
        <f>Tuloslaskelma!G30</f>
        <v>0</v>
      </c>
      <c r="D43" s="472">
        <f>Tuloslaskelma!H30</f>
        <v>0</v>
      </c>
      <c r="E43" s="472">
        <f>Tuloslaskelma!I30</f>
        <v>0</v>
      </c>
      <c r="F43" s="329"/>
      <c r="G43" s="329"/>
      <c r="H43" s="329"/>
      <c r="I43" s="483"/>
      <c r="J43" s="329"/>
      <c r="K43" s="329"/>
      <c r="L43" s="329"/>
      <c r="M43" s="329"/>
      <c r="N43" s="329"/>
      <c r="O43" s="1"/>
      <c r="P43" s="1"/>
      <c r="Q43" s="1"/>
      <c r="R43" s="1"/>
      <c r="S43" s="1"/>
      <c r="T43" s="1"/>
      <c r="U43" s="1"/>
      <c r="V43"/>
      <c r="W43"/>
      <c r="X43"/>
      <c r="Y43"/>
      <c r="Z43"/>
      <c r="AA43"/>
      <c r="AB43"/>
    </row>
    <row r="44" spans="1:28" x14ac:dyDescent="0.25">
      <c r="A44" s="470" t="s">
        <v>344</v>
      </c>
      <c r="B44" s="472">
        <f>Tuloslaskelma!F49</f>
        <v>0</v>
      </c>
      <c r="C44" s="472">
        <f>Tuloslaskelma!G49</f>
        <v>0</v>
      </c>
      <c r="D44" s="472">
        <f>Tuloslaskelma!H49</f>
        <v>0</v>
      </c>
      <c r="E44" s="472">
        <f>Tuloslaskelma!I49</f>
        <v>0</v>
      </c>
      <c r="F44" s="329"/>
      <c r="G44" s="329"/>
      <c r="H44" s="329"/>
      <c r="I44" s="329"/>
      <c r="J44" s="329"/>
      <c r="K44" s="329"/>
      <c r="L44" s="329"/>
      <c r="M44" s="329"/>
      <c r="N44" s="329"/>
      <c r="O44" s="1"/>
      <c r="P44" s="1"/>
      <c r="Q44" s="1"/>
      <c r="R44" s="1"/>
      <c r="S44" s="1"/>
      <c r="T44" s="1"/>
      <c r="U44" s="1"/>
      <c r="V44"/>
      <c r="W44"/>
      <c r="X44"/>
      <c r="Y44"/>
      <c r="Z44"/>
      <c r="AA44"/>
      <c r="AB44"/>
    </row>
    <row r="45" spans="1:28" ht="26.25" x14ac:dyDescent="0.25">
      <c r="A45" s="470" t="s">
        <v>337</v>
      </c>
      <c r="B45" s="263"/>
      <c r="C45" s="263"/>
      <c r="D45" s="263"/>
      <c r="E45" s="263"/>
      <c r="F45" s="329"/>
      <c r="G45" s="329"/>
      <c r="H45" s="329"/>
      <c r="I45" s="329"/>
      <c r="J45" s="329"/>
      <c r="K45" s="329"/>
      <c r="L45" s="329"/>
      <c r="M45" s="329"/>
      <c r="N45" s="329"/>
      <c r="O45" s="1"/>
      <c r="P45" s="1"/>
      <c r="Q45" s="1"/>
      <c r="R45" s="1"/>
      <c r="S45" s="1"/>
      <c r="T45" s="1"/>
      <c r="U45" s="1"/>
      <c r="V45"/>
      <c r="W45"/>
      <c r="X45"/>
      <c r="Y45"/>
      <c r="Z45"/>
      <c r="AA45"/>
      <c r="AB45"/>
    </row>
    <row r="46" spans="1:28" ht="39" x14ac:dyDescent="0.25">
      <c r="A46" s="470" t="s">
        <v>338</v>
      </c>
      <c r="B46" s="263"/>
      <c r="C46" s="263"/>
      <c r="D46" s="263"/>
      <c r="E46" s="263"/>
      <c r="F46" s="329"/>
      <c r="G46" s="329"/>
      <c r="H46" s="329"/>
      <c r="I46" s="329"/>
      <c r="J46" s="329"/>
      <c r="K46" s="329"/>
      <c r="L46" s="329"/>
      <c r="M46" s="329"/>
      <c r="N46" s="329"/>
      <c r="O46" s="1"/>
      <c r="P46" s="1"/>
      <c r="Q46" s="1"/>
      <c r="R46" s="1"/>
      <c r="S46" s="1"/>
      <c r="T46" s="1"/>
      <c r="U46" s="1"/>
      <c r="V46"/>
      <c r="W46"/>
      <c r="X46"/>
      <c r="Y46"/>
      <c r="Z46"/>
      <c r="AA46"/>
      <c r="AB46"/>
    </row>
    <row r="47" spans="1:28" x14ac:dyDescent="0.25">
      <c r="A47" s="470" t="s">
        <v>345</v>
      </c>
      <c r="B47" s="472">
        <f>-Tuloslaskelma!F24</f>
        <v>0</v>
      </c>
      <c r="C47" s="472">
        <f>-Tuloslaskelma!G24</f>
        <v>0</v>
      </c>
      <c r="D47" s="472">
        <f>-Tuloslaskelma!H24</f>
        <v>0</v>
      </c>
      <c r="E47" s="472">
        <f>-Tuloslaskelma!I24</f>
        <v>0</v>
      </c>
      <c r="F47" s="329"/>
      <c r="G47" s="329"/>
      <c r="H47" s="329"/>
      <c r="I47" s="329"/>
      <c r="J47" s="329"/>
      <c r="K47" s="329"/>
      <c r="L47" s="329"/>
      <c r="M47" s="329"/>
      <c r="N47" s="329"/>
      <c r="O47" s="1"/>
      <c r="P47" s="1"/>
      <c r="Q47" s="1"/>
      <c r="R47" s="1"/>
      <c r="S47" s="1"/>
      <c r="T47" s="1"/>
      <c r="U47" s="1"/>
      <c r="V47"/>
      <c r="W47"/>
      <c r="X47"/>
      <c r="Y47"/>
      <c r="Z47"/>
      <c r="AA47"/>
      <c r="AB47"/>
    </row>
    <row r="48" spans="1:28" ht="15.75" thickBot="1" x14ac:dyDescent="0.3">
      <c r="A48" s="470" t="s">
        <v>346</v>
      </c>
      <c r="B48" s="473">
        <f>Tuloslaskelma!F15</f>
        <v>0</v>
      </c>
      <c r="C48" s="473">
        <f>Tuloslaskelma!G15</f>
        <v>0</v>
      </c>
      <c r="D48" s="473">
        <f>Tuloslaskelma!H15</f>
        <v>0</v>
      </c>
      <c r="E48" s="473">
        <f>Tuloslaskelma!I15</f>
        <v>0</v>
      </c>
      <c r="F48" s="329"/>
      <c r="G48" s="329"/>
      <c r="H48" s="329"/>
      <c r="I48" s="329"/>
      <c r="J48" s="329"/>
      <c r="K48" s="329"/>
      <c r="L48" s="329"/>
      <c r="M48" s="329"/>
      <c r="N48" s="329"/>
      <c r="O48" s="1"/>
      <c r="P48" s="1"/>
      <c r="Q48" s="1"/>
      <c r="R48" s="1"/>
      <c r="S48" s="1"/>
      <c r="T48" s="1"/>
      <c r="U48" s="1"/>
      <c r="V48"/>
      <c r="W48"/>
      <c r="X48"/>
      <c r="Y48"/>
      <c r="Z48"/>
      <c r="AA48"/>
      <c r="AB48"/>
    </row>
    <row r="49" spans="1:28" ht="33" customHeight="1" thickBot="1" x14ac:dyDescent="0.3">
      <c r="A49" s="471" t="s">
        <v>347</v>
      </c>
      <c r="B49" s="467"/>
      <c r="C49" s="467"/>
      <c r="D49" s="467"/>
      <c r="E49" s="467"/>
      <c r="F49" s="330"/>
      <c r="G49" s="329"/>
      <c r="H49" s="329"/>
      <c r="I49" s="329"/>
      <c r="J49" s="329"/>
      <c r="K49" s="329"/>
      <c r="L49" s="329"/>
      <c r="M49" s="329"/>
      <c r="N49" s="329"/>
      <c r="O49" s="1"/>
      <c r="P49" s="1"/>
      <c r="Q49" s="1"/>
      <c r="R49" s="1"/>
      <c r="S49" s="1"/>
      <c r="T49" s="1"/>
      <c r="U49" s="1"/>
      <c r="V49"/>
      <c r="W49"/>
      <c r="X49"/>
      <c r="Y49"/>
      <c r="Z49"/>
      <c r="AA49"/>
      <c r="AB49"/>
    </row>
    <row r="50" spans="1:28" ht="33" customHeight="1" x14ac:dyDescent="0.25">
      <c r="A50" s="476" t="s">
        <v>355</v>
      </c>
      <c r="B50" s="475">
        <f>Tuloslaskelma!F50</f>
        <v>0</v>
      </c>
      <c r="C50" s="475">
        <f>Tuloslaskelma!G50</f>
        <v>0</v>
      </c>
      <c r="D50" s="475">
        <f>Tuloslaskelma!H50</f>
        <v>0</v>
      </c>
      <c r="E50" s="475">
        <f>Tuloslaskelma!I50</f>
        <v>0</v>
      </c>
      <c r="F50" s="329"/>
      <c r="G50" s="329"/>
      <c r="H50" s="329"/>
      <c r="I50" s="329"/>
      <c r="J50" s="329"/>
      <c r="K50" s="329"/>
      <c r="L50" s="329"/>
      <c r="M50" s="329"/>
      <c r="N50" s="329"/>
      <c r="O50" s="1"/>
      <c r="P50" s="1"/>
      <c r="Q50" s="1"/>
      <c r="R50" s="1"/>
      <c r="S50" s="1"/>
      <c r="T50" s="1"/>
      <c r="U50" s="1"/>
      <c r="V50"/>
      <c r="W50"/>
      <c r="X50"/>
      <c r="Y50"/>
      <c r="Z50"/>
      <c r="AA50"/>
      <c r="AB50"/>
    </row>
    <row r="51" spans="1:28" ht="33" customHeight="1" x14ac:dyDescent="0.25">
      <c r="A51" s="329"/>
      <c r="B51" s="329"/>
      <c r="C51" s="329"/>
      <c r="D51" s="329"/>
      <c r="E51" s="329"/>
      <c r="F51" s="329"/>
      <c r="G51" s="329"/>
      <c r="H51" s="329"/>
      <c r="I51" s="329"/>
      <c r="J51" s="329"/>
      <c r="K51" s="329"/>
      <c r="L51" s="329"/>
      <c r="M51" s="329"/>
      <c r="N51" s="329"/>
      <c r="O51" s="1"/>
      <c r="P51" s="1"/>
      <c r="Q51" s="1"/>
      <c r="R51" s="1"/>
      <c r="S51" s="1"/>
      <c r="T51" s="1"/>
      <c r="U51" s="1"/>
      <c r="V51"/>
      <c r="W51"/>
      <c r="X51"/>
      <c r="Y51"/>
      <c r="Z51"/>
      <c r="AA51"/>
      <c r="AB51"/>
    </row>
    <row r="52" spans="1:28" x14ac:dyDescent="0.25">
      <c r="A52" s="329"/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1"/>
      <c r="P52" s="1"/>
      <c r="Q52" s="1"/>
      <c r="R52" s="1"/>
      <c r="S52" s="1"/>
      <c r="T52" s="1"/>
      <c r="U52" s="1"/>
      <c r="V52"/>
      <c r="W52"/>
      <c r="X52"/>
      <c r="Y52"/>
      <c r="Z52"/>
      <c r="AA52"/>
      <c r="AB52"/>
    </row>
    <row r="53" spans="1:28" ht="19.5" customHeight="1" x14ac:dyDescent="0.25">
      <c r="A53" s="329"/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1"/>
      <c r="P53" s="1"/>
      <c r="Q53" s="1"/>
      <c r="R53" s="1"/>
      <c r="S53" s="1"/>
      <c r="T53" s="1"/>
      <c r="U53" s="1"/>
      <c r="V53"/>
      <c r="W53"/>
      <c r="X53"/>
      <c r="Y53"/>
      <c r="Z53"/>
      <c r="AA53"/>
      <c r="AB53"/>
    </row>
    <row r="54" spans="1:28" x14ac:dyDescent="0.25">
      <c r="A54" s="330"/>
      <c r="B54" s="348" t="s">
        <v>306</v>
      </c>
      <c r="C54" s="346"/>
      <c r="D54" s="346"/>
      <c r="E54" s="346"/>
      <c r="F54" s="346"/>
      <c r="G54" s="330"/>
      <c r="H54" s="342" t="s">
        <v>299</v>
      </c>
      <c r="I54" s="330"/>
      <c r="J54" s="330"/>
      <c r="K54" s="330"/>
      <c r="L54" s="330"/>
      <c r="M54" s="330"/>
      <c r="N54" s="330"/>
      <c r="O54" s="330"/>
      <c r="P54" s="330"/>
      <c r="Q54" s="329"/>
      <c r="R54" s="330"/>
      <c r="S54" s="330"/>
      <c r="T54" s="330"/>
      <c r="U54" s="330"/>
      <c r="V54" s="330"/>
      <c r="W54" s="330"/>
      <c r="X54" s="330"/>
      <c r="Y54"/>
      <c r="Z54" s="333"/>
      <c r="AA54" s="333"/>
      <c r="AB54" s="333"/>
    </row>
    <row r="55" spans="1:28" x14ac:dyDescent="0.25">
      <c r="A55" s="330"/>
      <c r="B55" s="343" t="s">
        <v>304</v>
      </c>
      <c r="C55" s="342" t="s">
        <v>303</v>
      </c>
      <c r="D55" s="342" t="s">
        <v>302</v>
      </c>
      <c r="E55" s="342" t="s">
        <v>301</v>
      </c>
      <c r="F55" s="342" t="s">
        <v>300</v>
      </c>
      <c r="G55" s="330"/>
      <c r="H55" s="334">
        <f>MAX(H59:H611)</f>
        <v>3412.043139475938</v>
      </c>
      <c r="I55" s="330"/>
      <c r="J55" s="330"/>
      <c r="K55" s="330"/>
      <c r="L55" s="330"/>
      <c r="M55" s="330"/>
      <c r="N55" s="330"/>
      <c r="O55" s="330"/>
      <c r="P55" s="330"/>
      <c r="Q55" s="329"/>
      <c r="R55" s="351"/>
      <c r="S55" s="351"/>
      <c r="T55" s="351"/>
      <c r="U55" s="351"/>
      <c r="V55" s="330"/>
      <c r="W55" s="330"/>
      <c r="X55" s="330"/>
      <c r="Y55" s="333"/>
      <c r="Z55"/>
      <c r="AA55"/>
      <c r="AB55"/>
    </row>
    <row r="56" spans="1:28" x14ac:dyDescent="0.25">
      <c r="A56" s="330"/>
      <c r="B56" s="337">
        <f>-1*Tehostamiskannustin!D5/1000</f>
        <v>-254392.78690750085</v>
      </c>
      <c r="C56" s="335">
        <f>Tehostamiskannustin!E5/1000</f>
        <v>1784.9180074178914</v>
      </c>
      <c r="D56" s="336">
        <f>Tehostamiskannustin!L5</f>
        <v>579.51513529038971</v>
      </c>
      <c r="E56" s="335">
        <f>Tehostamiskannustin!F5</f>
        <v>5193.7175519480525</v>
      </c>
      <c r="F56" s="335">
        <f>Tehostamiskannustin!G5</f>
        <v>46075.029220779223</v>
      </c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29"/>
      <c r="R56" s="330"/>
      <c r="S56" s="330"/>
      <c r="T56" s="330"/>
      <c r="U56" s="330"/>
      <c r="V56" s="330"/>
      <c r="W56" s="330"/>
      <c r="X56" s="330"/>
      <c r="Y56" s="333"/>
      <c r="Z56"/>
      <c r="AA56"/>
      <c r="AB56"/>
    </row>
    <row r="57" spans="1:28" ht="12" customHeight="1" x14ac:dyDescent="0.25">
      <c r="A57" s="330"/>
      <c r="B57" s="350"/>
      <c r="C57" s="350"/>
      <c r="D57" s="330"/>
      <c r="E57" s="350"/>
      <c r="F57" s="350"/>
      <c r="G57" s="330"/>
      <c r="H57" s="349"/>
      <c r="I57" s="330"/>
      <c r="J57" s="348" t="s">
        <v>305</v>
      </c>
      <c r="K57" s="346"/>
      <c r="L57" s="346"/>
      <c r="M57" s="346"/>
      <c r="N57" s="346"/>
      <c r="O57" s="346"/>
      <c r="P57" s="330"/>
      <c r="Q57" s="329"/>
      <c r="R57" s="347" t="s">
        <v>134</v>
      </c>
      <c r="S57" s="346"/>
      <c r="T57" s="346"/>
      <c r="U57" s="346"/>
      <c r="V57" s="330"/>
      <c r="W57" s="330"/>
      <c r="X57" s="330"/>
      <c r="Y57" s="333"/>
      <c r="Z57"/>
      <c r="AA57"/>
      <c r="AB57"/>
    </row>
    <row r="58" spans="1:28" ht="58.15" customHeight="1" x14ac:dyDescent="0.25">
      <c r="A58" s="330"/>
      <c r="B58" s="342" t="s">
        <v>133</v>
      </c>
      <c r="C58" s="346"/>
      <c r="D58" s="346"/>
      <c r="E58" s="346"/>
      <c r="F58" s="346"/>
      <c r="G58" s="330"/>
      <c r="H58" s="345" t="s">
        <v>134</v>
      </c>
      <c r="I58" s="344"/>
      <c r="J58" s="343" t="s">
        <v>216</v>
      </c>
      <c r="K58" s="343" t="s">
        <v>304</v>
      </c>
      <c r="L58" s="342" t="s">
        <v>303</v>
      </c>
      <c r="M58" s="342" t="s">
        <v>302</v>
      </c>
      <c r="N58" s="342" t="s">
        <v>301</v>
      </c>
      <c r="O58" s="342" t="s">
        <v>300</v>
      </c>
      <c r="P58" s="330"/>
      <c r="Q58" s="341" t="s">
        <v>299</v>
      </c>
      <c r="R58" s="340">
        <v>2020</v>
      </c>
      <c r="S58" s="340">
        <v>2021</v>
      </c>
      <c r="T58" s="340">
        <v>2022</v>
      </c>
      <c r="U58" s="340">
        <v>2023</v>
      </c>
      <c r="V58" s="330"/>
      <c r="W58" s="330"/>
      <c r="X58" s="330"/>
      <c r="Y58" s="333"/>
      <c r="Z58"/>
      <c r="AA58"/>
      <c r="AB58"/>
    </row>
    <row r="59" spans="1:28" x14ac:dyDescent="0.25">
      <c r="A59" s="330"/>
      <c r="B59" s="332">
        <v>1.5604917906868796E-2</v>
      </c>
      <c r="C59" s="332">
        <v>-0.91689587465402322</v>
      </c>
      <c r="D59" s="332">
        <v>9.0148483910766259</v>
      </c>
      <c r="E59" s="332"/>
      <c r="F59" s="332"/>
      <c r="G59" s="330"/>
      <c r="H59" s="331">
        <f>SUMPRODUCT(B59:F59,B$56:F$56)</f>
        <v>-382.12142841113837</v>
      </c>
      <c r="I59" s="330"/>
      <c r="J59" s="338">
        <v>2020</v>
      </c>
      <c r="K59" s="337">
        <f>-E15/1000</f>
        <v>-254392.78690750085</v>
      </c>
      <c r="L59" s="335">
        <f>F15/1000</f>
        <v>1784.9180074178914</v>
      </c>
      <c r="M59" s="336">
        <f>L15</f>
        <v>585.31028664329358</v>
      </c>
      <c r="N59" s="335">
        <f t="shared" ref="N59:O62" si="4">G15</f>
        <v>5245.6547274675331</v>
      </c>
      <c r="O59" s="335">
        <f t="shared" si="4"/>
        <v>46535.779512987014</v>
      </c>
      <c r="P59" s="330"/>
      <c r="Q59" s="334">
        <f>MAX(R59:R611)</f>
        <v>3444.9068777244265</v>
      </c>
      <c r="R59" s="331">
        <f>SUMPRODUCT($B59:$F59,$K$59:$O$59)</f>
        <v>-329.87901756136762</v>
      </c>
      <c r="S59" s="331">
        <f>SUMPRODUCT($B59:$F59,$K$60:$O$60)</f>
        <v>-277.11418260309802</v>
      </c>
      <c r="T59" s="331">
        <f>SUMPRODUCT($B59:$F59,$K$61:$O$61)</f>
        <v>-223.82169929524571</v>
      </c>
      <c r="U59" s="331">
        <f>SUMPRODUCT($B59:$F59,$K$62:$O$62)</f>
        <v>-169.99629115431617</v>
      </c>
      <c r="V59" s="330"/>
      <c r="W59" s="330"/>
      <c r="X59" s="330"/>
      <c r="Y59" s="333"/>
      <c r="Z59"/>
      <c r="AA59"/>
      <c r="AB59"/>
    </row>
    <row r="60" spans="1:28" x14ac:dyDescent="0.25">
      <c r="A60" s="330"/>
      <c r="B60" s="332"/>
      <c r="C60" s="332">
        <v>-40.769435736850205</v>
      </c>
      <c r="D60" s="332">
        <v>8.3058335521520377</v>
      </c>
      <c r="E60" s="332"/>
      <c r="F60" s="332">
        <v>1.6984954219775687E-2</v>
      </c>
      <c r="G60" s="330"/>
      <c r="H60" s="331">
        <f t="shared" ref="H60:H123" si="5">SUMPRODUCT(B60:F60,B$56:F$56)</f>
        <v>-67174.161482305833</v>
      </c>
      <c r="I60" s="330"/>
      <c r="J60" s="338">
        <v>2021</v>
      </c>
      <c r="K60" s="337">
        <f>-E16/1000</f>
        <v>-254392.78690750085</v>
      </c>
      <c r="L60" s="335">
        <f>F16/1000</f>
        <v>1784.9180074178914</v>
      </c>
      <c r="M60" s="336">
        <f>L16</f>
        <v>591.16338950972658</v>
      </c>
      <c r="N60" s="335">
        <f t="shared" si="4"/>
        <v>5298.1112747422085</v>
      </c>
      <c r="O60" s="335">
        <f t="shared" si="4"/>
        <v>47001.137308116886</v>
      </c>
      <c r="P60" s="330"/>
      <c r="Q60" s="334">
        <f>MAX(S59:S611)</f>
        <v>3478.1186172749185</v>
      </c>
      <c r="R60" s="331">
        <f t="shared" ref="R60:R123" si="6">SUMPRODUCT($B60:$F60,$K$59:$O$59)</f>
        <v>-67118.20209713919</v>
      </c>
      <c r="S60" s="331">
        <f t="shared" ref="S60:S123" si="7">SUMPRODUCT($B60:$F60,$K$60:$O$60)</f>
        <v>-67061.683118120869</v>
      </c>
      <c r="T60" s="331">
        <f t="shared" ref="T60:T123" si="8">SUMPRODUCT($B60:$F60,$K$61:$O$61)</f>
        <v>-67004.598949312378</v>
      </c>
      <c r="U60" s="331">
        <f t="shared" ref="U60:U123" si="9">SUMPRODUCT($B60:$F60,$K$62:$O$62)</f>
        <v>-66946.943938815792</v>
      </c>
      <c r="V60" s="330"/>
      <c r="W60" s="330"/>
      <c r="X60" s="330"/>
      <c r="Y60" s="333"/>
      <c r="Z60"/>
      <c r="AA60"/>
      <c r="AB60"/>
    </row>
    <row r="61" spans="1:28" x14ac:dyDescent="0.25">
      <c r="A61" s="330"/>
      <c r="B61" s="332">
        <v>9.6735264558615811E-3</v>
      </c>
      <c r="C61" s="332">
        <v>-3.907747364157832</v>
      </c>
      <c r="D61" s="332">
        <v>4.4308296113316263</v>
      </c>
      <c r="E61" s="332"/>
      <c r="F61" s="332">
        <v>6.4362141147049148E-2</v>
      </c>
      <c r="G61" s="330"/>
      <c r="H61" s="331">
        <f t="shared" si="5"/>
        <v>-3902.6636373334636</v>
      </c>
      <c r="I61" s="330"/>
      <c r="J61" s="338">
        <v>2022</v>
      </c>
      <c r="K61" s="337">
        <f>-E17/1000</f>
        <v>-254392.78690750085</v>
      </c>
      <c r="L61" s="335">
        <f>F17/1000</f>
        <v>1784.9180074178914</v>
      </c>
      <c r="M61" s="336">
        <f>L17</f>
        <v>597.07502340482392</v>
      </c>
      <c r="N61" s="335">
        <f t="shared" si="4"/>
        <v>5351.0923874896307</v>
      </c>
      <c r="O61" s="335">
        <f t="shared" si="4"/>
        <v>47471.148681198058</v>
      </c>
      <c r="P61" s="330"/>
      <c r="Q61" s="334">
        <f>MAX(T59:T611)</f>
        <v>3511.6624742209142</v>
      </c>
      <c r="R61" s="331">
        <f t="shared" si="6"/>
        <v>-3847.3314337762463</v>
      </c>
      <c r="S61" s="331">
        <f t="shared" si="7"/>
        <v>-3791.4459081834566</v>
      </c>
      <c r="T61" s="331">
        <f t="shared" si="8"/>
        <v>-3735.0015273347394</v>
      </c>
      <c r="U61" s="331">
        <f t="shared" si="9"/>
        <v>-3677.992702677534</v>
      </c>
      <c r="V61" s="330"/>
      <c r="W61" s="330"/>
      <c r="X61" s="330"/>
      <c r="Y61" s="333"/>
      <c r="Z61"/>
      <c r="AA61"/>
      <c r="AB61"/>
    </row>
    <row r="62" spans="1:28" x14ac:dyDescent="0.25">
      <c r="A62" s="330"/>
      <c r="B62" s="332">
        <v>9.673526455861484E-3</v>
      </c>
      <c r="C62" s="332">
        <v>-3.9077473641577889</v>
      </c>
      <c r="D62" s="332">
        <v>4.4308296113316086</v>
      </c>
      <c r="E62" s="332"/>
      <c r="F62" s="332">
        <v>6.436214114704901E-2</v>
      </c>
      <c r="G62" s="330"/>
      <c r="H62" s="331">
        <f t="shared" si="5"/>
        <v>-3902.663637333379</v>
      </c>
      <c r="I62" s="330"/>
      <c r="J62" s="338">
        <v>2023</v>
      </c>
      <c r="K62" s="337">
        <f>-E18/1000</f>
        <v>-254392.78690750085</v>
      </c>
      <c r="L62" s="335">
        <f>F18/1000</f>
        <v>1784.9180074178914</v>
      </c>
      <c r="M62" s="336">
        <f>L18</f>
        <v>603.04577363887211</v>
      </c>
      <c r="N62" s="335">
        <f t="shared" si="4"/>
        <v>5404.6033113645271</v>
      </c>
      <c r="O62" s="335">
        <f t="shared" si="4"/>
        <v>47945.86016801004</v>
      </c>
      <c r="P62" s="330"/>
      <c r="Q62" s="334">
        <f>MAX(U59:U611)</f>
        <v>3545.541769736371</v>
      </c>
      <c r="R62" s="331">
        <f t="shared" si="6"/>
        <v>-3847.3314337761612</v>
      </c>
      <c r="S62" s="331">
        <f t="shared" si="7"/>
        <v>-3791.4459081833725</v>
      </c>
      <c r="T62" s="331">
        <f t="shared" si="8"/>
        <v>-3735.0015273346539</v>
      </c>
      <c r="U62" s="331">
        <f t="shared" si="9"/>
        <v>-3677.9927026774499</v>
      </c>
      <c r="V62" s="330"/>
      <c r="W62" s="330"/>
      <c r="X62" s="330"/>
      <c r="Y62" s="333"/>
      <c r="Z62"/>
      <c r="AA62"/>
      <c r="AB62"/>
    </row>
    <row r="63" spans="1:28" x14ac:dyDescent="0.25">
      <c r="A63" s="330"/>
      <c r="B63" s="332">
        <v>1.3381728849546352E-2</v>
      </c>
      <c r="C63" s="332">
        <v>-0.60037638030260343</v>
      </c>
      <c r="D63" s="332">
        <v>5.9723339267476705</v>
      </c>
      <c r="E63" s="332"/>
      <c r="F63" s="332">
        <v>4.6285541598621353E-2</v>
      </c>
      <c r="G63" s="330"/>
      <c r="H63" s="331">
        <f t="shared" si="5"/>
        <v>1117.8276771075411</v>
      </c>
      <c r="I63" s="339"/>
      <c r="J63" s="330"/>
      <c r="K63" s="330"/>
      <c r="L63" s="330"/>
      <c r="M63" s="330"/>
      <c r="N63" s="330"/>
      <c r="O63" s="330"/>
      <c r="P63" s="330"/>
      <c r="Q63" s="329"/>
      <c r="R63" s="331">
        <f t="shared" si="6"/>
        <v>1173.7643329596872</v>
      </c>
      <c r="S63" s="331">
        <f t="shared" si="7"/>
        <v>1230.2603553703557</v>
      </c>
      <c r="T63" s="331">
        <f t="shared" si="8"/>
        <v>1287.3213380051302</v>
      </c>
      <c r="U63" s="331">
        <f t="shared" si="9"/>
        <v>1344.9529304662528</v>
      </c>
      <c r="V63" s="330"/>
      <c r="W63" s="330"/>
      <c r="X63" s="330"/>
      <c r="Y63" s="333"/>
      <c r="Z63"/>
      <c r="AA63"/>
      <c r="AB63"/>
    </row>
    <row r="64" spans="1:28" x14ac:dyDescent="0.25">
      <c r="A64" s="330"/>
      <c r="B64" s="332">
        <v>2.0783863216002365E-2</v>
      </c>
      <c r="C64" s="332">
        <v>-0.9950968999729739</v>
      </c>
      <c r="D64" s="332">
        <v>9.8001239962358895</v>
      </c>
      <c r="E64" s="332"/>
      <c r="F64" s="332">
        <v>1.1847545624593579E-2</v>
      </c>
      <c r="G64" s="330"/>
      <c r="H64" s="331">
        <f t="shared" si="5"/>
        <v>-838.23506772171584</v>
      </c>
      <c r="I64" s="330"/>
      <c r="J64" s="330"/>
      <c r="K64" s="330"/>
      <c r="L64" s="330"/>
      <c r="M64" s="330"/>
      <c r="N64" s="330"/>
      <c r="O64" s="330"/>
      <c r="P64" s="330"/>
      <c r="Q64" s="329"/>
      <c r="R64" s="331">
        <f t="shared" si="6"/>
        <v>-775.98310577782695</v>
      </c>
      <c r="S64" s="331">
        <f t="shared" si="7"/>
        <v>-713.10862421449883</v>
      </c>
      <c r="T64" s="331">
        <f t="shared" si="8"/>
        <v>-649.60539783553679</v>
      </c>
      <c r="U64" s="331">
        <f t="shared" si="9"/>
        <v>-585.46713919278682</v>
      </c>
      <c r="V64" s="330"/>
      <c r="W64" s="330"/>
      <c r="X64" s="330"/>
      <c r="Y64" s="333"/>
      <c r="Z64"/>
      <c r="AA64"/>
      <c r="AB64"/>
    </row>
    <row r="65" spans="1:28" x14ac:dyDescent="0.25">
      <c r="A65" s="330"/>
      <c r="B65" s="332">
        <v>5.9949326316865718E-2</v>
      </c>
      <c r="C65" s="332">
        <v>-21.605423210964229</v>
      </c>
      <c r="D65" s="332"/>
      <c r="E65" s="332"/>
      <c r="F65" s="332">
        <v>0.25771360085460127</v>
      </c>
      <c r="G65" s="330"/>
      <c r="H65" s="331">
        <f t="shared" si="5"/>
        <v>-41940.423452141207</v>
      </c>
      <c r="I65" s="330"/>
      <c r="J65" s="330"/>
      <c r="K65" s="330"/>
      <c r="L65" s="330"/>
      <c r="M65" s="330"/>
      <c r="N65" s="330"/>
      <c r="O65" s="330"/>
      <c r="P65" s="330"/>
      <c r="Q65" s="329"/>
      <c r="R65" s="331">
        <f t="shared" si="6"/>
        <v>-41821.681835241528</v>
      </c>
      <c r="S65" s="331">
        <f t="shared" si="7"/>
        <v>-41701.75280217285</v>
      </c>
      <c r="T65" s="331">
        <f t="shared" si="8"/>
        <v>-41580.62447877349</v>
      </c>
      <c r="U65" s="331">
        <f t="shared" si="9"/>
        <v>-41458.284872140131</v>
      </c>
      <c r="V65" s="330"/>
      <c r="W65" s="330"/>
      <c r="X65" s="330"/>
      <c r="Y65" s="333"/>
      <c r="Z65"/>
      <c r="AA65"/>
      <c r="AB65"/>
    </row>
    <row r="66" spans="1:28" x14ac:dyDescent="0.25">
      <c r="A66" s="330"/>
      <c r="B66" s="332">
        <v>1.9748378885112616E-2</v>
      </c>
      <c r="C66" s="332">
        <v>-8.8793458913890611</v>
      </c>
      <c r="D66" s="332">
        <v>10.008456531157982</v>
      </c>
      <c r="E66" s="332"/>
      <c r="F66" s="332">
        <v>3.4572334560989008E-2</v>
      </c>
      <c r="G66" s="330"/>
      <c r="H66" s="331">
        <f t="shared" si="5"/>
        <v>-13479.776151291322</v>
      </c>
      <c r="I66" s="330"/>
      <c r="J66" s="330"/>
      <c r="K66" s="330"/>
      <c r="L66" s="330"/>
      <c r="M66" s="330"/>
      <c r="N66" s="330"/>
      <c r="O66" s="330"/>
      <c r="P66" s="330"/>
      <c r="Q66" s="329"/>
      <c r="R66" s="331">
        <f t="shared" si="6"/>
        <v>-13405.846417633018</v>
      </c>
      <c r="S66" s="331">
        <f t="shared" si="7"/>
        <v>-13331.177386638134</v>
      </c>
      <c r="T66" s="331">
        <f t="shared" si="8"/>
        <v>-13255.761665333301</v>
      </c>
      <c r="U66" s="331">
        <f t="shared" si="9"/>
        <v>-13179.591786815419</v>
      </c>
      <c r="V66" s="330"/>
      <c r="W66" s="330"/>
      <c r="X66" s="330"/>
      <c r="Y66" s="333"/>
      <c r="Z66"/>
      <c r="AA66"/>
      <c r="AB66"/>
    </row>
    <row r="67" spans="1:28" x14ac:dyDescent="0.25">
      <c r="A67" s="330"/>
      <c r="B67" s="332">
        <v>1.3971457089225583E-3</v>
      </c>
      <c r="C67" s="332">
        <v>-2.9253535560633934</v>
      </c>
      <c r="D67" s="332">
        <v>4.9221935574966791</v>
      </c>
      <c r="E67" s="332"/>
      <c r="F67" s="332">
        <v>2.9964438429885821E-2</v>
      </c>
      <c r="G67" s="330"/>
      <c r="H67" s="331">
        <f t="shared" si="5"/>
        <v>-1343.8419892507789</v>
      </c>
      <c r="I67" s="330"/>
      <c r="J67" s="330"/>
      <c r="K67" s="330"/>
      <c r="L67" s="330"/>
      <c r="M67" s="330"/>
      <c r="N67" s="330"/>
      <c r="O67" s="330"/>
      <c r="P67" s="330"/>
      <c r="Q67" s="329"/>
      <c r="R67" s="331">
        <f t="shared" si="6"/>
        <v>-1301.5110088343849</v>
      </c>
      <c r="S67" s="331">
        <f t="shared" si="7"/>
        <v>-1258.7567186138265</v>
      </c>
      <c r="T67" s="331">
        <f t="shared" si="8"/>
        <v>-1215.5748854910626</v>
      </c>
      <c r="U67" s="331">
        <f t="shared" si="9"/>
        <v>-1171.9612340370718</v>
      </c>
      <c r="V67" s="330"/>
      <c r="W67" s="330"/>
      <c r="X67" s="330"/>
      <c r="Y67" s="333"/>
      <c r="Z67"/>
      <c r="AA67"/>
      <c r="AB67"/>
    </row>
    <row r="68" spans="1:28" x14ac:dyDescent="0.25">
      <c r="A68" s="330"/>
      <c r="B68" s="332">
        <v>2.8484011544244237E-2</v>
      </c>
      <c r="C68" s="332">
        <v>-0.62245801946323664</v>
      </c>
      <c r="D68" s="332">
        <v>9.3610579709292967</v>
      </c>
      <c r="E68" s="332"/>
      <c r="F68" s="332">
        <v>4.5625863026107244E-2</v>
      </c>
      <c r="G68" s="330"/>
      <c r="H68" s="331">
        <f t="shared" si="5"/>
        <v>-830.07585821189195</v>
      </c>
      <c r="I68" s="330"/>
      <c r="J68" s="330"/>
      <c r="K68" s="330"/>
      <c r="L68" s="330"/>
      <c r="M68" s="330"/>
      <c r="N68" s="330"/>
      <c r="O68" s="330"/>
      <c r="P68" s="330"/>
      <c r="Q68" s="329"/>
      <c r="R68" s="331">
        <f t="shared" si="6"/>
        <v>-754.80498072553746</v>
      </c>
      <c r="S68" s="331">
        <f t="shared" si="7"/>
        <v>-678.78139446431851</v>
      </c>
      <c r="T68" s="331">
        <f t="shared" si="8"/>
        <v>-601.9975723404882</v>
      </c>
      <c r="U68" s="331">
        <f t="shared" si="9"/>
        <v>-524.44591199542037</v>
      </c>
      <c r="V68" s="330"/>
      <c r="W68" s="330"/>
      <c r="X68" s="330"/>
      <c r="Y68" s="333"/>
      <c r="Z68"/>
      <c r="AA68"/>
      <c r="AB68"/>
    </row>
    <row r="69" spans="1:28" x14ac:dyDescent="0.25">
      <c r="A69" s="330"/>
      <c r="B69" s="332"/>
      <c r="C69" s="332">
        <v>-74.003275008700129</v>
      </c>
      <c r="D69" s="332"/>
      <c r="E69" s="332">
        <v>0.41206314309182679</v>
      </c>
      <c r="F69" s="332">
        <v>0.11061984309681931</v>
      </c>
      <c r="G69" s="330"/>
      <c r="H69" s="331">
        <f t="shared" si="5"/>
        <v>-124852.82608905643</v>
      </c>
      <c r="I69" s="330"/>
      <c r="J69" s="330"/>
      <c r="K69" s="330"/>
      <c r="L69" s="330"/>
      <c r="M69" s="330"/>
      <c r="N69" s="330"/>
      <c r="O69" s="330"/>
      <c r="P69" s="330"/>
      <c r="Q69" s="329"/>
      <c r="R69" s="331">
        <f t="shared" si="6"/>
        <v>-124780.4565682377</v>
      </c>
      <c r="S69" s="331">
        <f t="shared" si="7"/>
        <v>-124707.36335221081</v>
      </c>
      <c r="T69" s="331">
        <f t="shared" si="8"/>
        <v>-124633.53920402365</v>
      </c>
      <c r="U69" s="331">
        <f t="shared" si="9"/>
        <v>-124558.97681435462</v>
      </c>
      <c r="V69" s="330"/>
      <c r="W69" s="330"/>
      <c r="X69" s="330"/>
      <c r="Y69" s="333"/>
      <c r="Z69"/>
      <c r="AA69"/>
      <c r="AB69"/>
    </row>
    <row r="70" spans="1:28" x14ac:dyDescent="0.25">
      <c r="A70" s="330"/>
      <c r="B70" s="332">
        <v>8.2927382625913697E-3</v>
      </c>
      <c r="C70" s="332">
        <v>-0.7324428402176496</v>
      </c>
      <c r="D70" s="332">
        <v>2.4825088448193777</v>
      </c>
      <c r="E70" s="332"/>
      <c r="F70" s="332">
        <v>7.4231502983562639E-2</v>
      </c>
      <c r="G70" s="330"/>
      <c r="H70" s="331">
        <f t="shared" si="5"/>
        <v>1441.9069055112263</v>
      </c>
      <c r="I70" s="330"/>
      <c r="J70" s="330"/>
      <c r="K70" s="330"/>
      <c r="L70" s="330"/>
      <c r="M70" s="330"/>
      <c r="N70" s="330"/>
      <c r="O70" s="330"/>
      <c r="P70" s="330"/>
      <c r="Q70" s="329"/>
      <c r="R70" s="331">
        <f t="shared" si="6"/>
        <v>1490.495606692577</v>
      </c>
      <c r="S70" s="331">
        <f t="shared" si="7"/>
        <v>1539.570194885742</v>
      </c>
      <c r="T70" s="331">
        <f t="shared" si="8"/>
        <v>1589.1355289608387</v>
      </c>
      <c r="U70" s="331">
        <f t="shared" si="9"/>
        <v>1639.1965163766856</v>
      </c>
      <c r="V70" s="330"/>
      <c r="W70" s="330"/>
      <c r="X70" s="330"/>
      <c r="Y70"/>
      <c r="Z70"/>
      <c r="AA70"/>
      <c r="AB70"/>
    </row>
    <row r="71" spans="1:28" x14ac:dyDescent="0.25">
      <c r="A71" s="330"/>
      <c r="B71" s="332">
        <v>6.3322809178119671E-3</v>
      </c>
      <c r="C71" s="332">
        <v>-1.4701361353287954</v>
      </c>
      <c r="D71" s="332"/>
      <c r="E71" s="332"/>
      <c r="F71" s="332">
        <v>9.1695100846349228E-2</v>
      </c>
      <c r="G71" s="330"/>
      <c r="H71" s="331">
        <f t="shared" si="5"/>
        <v>-10.104600569648028</v>
      </c>
      <c r="I71" s="330"/>
      <c r="J71" s="330"/>
      <c r="K71" s="330"/>
      <c r="L71" s="330"/>
      <c r="M71" s="330"/>
      <c r="N71" s="330"/>
      <c r="O71" s="330"/>
      <c r="P71" s="330"/>
      <c r="Q71" s="329"/>
      <c r="R71" s="331">
        <f t="shared" si="6"/>
        <v>32.143943939329802</v>
      </c>
      <c r="S71" s="331">
        <f t="shared" si="7"/>
        <v>74.814973893398928</v>
      </c>
      <c r="T71" s="331">
        <f t="shared" si="8"/>
        <v>117.91271414700805</v>
      </c>
      <c r="U71" s="331">
        <f t="shared" si="9"/>
        <v>161.44143180315314</v>
      </c>
      <c r="V71" s="330"/>
      <c r="W71" s="330"/>
      <c r="X71" s="330"/>
      <c r="Y71"/>
      <c r="Z71"/>
      <c r="AA71"/>
      <c r="AB71"/>
    </row>
    <row r="72" spans="1:28" x14ac:dyDescent="0.25">
      <c r="A72" s="330"/>
      <c r="B72" s="332">
        <v>1.3803330091475451E-2</v>
      </c>
      <c r="C72" s="332">
        <v>-4.018794187751161</v>
      </c>
      <c r="D72" s="332">
        <v>8.7966596041184051</v>
      </c>
      <c r="E72" s="332"/>
      <c r="F72" s="332">
        <v>1.7604731282250218E-2</v>
      </c>
      <c r="G72" s="330"/>
      <c r="H72" s="331">
        <f t="shared" si="5"/>
        <v>-4775.7498355601856</v>
      </c>
      <c r="I72" s="330"/>
      <c r="J72" s="330"/>
      <c r="K72" s="330"/>
      <c r="L72" s="330"/>
      <c r="M72" s="330"/>
      <c r="N72" s="330"/>
      <c r="O72" s="330"/>
      <c r="P72" s="330"/>
      <c r="Q72" s="329"/>
      <c r="R72" s="331">
        <f t="shared" si="6"/>
        <v>-4716.6604766718074</v>
      </c>
      <c r="S72" s="331">
        <f t="shared" si="7"/>
        <v>-4656.9802241945445</v>
      </c>
      <c r="T72" s="331">
        <f t="shared" si="8"/>
        <v>-4596.7031691925094</v>
      </c>
      <c r="U72" s="331">
        <f t="shared" si="9"/>
        <v>-4535.8233436404544</v>
      </c>
      <c r="V72" s="330"/>
      <c r="W72" s="330"/>
      <c r="X72" s="330"/>
      <c r="Y72" s="333"/>
      <c r="Z72"/>
      <c r="AA72"/>
      <c r="AB72"/>
    </row>
    <row r="73" spans="1:28" x14ac:dyDescent="0.25">
      <c r="A73" s="330"/>
      <c r="B73" s="332"/>
      <c r="C73" s="332">
        <v>-5.6400059609013393</v>
      </c>
      <c r="D73" s="332"/>
      <c r="E73" s="332">
        <v>0.26678534702887058</v>
      </c>
      <c r="F73" s="332">
        <v>7.3443146238247659E-2</v>
      </c>
      <c r="G73" s="330"/>
      <c r="H73" s="331">
        <f t="shared" si="5"/>
        <v>-5297.4453530974288</v>
      </c>
      <c r="I73" s="330"/>
      <c r="J73" s="330"/>
      <c r="K73" s="330"/>
      <c r="L73" s="330"/>
      <c r="M73" s="330"/>
      <c r="N73" s="330"/>
      <c r="O73" s="330"/>
      <c r="P73" s="330"/>
      <c r="Q73" s="329"/>
      <c r="R73" s="331">
        <f t="shared" si="6"/>
        <v>-5249.7503246128317</v>
      </c>
      <c r="S73" s="331">
        <f t="shared" si="7"/>
        <v>-5201.5783458433907</v>
      </c>
      <c r="T73" s="331">
        <f t="shared" si="8"/>
        <v>-5152.9246472862542</v>
      </c>
      <c r="U73" s="331">
        <f t="shared" si="9"/>
        <v>-5103.7844117435452</v>
      </c>
      <c r="V73" s="330"/>
      <c r="W73" s="330"/>
      <c r="X73" s="330"/>
      <c r="Y73" s="333"/>
      <c r="Z73"/>
      <c r="AA73"/>
      <c r="AB73"/>
    </row>
    <row r="74" spans="1:28" x14ac:dyDescent="0.25">
      <c r="A74" s="330"/>
      <c r="B74" s="332">
        <v>1.4076203273198645E-2</v>
      </c>
      <c r="C74" s="332">
        <v>-4.0200583533750045</v>
      </c>
      <c r="D74" s="332">
        <v>7.4639474890127353</v>
      </c>
      <c r="E74" s="332">
        <v>0.16357824890131892</v>
      </c>
      <c r="F74" s="332">
        <v>3.6254629232103264E-2</v>
      </c>
      <c r="G74" s="330"/>
      <c r="H74" s="331">
        <f t="shared" si="5"/>
        <v>-3910.8762629662892</v>
      </c>
      <c r="I74" s="330"/>
      <c r="J74" s="330"/>
      <c r="K74" s="330"/>
      <c r="L74" s="330"/>
      <c r="M74" s="330"/>
      <c r="N74" s="330"/>
      <c r="O74" s="330"/>
      <c r="P74" s="330"/>
      <c r="Q74" s="329"/>
      <c r="R74" s="331">
        <f t="shared" si="6"/>
        <v>-3842.4214343403992</v>
      </c>
      <c r="S74" s="331">
        <f t="shared" si="7"/>
        <v>-3773.2820574282505</v>
      </c>
      <c r="T74" s="331">
        <f t="shared" si="8"/>
        <v>-3703.4512867469798</v>
      </c>
      <c r="U74" s="331">
        <f t="shared" si="9"/>
        <v>-3632.9222083588984</v>
      </c>
      <c r="V74" s="330"/>
      <c r="W74" s="330"/>
      <c r="X74" s="330"/>
      <c r="Y74" s="333"/>
      <c r="Z74"/>
      <c r="AA74"/>
      <c r="AB74"/>
    </row>
    <row r="75" spans="1:28" x14ac:dyDescent="0.25">
      <c r="A75" s="330"/>
      <c r="B75" s="332">
        <v>0.15975466474478789</v>
      </c>
      <c r="C75" s="332">
        <v>-1.407713264450432</v>
      </c>
      <c r="D75" s="332"/>
      <c r="E75" s="332"/>
      <c r="F75" s="332">
        <v>0.47182963550295437</v>
      </c>
      <c r="G75" s="330"/>
      <c r="H75" s="331">
        <f t="shared" si="5"/>
        <v>-21413.522897870433</v>
      </c>
      <c r="I75" s="330"/>
      <c r="J75" s="1"/>
      <c r="K75" s="330"/>
      <c r="L75" s="1"/>
      <c r="M75" s="330"/>
      <c r="N75" s="330"/>
      <c r="O75" s="330"/>
      <c r="P75" s="330"/>
      <c r="Q75" s="329"/>
      <c r="R75" s="331">
        <f t="shared" si="6"/>
        <v>-21196.127255440151</v>
      </c>
      <c r="S75" s="331">
        <f t="shared" si="7"/>
        <v>-20976.557656585563</v>
      </c>
      <c r="T75" s="331">
        <f t="shared" si="8"/>
        <v>-20754.792361742431</v>
      </c>
      <c r="U75" s="331">
        <f t="shared" si="9"/>
        <v>-20530.809413950868</v>
      </c>
      <c r="V75" s="330"/>
      <c r="W75" s="330"/>
      <c r="X75" s="330"/>
      <c r="Y75" s="333"/>
      <c r="Z75"/>
      <c r="AA75"/>
      <c r="AB75"/>
    </row>
    <row r="76" spans="1:28" x14ac:dyDescent="0.25">
      <c r="A76" s="330"/>
      <c r="B76" s="332">
        <v>8.904745820230377E-3</v>
      </c>
      <c r="C76" s="332">
        <v>-6.1188628831581326E-2</v>
      </c>
      <c r="D76" s="332">
        <v>2.1598442707847001</v>
      </c>
      <c r="E76" s="332"/>
      <c r="F76" s="332">
        <v>7.7238344620737379E-2</v>
      </c>
      <c r="G76" s="330"/>
      <c r="H76" s="331">
        <f t="shared" si="5"/>
        <v>2435.9016387930346</v>
      </c>
      <c r="I76" s="330"/>
      <c r="J76" s="1"/>
      <c r="K76" s="330"/>
      <c r="L76" s="1"/>
      <c r="M76" s="330"/>
      <c r="N76" s="330"/>
      <c r="O76" s="330"/>
      <c r="P76" s="330"/>
      <c r="Q76" s="329"/>
      <c r="R76" s="331">
        <f t="shared" si="6"/>
        <v>2484.0058530945853</v>
      </c>
      <c r="S76" s="331">
        <f t="shared" si="7"/>
        <v>2532.5911095391516</v>
      </c>
      <c r="T76" s="331">
        <f t="shared" si="8"/>
        <v>2581.6622185481638</v>
      </c>
      <c r="U76" s="331">
        <f t="shared" si="9"/>
        <v>2631.2240386472658</v>
      </c>
      <c r="V76" s="330"/>
      <c r="W76" s="330"/>
      <c r="X76" s="330"/>
      <c r="Y76"/>
      <c r="Z76"/>
      <c r="AA76"/>
      <c r="AB76"/>
    </row>
    <row r="77" spans="1:28" x14ac:dyDescent="0.25">
      <c r="A77" s="330"/>
      <c r="B77" s="332">
        <v>5.1946606658466302E-2</v>
      </c>
      <c r="C77" s="332">
        <v>-2.7730134484640128</v>
      </c>
      <c r="D77" s="332">
        <v>13.889821010043375</v>
      </c>
      <c r="E77" s="332"/>
      <c r="F77" s="332">
        <v>6.0211881313083332E-2</v>
      </c>
      <c r="G77" s="330"/>
      <c r="H77" s="331">
        <f t="shared" si="5"/>
        <v>-7340.8179844773931</v>
      </c>
      <c r="I77" s="330"/>
      <c r="J77" s="1"/>
      <c r="K77" s="330"/>
      <c r="L77" s="1"/>
      <c r="M77" s="330"/>
      <c r="N77" s="330"/>
      <c r="O77" s="330"/>
      <c r="P77" s="330"/>
      <c r="Q77" s="329"/>
      <c r="R77" s="331">
        <f t="shared" si="6"/>
        <v>-7232.581727550064</v>
      </c>
      <c r="S77" s="331">
        <f t="shared" si="7"/>
        <v>-7123.2631080534611</v>
      </c>
      <c r="T77" s="331">
        <f t="shared" si="8"/>
        <v>-7012.8513023618907</v>
      </c>
      <c r="U77" s="331">
        <f t="shared" si="9"/>
        <v>-6901.3353786134066</v>
      </c>
      <c r="V77" s="330"/>
      <c r="W77" s="330"/>
      <c r="X77" s="330"/>
      <c r="Y77" s="333"/>
      <c r="Z77"/>
      <c r="AA77"/>
      <c r="AB77"/>
    </row>
    <row r="78" spans="1:28" x14ac:dyDescent="0.25">
      <c r="A78" s="330"/>
      <c r="B78" s="332">
        <v>9.2041759705431409E-3</v>
      </c>
      <c r="C78" s="332">
        <v>-3.5866693158214585E-2</v>
      </c>
      <c r="D78" s="332">
        <v>2.0991212951135849</v>
      </c>
      <c r="E78" s="332"/>
      <c r="F78" s="332">
        <v>7.8586859911847176E-2</v>
      </c>
      <c r="G78" s="330"/>
      <c r="H78" s="331">
        <f t="shared" si="5"/>
        <v>2431.8693453181791</v>
      </c>
      <c r="I78" s="330"/>
      <c r="J78" s="1"/>
      <c r="K78" s="330"/>
      <c r="L78" s="1"/>
      <c r="M78" s="330"/>
      <c r="N78" s="330"/>
      <c r="O78" s="330"/>
      <c r="P78" s="330"/>
      <c r="Q78" s="329"/>
      <c r="R78" s="331">
        <f t="shared" si="6"/>
        <v>2480.2429895995419</v>
      </c>
      <c r="S78" s="331">
        <f t="shared" si="7"/>
        <v>2529.1003703237193</v>
      </c>
      <c r="T78" s="331">
        <f t="shared" si="8"/>
        <v>2578.4463248551383</v>
      </c>
      <c r="U78" s="331">
        <f t="shared" si="9"/>
        <v>2628.285738931871</v>
      </c>
      <c r="V78" s="330"/>
      <c r="W78" s="330"/>
      <c r="X78" s="330"/>
      <c r="Y78" s="333"/>
      <c r="Z78"/>
      <c r="AA78"/>
      <c r="AB78"/>
    </row>
    <row r="79" spans="1:28" x14ac:dyDescent="0.25">
      <c r="A79" s="330"/>
      <c r="B79" s="332">
        <v>2.7990003524325627E-2</v>
      </c>
      <c r="C79" s="332">
        <v>-4.6695229345478433</v>
      </c>
      <c r="D79" s="332">
        <v>9.9431488156722931</v>
      </c>
      <c r="E79" s="332"/>
      <c r="F79" s="332">
        <v>4.9668848130851657E-2</v>
      </c>
      <c r="G79" s="330"/>
      <c r="H79" s="331">
        <f t="shared" si="5"/>
        <v>-7404.4717139110062</v>
      </c>
      <c r="I79" s="330"/>
      <c r="J79" s="1"/>
      <c r="K79" s="330"/>
      <c r="L79" s="1"/>
      <c r="M79" s="330"/>
      <c r="N79" s="330"/>
      <c r="O79" s="330"/>
      <c r="P79" s="330"/>
      <c r="Q79" s="329"/>
      <c r="R79" s="331">
        <f t="shared" si="6"/>
        <v>-7323.9647253098246</v>
      </c>
      <c r="S79" s="331">
        <f t="shared" si="7"/>
        <v>-7242.6526668226297</v>
      </c>
      <c r="T79" s="331">
        <f t="shared" si="8"/>
        <v>-7160.5274877505617</v>
      </c>
      <c r="U79" s="331">
        <f t="shared" si="9"/>
        <v>-7077.581056887776</v>
      </c>
      <c r="V79" s="330"/>
      <c r="W79" s="330"/>
      <c r="X79" s="330"/>
      <c r="Y79" s="333"/>
      <c r="Z79"/>
      <c r="AA79"/>
      <c r="AB79"/>
    </row>
    <row r="80" spans="1:28" x14ac:dyDescent="0.25">
      <c r="A80" s="330"/>
      <c r="B80" s="332">
        <v>1.0764880341912156E-2</v>
      </c>
      <c r="C80" s="332">
        <v>-0.36930561097325748</v>
      </c>
      <c r="D80" s="332">
        <v>4.1439967260050956</v>
      </c>
      <c r="E80" s="332"/>
      <c r="F80" s="332">
        <v>6.0211494291092356E-2</v>
      </c>
      <c r="G80" s="330"/>
      <c r="H80" s="331">
        <f t="shared" si="5"/>
        <v>1778.0670360311992</v>
      </c>
      <c r="I80" s="330"/>
      <c r="J80" s="1"/>
      <c r="K80" s="330"/>
      <c r="L80" s="1"/>
      <c r="M80" s="330"/>
      <c r="N80" s="330"/>
      <c r="O80" s="330"/>
      <c r="P80" s="330"/>
      <c r="Q80" s="329"/>
      <c r="R80" s="331">
        <f t="shared" si="6"/>
        <v>1829.8245878532252</v>
      </c>
      <c r="S80" s="331">
        <f t="shared" si="7"/>
        <v>1882.0997151934725</v>
      </c>
      <c r="T80" s="331">
        <f t="shared" si="8"/>
        <v>1934.8975938071221</v>
      </c>
      <c r="U80" s="331">
        <f t="shared" si="9"/>
        <v>1988.2234512069072</v>
      </c>
      <c r="V80" s="330"/>
      <c r="W80" s="330"/>
      <c r="X80" s="330"/>
      <c r="Y80"/>
      <c r="Z80"/>
      <c r="AA80"/>
      <c r="AB80"/>
    </row>
    <row r="81" spans="1:28" x14ac:dyDescent="0.25">
      <c r="A81" s="330"/>
      <c r="B81" s="332">
        <v>1.5136080558343975E-2</v>
      </c>
      <c r="C81" s="332">
        <v>-7.5850524178069617E-2</v>
      </c>
      <c r="D81" s="332">
        <v>2.5292850642613005</v>
      </c>
      <c r="E81" s="332"/>
      <c r="F81" s="332">
        <v>8.9043903994866808E-2</v>
      </c>
      <c r="G81" s="330"/>
      <c r="H81" s="331">
        <f t="shared" si="5"/>
        <v>1582.5627721280098</v>
      </c>
      <c r="I81" s="330"/>
      <c r="J81" s="1"/>
      <c r="K81" s="330"/>
      <c r="L81" s="1"/>
      <c r="M81" s="330"/>
      <c r="N81" s="330"/>
      <c r="O81" s="330"/>
      <c r="P81" s="330"/>
      <c r="Q81" s="329"/>
      <c r="R81" s="331">
        <f t="shared" si="6"/>
        <v>1638.2473666750002</v>
      </c>
      <c r="S81" s="331">
        <f t="shared" si="7"/>
        <v>1694.4888071674613</v>
      </c>
      <c r="T81" s="331">
        <f t="shared" si="8"/>
        <v>1751.2926620648477</v>
      </c>
      <c r="U81" s="331">
        <f t="shared" si="9"/>
        <v>1808.6645555112073</v>
      </c>
      <c r="V81" s="330"/>
      <c r="W81" s="330"/>
      <c r="X81" s="330"/>
      <c r="Y81"/>
      <c r="Z81"/>
      <c r="AA81"/>
      <c r="AB81"/>
    </row>
    <row r="82" spans="1:28" x14ac:dyDescent="0.25">
      <c r="A82" s="330"/>
      <c r="B82" s="332">
        <v>2.6823323909994624E-2</v>
      </c>
      <c r="C82" s="332">
        <v>0.4020917724141056</v>
      </c>
      <c r="D82" s="332">
        <v>3.4562609097099486</v>
      </c>
      <c r="E82" s="332"/>
      <c r="F82" s="332">
        <v>0.10701683577146019</v>
      </c>
      <c r="G82" s="330"/>
      <c r="H82" s="331">
        <f t="shared" si="5"/>
        <v>827.80006560518359</v>
      </c>
      <c r="I82" s="330"/>
      <c r="J82" s="1"/>
      <c r="K82" s="330"/>
      <c r="L82" s="1"/>
      <c r="M82" s="330"/>
      <c r="N82" s="330"/>
      <c r="O82" s="330"/>
      <c r="P82" s="330"/>
      <c r="Q82" s="329"/>
      <c r="R82" s="331">
        <f t="shared" si="6"/>
        <v>897.13765904493221</v>
      </c>
      <c r="S82" s="331">
        <f t="shared" si="7"/>
        <v>967.16862841907732</v>
      </c>
      <c r="T82" s="331">
        <f t="shared" si="8"/>
        <v>1037.8999074869653</v>
      </c>
      <c r="U82" s="331">
        <f t="shared" si="9"/>
        <v>1109.338499345532</v>
      </c>
      <c r="V82" s="330"/>
      <c r="W82" s="330"/>
      <c r="X82" s="330"/>
      <c r="Y82" s="333"/>
      <c r="Z82"/>
      <c r="AA82"/>
      <c r="AB82"/>
    </row>
    <row r="83" spans="1:28" x14ac:dyDescent="0.25">
      <c r="A83" s="330"/>
      <c r="B83" s="332">
        <v>9.2041759705431912E-3</v>
      </c>
      <c r="C83" s="332">
        <v>-3.5866693158209763E-2</v>
      </c>
      <c r="D83" s="332">
        <v>2.0991212951135738</v>
      </c>
      <c r="E83" s="332"/>
      <c r="F83" s="332">
        <v>7.8586859911847357E-2</v>
      </c>
      <c r="G83" s="330"/>
      <c r="H83" s="331">
        <f t="shared" si="5"/>
        <v>2431.8693453181768</v>
      </c>
      <c r="I83" s="330"/>
      <c r="J83" s="1"/>
      <c r="K83" s="330"/>
      <c r="L83" s="1"/>
      <c r="M83" s="330"/>
      <c r="N83" s="330"/>
      <c r="O83" s="330"/>
      <c r="P83" s="330"/>
      <c r="Q83" s="329"/>
      <c r="R83" s="331">
        <f t="shared" si="6"/>
        <v>2480.2429895995397</v>
      </c>
      <c r="S83" s="331">
        <f t="shared" si="7"/>
        <v>2529.1003703237166</v>
      </c>
      <c r="T83" s="331">
        <f t="shared" si="8"/>
        <v>2578.4463248551365</v>
      </c>
      <c r="U83" s="331">
        <f t="shared" si="9"/>
        <v>2628.2857389318688</v>
      </c>
      <c r="V83" s="330"/>
      <c r="W83" s="330"/>
      <c r="X83" s="330"/>
      <c r="Y83" s="333"/>
      <c r="Z83"/>
      <c r="AA83"/>
      <c r="AB83"/>
    </row>
    <row r="84" spans="1:28" x14ac:dyDescent="0.25">
      <c r="A84" s="330"/>
      <c r="B84" s="332">
        <v>9.2041759705432033E-3</v>
      </c>
      <c r="C84" s="332">
        <v>-3.5866693158217687E-2</v>
      </c>
      <c r="D84" s="332">
        <v>2.0991212951136284</v>
      </c>
      <c r="E84" s="332"/>
      <c r="F84" s="332">
        <v>7.8586859911846899E-2</v>
      </c>
      <c r="G84" s="330"/>
      <c r="H84" s="331">
        <f t="shared" si="5"/>
        <v>2431.8693453181695</v>
      </c>
      <c r="I84" s="330"/>
      <c r="J84" s="1"/>
      <c r="K84" s="330"/>
      <c r="L84" s="1"/>
      <c r="M84" s="330"/>
      <c r="N84" s="330"/>
      <c r="O84" s="330"/>
      <c r="P84" s="330"/>
      <c r="Q84" s="329"/>
      <c r="R84" s="331">
        <f t="shared" si="6"/>
        <v>2480.2429895995328</v>
      </c>
      <c r="S84" s="331">
        <f t="shared" si="7"/>
        <v>2529.1003703237102</v>
      </c>
      <c r="T84" s="331">
        <f t="shared" si="8"/>
        <v>2578.4463248551297</v>
      </c>
      <c r="U84" s="331">
        <f t="shared" si="9"/>
        <v>2628.2857389318629</v>
      </c>
      <c r="V84" s="330"/>
      <c r="W84" s="330"/>
      <c r="X84" s="330"/>
      <c r="Y84" s="333"/>
      <c r="Z84"/>
      <c r="AA84"/>
      <c r="AB84"/>
    </row>
    <row r="85" spans="1:28" x14ac:dyDescent="0.25">
      <c r="A85" s="330"/>
      <c r="B85" s="332">
        <v>4.0138127605451816E-2</v>
      </c>
      <c r="C85" s="332">
        <v>-9.4002655494523157</v>
      </c>
      <c r="D85" s="332">
        <v>2.4196479811710905</v>
      </c>
      <c r="E85" s="332">
        <v>1.3170312461208422</v>
      </c>
      <c r="F85" s="332">
        <v>0.14171701167391554</v>
      </c>
      <c r="G85" s="330"/>
      <c r="H85" s="331">
        <f t="shared" si="5"/>
        <v>-12217.427015964779</v>
      </c>
      <c r="I85" s="330"/>
      <c r="J85" s="1"/>
      <c r="K85" s="330"/>
      <c r="L85" s="1"/>
      <c r="M85" s="330"/>
      <c r="N85" s="330"/>
      <c r="O85" s="330"/>
      <c r="P85" s="330"/>
      <c r="Q85" s="329"/>
      <c r="R85" s="331">
        <f t="shared" si="6"/>
        <v>-12069.705752159156</v>
      </c>
      <c r="S85" s="331">
        <f t="shared" si="7"/>
        <v>-11920.50727571547</v>
      </c>
      <c r="T85" s="331">
        <f t="shared" si="8"/>
        <v>-11769.816814507351</v>
      </c>
      <c r="U85" s="331">
        <f t="shared" si="9"/>
        <v>-11617.619448687152</v>
      </c>
      <c r="V85" s="330"/>
      <c r="W85" s="330"/>
      <c r="X85" s="330"/>
      <c r="Y85" s="333"/>
      <c r="Z85"/>
      <c r="AA85"/>
      <c r="AB85"/>
    </row>
    <row r="86" spans="1:28" x14ac:dyDescent="0.25">
      <c r="A86" s="330"/>
      <c r="B86" s="332">
        <v>6.2317790712014716E-3</v>
      </c>
      <c r="C86" s="332">
        <v>-3.3341531401202755</v>
      </c>
      <c r="D86" s="332">
        <v>5.5528028214219596</v>
      </c>
      <c r="E86" s="332">
        <v>8.3857565928716335E-2</v>
      </c>
      <c r="F86" s="332">
        <v>3.7424893027776802E-2</v>
      </c>
      <c r="G86" s="330"/>
      <c r="H86" s="331">
        <f t="shared" si="5"/>
        <v>-2158.6907944401955</v>
      </c>
      <c r="I86" s="330"/>
      <c r="J86" s="1"/>
      <c r="K86" s="330"/>
      <c r="L86" s="1"/>
      <c r="M86" s="330"/>
      <c r="N86" s="330"/>
      <c r="O86" s="330"/>
      <c r="P86" s="330"/>
      <c r="Q86" s="329"/>
      <c r="R86" s="331">
        <f t="shared" si="6"/>
        <v>-2104.9126061385532</v>
      </c>
      <c r="S86" s="331">
        <f t="shared" si="7"/>
        <v>-2050.5966359538961</v>
      </c>
      <c r="T86" s="331">
        <f t="shared" si="8"/>
        <v>-1995.7375060673899</v>
      </c>
      <c r="U86" s="331">
        <f t="shared" si="9"/>
        <v>-1940.32978488202</v>
      </c>
      <c r="V86" s="330"/>
      <c r="W86" s="330"/>
      <c r="X86" s="330"/>
      <c r="Y86"/>
      <c r="Z86"/>
      <c r="AA86"/>
      <c r="AB86"/>
    </row>
    <row r="87" spans="1:28" x14ac:dyDescent="0.25">
      <c r="A87" s="330"/>
      <c r="B87" s="332">
        <v>9.2041759705433351E-3</v>
      </c>
      <c r="C87" s="332">
        <v>-3.5866693158208847E-2</v>
      </c>
      <c r="D87" s="332">
        <v>2.0991212951135902</v>
      </c>
      <c r="E87" s="332"/>
      <c r="F87" s="332">
        <v>7.8586859911847565E-2</v>
      </c>
      <c r="G87" s="330"/>
      <c r="H87" s="331">
        <f t="shared" si="5"/>
        <v>2431.8693453181604</v>
      </c>
      <c r="I87" s="330"/>
      <c r="J87" s="1"/>
      <c r="K87" s="330"/>
      <c r="L87" s="1"/>
      <c r="M87" s="330"/>
      <c r="N87" s="330"/>
      <c r="O87" s="330"/>
      <c r="P87" s="330"/>
      <c r="Q87" s="329"/>
      <c r="R87" s="331">
        <f t="shared" si="6"/>
        <v>2480.2429895995238</v>
      </c>
      <c r="S87" s="331">
        <f t="shared" si="7"/>
        <v>2529.1003703237016</v>
      </c>
      <c r="T87" s="331">
        <f t="shared" si="8"/>
        <v>2578.4463248551206</v>
      </c>
      <c r="U87" s="331">
        <f t="shared" si="9"/>
        <v>2628.2857389318538</v>
      </c>
      <c r="V87" s="330"/>
      <c r="W87" s="330"/>
      <c r="X87" s="330"/>
      <c r="Y87" s="333"/>
      <c r="Z87"/>
      <c r="AA87"/>
      <c r="AB87"/>
    </row>
    <row r="88" spans="1:28" x14ac:dyDescent="0.25">
      <c r="A88" s="330"/>
      <c r="B88" s="332">
        <v>5.9646224722750135E-3</v>
      </c>
      <c r="C88" s="332">
        <v>-0.33642629582724187</v>
      </c>
      <c r="D88" s="332">
        <v>2.3917338645290496</v>
      </c>
      <c r="E88" s="332"/>
      <c r="F88" s="332">
        <v>6.7909647598194997E-2</v>
      </c>
      <c r="G88" s="330"/>
      <c r="H88" s="331">
        <f t="shared" si="5"/>
        <v>2397.1346843767215</v>
      </c>
      <c r="I88" s="330"/>
      <c r="J88" s="1"/>
      <c r="K88" s="330"/>
      <c r="L88" s="1"/>
      <c r="M88" s="330"/>
      <c r="N88" s="330"/>
      <c r="O88" s="330"/>
      <c r="P88" s="330"/>
      <c r="Q88" s="329"/>
      <c r="R88" s="331">
        <f t="shared" si="6"/>
        <v>2442.2845340921294</v>
      </c>
      <c r="S88" s="331">
        <f t="shared" si="7"/>
        <v>2487.8858823046921</v>
      </c>
      <c r="T88" s="331">
        <f t="shared" si="8"/>
        <v>2533.9432439993802</v>
      </c>
      <c r="U88" s="331">
        <f t="shared" si="9"/>
        <v>2580.4611793110153</v>
      </c>
      <c r="V88" s="330"/>
      <c r="W88" s="330"/>
      <c r="X88" s="330"/>
      <c r="Y88" s="333"/>
      <c r="Z88"/>
      <c r="AA88"/>
      <c r="AB88"/>
    </row>
    <row r="89" spans="1:28" x14ac:dyDescent="0.25">
      <c r="A89" s="330"/>
      <c r="B89" s="332">
        <v>4.6434333210506719E-3</v>
      </c>
      <c r="C89" s="332">
        <v>-0.95818591264058151</v>
      </c>
      <c r="D89" s="332">
        <v>4.2001434810068892</v>
      </c>
      <c r="E89" s="332"/>
      <c r="F89" s="332">
        <v>4.5372260532480509E-2</v>
      </c>
      <c r="G89" s="330"/>
      <c r="H89" s="331">
        <f t="shared" si="5"/>
        <v>1633.0357141940499</v>
      </c>
      <c r="I89" s="330"/>
      <c r="J89" s="1"/>
      <c r="K89" s="330"/>
      <c r="L89" s="1"/>
      <c r="M89" s="330"/>
      <c r="N89" s="330"/>
      <c r="O89" s="330"/>
      <c r="P89" s="330"/>
      <c r="Q89" s="329"/>
      <c r="R89" s="331">
        <f t="shared" si="6"/>
        <v>1678.2814636688654</v>
      </c>
      <c r="S89" s="331">
        <f t="shared" si="7"/>
        <v>1723.9796706384304</v>
      </c>
      <c r="T89" s="331">
        <f t="shared" si="8"/>
        <v>1770.1348596776907</v>
      </c>
      <c r="U89" s="331">
        <f t="shared" si="9"/>
        <v>1816.7516006073429</v>
      </c>
      <c r="V89" s="330"/>
      <c r="W89" s="330"/>
      <c r="X89" s="330"/>
      <c r="Y89" s="333"/>
      <c r="Z89"/>
      <c r="AA89"/>
      <c r="AB89"/>
    </row>
    <row r="90" spans="1:28" x14ac:dyDescent="0.25">
      <c r="A90" s="330"/>
      <c r="B90" s="332">
        <v>2.101006970044094E-3</v>
      </c>
      <c r="C90" s="332">
        <v>-7.7612682936100583</v>
      </c>
      <c r="D90" s="332">
        <v>6.5965227067101102</v>
      </c>
      <c r="E90" s="332"/>
      <c r="F90" s="332">
        <v>1.9032134334278868E-2</v>
      </c>
      <c r="G90" s="330"/>
      <c r="H90" s="331">
        <f t="shared" si="5"/>
        <v>-9688.0176616767931</v>
      </c>
      <c r="I90" s="330"/>
      <c r="J90" s="1"/>
      <c r="K90" s="330"/>
      <c r="L90" s="1"/>
      <c r="M90" s="330"/>
      <c r="N90" s="330"/>
      <c r="O90" s="330"/>
      <c r="P90" s="330"/>
      <c r="Q90" s="329"/>
      <c r="R90" s="331">
        <f t="shared" si="6"/>
        <v>-9641.0207527326838</v>
      </c>
      <c r="S90" s="331">
        <f t="shared" si="7"/>
        <v>-9593.5538746991333</v>
      </c>
      <c r="T90" s="331">
        <f t="shared" si="8"/>
        <v>-9545.6123278852447</v>
      </c>
      <c r="U90" s="331">
        <f t="shared" si="9"/>
        <v>-9497.1913656032211</v>
      </c>
      <c r="V90" s="330"/>
      <c r="W90" s="330"/>
      <c r="X90" s="330"/>
      <c r="Y90" s="333"/>
      <c r="Z90"/>
      <c r="AA90"/>
      <c r="AB90"/>
    </row>
    <row r="91" spans="1:28" x14ac:dyDescent="0.25">
      <c r="A91" s="330"/>
      <c r="B91" s="332">
        <v>5.2301060686501082E-3</v>
      </c>
      <c r="C91" s="332">
        <v>-1.6947271272965219</v>
      </c>
      <c r="D91" s="332">
        <v>3.2205705472132586</v>
      </c>
      <c r="E91" s="332">
        <v>5.9216343101587E-2</v>
      </c>
      <c r="F91" s="332">
        <v>5.9172118437176534E-2</v>
      </c>
      <c r="G91" s="330"/>
      <c r="H91" s="331">
        <f t="shared" si="5"/>
        <v>544.82919716085507</v>
      </c>
      <c r="I91" s="330"/>
      <c r="J91" s="1"/>
      <c r="K91" s="330"/>
      <c r="L91" s="1"/>
      <c r="M91" s="330"/>
      <c r="N91" s="330"/>
      <c r="O91" s="330"/>
      <c r="P91" s="330"/>
      <c r="Q91" s="329"/>
      <c r="R91" s="331">
        <f t="shared" si="6"/>
        <v>593.83199139043245</v>
      </c>
      <c r="S91" s="331">
        <f t="shared" si="7"/>
        <v>643.32481356230664</v>
      </c>
      <c r="T91" s="331">
        <f t="shared" si="8"/>
        <v>693.31256395589844</v>
      </c>
      <c r="U91" s="331">
        <f t="shared" si="9"/>
        <v>743.8001918534269</v>
      </c>
      <c r="V91" s="330"/>
      <c r="W91" s="330"/>
      <c r="X91" s="330"/>
      <c r="Y91" s="333"/>
      <c r="Z91"/>
      <c r="AA91"/>
      <c r="AB91"/>
    </row>
    <row r="92" spans="1:28" x14ac:dyDescent="0.25">
      <c r="A92" s="330"/>
      <c r="B92" s="332">
        <v>4.6434333210507595E-3</v>
      </c>
      <c r="C92" s="332">
        <v>-0.95818591264059083</v>
      </c>
      <c r="D92" s="332">
        <v>4.2001434810068963</v>
      </c>
      <c r="E92" s="332"/>
      <c r="F92" s="332">
        <v>4.537226053248071E-2</v>
      </c>
      <c r="G92" s="330"/>
      <c r="H92" s="331">
        <f t="shared" si="5"/>
        <v>1633.0357141940244</v>
      </c>
      <c r="I92" s="330"/>
      <c r="J92" s="1"/>
      <c r="K92" s="330"/>
      <c r="L92" s="1"/>
      <c r="M92" s="330"/>
      <c r="N92" s="330"/>
      <c r="O92" s="330"/>
      <c r="P92" s="330"/>
      <c r="Q92" s="329"/>
      <c r="R92" s="331">
        <f t="shared" si="6"/>
        <v>1678.2814636688408</v>
      </c>
      <c r="S92" s="331">
        <f t="shared" si="7"/>
        <v>1723.9796706384054</v>
      </c>
      <c r="T92" s="331">
        <f t="shared" si="8"/>
        <v>1770.1348596776661</v>
      </c>
      <c r="U92" s="331">
        <f t="shared" si="9"/>
        <v>1816.7516006073183</v>
      </c>
      <c r="V92" s="330"/>
      <c r="W92" s="330"/>
      <c r="X92" s="330"/>
      <c r="Y92" s="333"/>
      <c r="Z92"/>
      <c r="AA92"/>
      <c r="AB92"/>
    </row>
    <row r="93" spans="1:28" x14ac:dyDescent="0.25">
      <c r="A93" s="330"/>
      <c r="B93" s="332">
        <v>9.2041759705431669E-3</v>
      </c>
      <c r="C93" s="332">
        <v>-3.5866693158207827E-2</v>
      </c>
      <c r="D93" s="332">
        <v>2.0991212951135374</v>
      </c>
      <c r="E93" s="332"/>
      <c r="F93" s="332">
        <v>7.8586859911847648E-2</v>
      </c>
      <c r="G93" s="330"/>
      <c r="H93" s="331">
        <f t="shared" si="5"/>
        <v>2431.8693453181781</v>
      </c>
      <c r="I93" s="330"/>
      <c r="J93" s="1"/>
      <c r="K93" s="330"/>
      <c r="L93" s="1"/>
      <c r="M93" s="330"/>
      <c r="N93" s="330"/>
      <c r="O93" s="330"/>
      <c r="P93" s="330"/>
      <c r="Q93" s="329"/>
      <c r="R93" s="331">
        <f t="shared" si="6"/>
        <v>2480.2429895995419</v>
      </c>
      <c r="S93" s="331">
        <f t="shared" si="7"/>
        <v>2529.1003703237184</v>
      </c>
      <c r="T93" s="331">
        <f t="shared" si="8"/>
        <v>2578.4463248551374</v>
      </c>
      <c r="U93" s="331">
        <f t="shared" si="9"/>
        <v>2628.2857389318706</v>
      </c>
      <c r="V93" s="330"/>
      <c r="W93" s="330"/>
      <c r="X93" s="330"/>
      <c r="Y93" s="333"/>
      <c r="Z93"/>
      <c r="AA93"/>
      <c r="AB93"/>
    </row>
    <row r="94" spans="1:28" x14ac:dyDescent="0.25">
      <c r="A94" s="330"/>
      <c r="B94" s="332">
        <v>2.6822907026157063E-2</v>
      </c>
      <c r="C94" s="332">
        <v>0.40208769637817743</v>
      </c>
      <c r="D94" s="332">
        <v>3.4561919029317032</v>
      </c>
      <c r="E94" s="332"/>
      <c r="F94" s="332">
        <v>0.1070165860518702</v>
      </c>
      <c r="G94" s="330"/>
      <c r="H94" s="331">
        <f t="shared" si="5"/>
        <v>827.84734614667377</v>
      </c>
      <c r="I94" s="330"/>
      <c r="J94" s="1"/>
      <c r="K94" s="330"/>
      <c r="L94" s="1"/>
      <c r="M94" s="330"/>
      <c r="N94" s="330"/>
      <c r="O94" s="330"/>
      <c r="P94" s="330"/>
      <c r="Q94" s="329"/>
      <c r="R94" s="331">
        <f t="shared" si="6"/>
        <v>897.18442462332405</v>
      </c>
      <c r="S94" s="331">
        <f t="shared" si="7"/>
        <v>967.21487388474088</v>
      </c>
      <c r="T94" s="331">
        <f t="shared" si="8"/>
        <v>1037.9456276387709</v>
      </c>
      <c r="U94" s="331">
        <f t="shared" si="9"/>
        <v>1109.383688930342</v>
      </c>
      <c r="V94" s="330"/>
      <c r="W94" s="330"/>
      <c r="X94" s="330"/>
      <c r="Y94" s="333"/>
      <c r="Z94"/>
      <c r="AA94"/>
      <c r="AB94"/>
    </row>
    <row r="95" spans="1:28" x14ac:dyDescent="0.25">
      <c r="A95" s="330"/>
      <c r="B95" s="332">
        <v>4.6837487762088365E-3</v>
      </c>
      <c r="C95" s="332">
        <v>-0.95824732152796976</v>
      </c>
      <c r="D95" s="332">
        <v>4.2046960293445537</v>
      </c>
      <c r="E95" s="332"/>
      <c r="F95" s="332">
        <v>4.5445210000275092E-2</v>
      </c>
      <c r="G95" s="330"/>
      <c r="H95" s="331">
        <f t="shared" si="5"/>
        <v>1628.6695628980988</v>
      </c>
      <c r="I95" s="330"/>
      <c r="J95" s="1"/>
      <c r="K95" s="330"/>
      <c r="L95" s="1"/>
      <c r="M95" s="330"/>
      <c r="N95" s="330"/>
      <c r="O95" s="330"/>
      <c r="P95" s="330"/>
      <c r="Q95" s="329"/>
      <c r="R95" s="331">
        <f t="shared" si="6"/>
        <v>1673.9753065681757</v>
      </c>
      <c r="S95" s="331">
        <f t="shared" si="7"/>
        <v>1719.7341076749535</v>
      </c>
      <c r="T95" s="331">
        <f t="shared" si="8"/>
        <v>1765.9504967927996</v>
      </c>
      <c r="U95" s="331">
        <f t="shared" si="9"/>
        <v>1812.6290498018234</v>
      </c>
      <c r="V95" s="330"/>
      <c r="W95" s="330"/>
      <c r="X95" s="330"/>
      <c r="Y95" s="333"/>
      <c r="Z95"/>
      <c r="AA95"/>
      <c r="AB95"/>
    </row>
    <row r="96" spans="1:28" x14ac:dyDescent="0.25">
      <c r="A96" s="330"/>
      <c r="B96" s="332">
        <v>7.0445763996645388E-4</v>
      </c>
      <c r="C96" s="332">
        <v>-3.2660982619909622</v>
      </c>
      <c r="D96" s="332">
        <v>4.6058499682517411</v>
      </c>
      <c r="E96" s="332"/>
      <c r="F96" s="332">
        <v>3.3656416541686426E-2</v>
      </c>
      <c r="G96" s="330"/>
      <c r="H96" s="331">
        <f t="shared" si="5"/>
        <v>-1789.0464010097296</v>
      </c>
      <c r="I96" s="330"/>
      <c r="J96" s="1"/>
      <c r="K96" s="330"/>
      <c r="L96" s="1"/>
      <c r="M96" s="330"/>
      <c r="N96" s="330"/>
      <c r="O96" s="330"/>
      <c r="P96" s="330"/>
      <c r="Q96" s="329"/>
      <c r="R96" s="331">
        <f t="shared" si="6"/>
        <v>-1746.8475995786941</v>
      </c>
      <c r="S96" s="331">
        <f t="shared" si="7"/>
        <v>-1704.2268101333477</v>
      </c>
      <c r="T96" s="331">
        <f t="shared" si="8"/>
        <v>-1661.1798127935479</v>
      </c>
      <c r="U96" s="331">
        <f t="shared" si="9"/>
        <v>-1617.7023454803509</v>
      </c>
      <c r="V96" s="330"/>
      <c r="W96" s="330"/>
      <c r="X96" s="330"/>
      <c r="Y96" s="333"/>
      <c r="Z96"/>
      <c r="AA96"/>
      <c r="AB96"/>
    </row>
    <row r="97" spans="1:28" x14ac:dyDescent="0.25">
      <c r="A97" s="330"/>
      <c r="B97" s="332">
        <v>9.204175970543212E-3</v>
      </c>
      <c r="C97" s="332">
        <v>-3.5866693158207903E-2</v>
      </c>
      <c r="D97" s="332">
        <v>2.0991212951135414</v>
      </c>
      <c r="E97" s="332"/>
      <c r="F97" s="332">
        <v>7.8586859911847801E-2</v>
      </c>
      <c r="G97" s="330"/>
      <c r="H97" s="331">
        <f t="shared" si="5"/>
        <v>2431.8693453181768</v>
      </c>
      <c r="I97" s="330"/>
      <c r="J97" s="1"/>
      <c r="K97" s="330"/>
      <c r="L97" s="1"/>
      <c r="M97" s="330"/>
      <c r="N97" s="330"/>
      <c r="O97" s="330"/>
      <c r="P97" s="330"/>
      <c r="Q97" s="329"/>
      <c r="R97" s="331">
        <f t="shared" si="6"/>
        <v>2480.2429895995392</v>
      </c>
      <c r="S97" s="331">
        <f t="shared" si="7"/>
        <v>2529.1003703237166</v>
      </c>
      <c r="T97" s="331">
        <f t="shared" si="8"/>
        <v>2578.446324855136</v>
      </c>
      <c r="U97" s="331">
        <f t="shared" si="9"/>
        <v>2628.2857389318688</v>
      </c>
      <c r="V97" s="330"/>
      <c r="W97" s="330"/>
      <c r="X97" s="330"/>
      <c r="Y97" s="333"/>
      <c r="Z97"/>
      <c r="AA97"/>
      <c r="AB97"/>
    </row>
    <row r="98" spans="1:28" x14ac:dyDescent="0.25">
      <c r="A98" s="330"/>
      <c r="B98" s="332">
        <v>4.8150448053739338E-2</v>
      </c>
      <c r="C98" s="332">
        <v>4.8265229407683918E-3</v>
      </c>
      <c r="D98" s="332"/>
      <c r="E98" s="332">
        <v>0.88619808772394715</v>
      </c>
      <c r="F98" s="332">
        <v>0.1764289055949769</v>
      </c>
      <c r="G98" s="330"/>
      <c r="H98" s="331">
        <f t="shared" si="5"/>
        <v>491.1178198679163</v>
      </c>
      <c r="I98" s="330"/>
      <c r="J98" s="1"/>
      <c r="K98" s="330"/>
      <c r="L98" s="1"/>
      <c r="M98" s="330"/>
      <c r="N98" s="330"/>
      <c r="O98" s="330"/>
      <c r="P98" s="330"/>
      <c r="Q98" s="329"/>
      <c r="R98" s="331">
        <f t="shared" si="6"/>
        <v>618.43411530184949</v>
      </c>
      <c r="S98" s="331">
        <f t="shared" si="7"/>
        <v>747.02357369012225</v>
      </c>
      <c r="T98" s="331">
        <f t="shared" si="8"/>
        <v>876.89892666227843</v>
      </c>
      <c r="U98" s="331">
        <f t="shared" si="9"/>
        <v>1008.0730331641562</v>
      </c>
      <c r="V98" s="330"/>
      <c r="W98" s="330"/>
      <c r="X98" s="330"/>
      <c r="Y98" s="333"/>
      <c r="Z98"/>
      <c r="AA98"/>
      <c r="AB98"/>
    </row>
    <row r="99" spans="1:28" x14ac:dyDescent="0.25">
      <c r="A99" s="330"/>
      <c r="B99" s="332">
        <v>2.1246740526291653E-2</v>
      </c>
      <c r="C99" s="332">
        <v>-0.37491360316250189</v>
      </c>
      <c r="D99" s="332">
        <v>1.6793183551865958</v>
      </c>
      <c r="E99" s="332">
        <v>8.105982986913271E-3</v>
      </c>
      <c r="F99" s="332">
        <v>0.11464928951974701</v>
      </c>
      <c r="G99" s="330"/>
      <c r="H99" s="331">
        <f t="shared" si="5"/>
        <v>223.5523779858886</v>
      </c>
      <c r="I99" s="330"/>
      <c r="J99" s="1"/>
      <c r="K99" s="330"/>
      <c r="L99" s="1"/>
      <c r="M99" s="330"/>
      <c r="N99" s="330"/>
      <c r="O99" s="330"/>
      <c r="P99" s="330"/>
      <c r="Q99" s="329"/>
      <c r="R99" s="331">
        <f t="shared" si="6"/>
        <v>286.52997753269301</v>
      </c>
      <c r="S99" s="331">
        <f t="shared" si="7"/>
        <v>350.137353074967</v>
      </c>
      <c r="T99" s="331">
        <f t="shared" si="8"/>
        <v>414.3808023726624</v>
      </c>
      <c r="U99" s="331">
        <f t="shared" si="9"/>
        <v>479.26668616333427</v>
      </c>
      <c r="V99" s="330"/>
      <c r="W99" s="330"/>
      <c r="X99" s="330"/>
      <c r="Y99" s="333"/>
      <c r="Z99"/>
      <c r="AA99"/>
      <c r="AB99"/>
    </row>
    <row r="100" spans="1:28" x14ac:dyDescent="0.25">
      <c r="A100" s="330"/>
      <c r="B100" s="332">
        <v>9.2041759705432033E-3</v>
      </c>
      <c r="C100" s="332">
        <v>-3.5866693158212754E-2</v>
      </c>
      <c r="D100" s="332">
        <v>2.0991212951135871</v>
      </c>
      <c r="E100" s="332"/>
      <c r="F100" s="332">
        <v>7.8586859911847273E-2</v>
      </c>
      <c r="G100" s="330"/>
      <c r="H100" s="331">
        <f t="shared" si="5"/>
        <v>2431.8693453181722</v>
      </c>
      <c r="I100" s="330"/>
      <c r="J100" s="1"/>
      <c r="K100" s="330"/>
      <c r="L100" s="1"/>
      <c r="M100" s="330"/>
      <c r="N100" s="330"/>
      <c r="O100" s="330"/>
      <c r="P100" s="330"/>
      <c r="Q100" s="329"/>
      <c r="R100" s="331">
        <f t="shared" si="6"/>
        <v>2480.2429895995356</v>
      </c>
      <c r="S100" s="331">
        <f t="shared" si="7"/>
        <v>2529.1003703237129</v>
      </c>
      <c r="T100" s="331">
        <f t="shared" si="8"/>
        <v>2578.4463248551319</v>
      </c>
      <c r="U100" s="331">
        <f t="shared" si="9"/>
        <v>2628.2857389318647</v>
      </c>
      <c r="V100" s="330"/>
      <c r="W100" s="330"/>
      <c r="X100" s="330"/>
      <c r="Y100" s="333"/>
      <c r="Z100"/>
      <c r="AA100"/>
      <c r="AB100"/>
    </row>
    <row r="101" spans="1:28" x14ac:dyDescent="0.25">
      <c r="A101" s="330"/>
      <c r="B101" s="332">
        <v>1.8976151878285857E-2</v>
      </c>
      <c r="C101" s="332">
        <v>-2.2538270033804704</v>
      </c>
      <c r="D101" s="332">
        <v>1.5712710347176202</v>
      </c>
      <c r="E101" s="332">
        <v>0.22747091522975088</v>
      </c>
      <c r="F101" s="332">
        <v>0.10935623006698898</v>
      </c>
      <c r="G101" s="330"/>
      <c r="H101" s="331">
        <f t="shared" si="5"/>
        <v>-1719.7060379761824</v>
      </c>
      <c r="I101" s="330"/>
      <c r="J101" s="1"/>
      <c r="K101" s="330"/>
      <c r="L101" s="1"/>
      <c r="M101" s="330"/>
      <c r="N101" s="330"/>
      <c r="O101" s="330"/>
      <c r="P101" s="330"/>
      <c r="Q101" s="329"/>
      <c r="R101" s="331">
        <f t="shared" si="6"/>
        <v>-1648.4001727055884</v>
      </c>
      <c r="S101" s="331">
        <f t="shared" si="7"/>
        <v>-1576.3812487822861</v>
      </c>
      <c r="T101" s="331">
        <f t="shared" si="8"/>
        <v>-1503.6421356197525</v>
      </c>
      <c r="U101" s="331">
        <f t="shared" si="9"/>
        <v>-1430.1756313255928</v>
      </c>
      <c r="V101" s="330"/>
      <c r="W101" s="330"/>
      <c r="X101" s="330"/>
      <c r="Y101" s="333"/>
      <c r="Z101"/>
      <c r="AA101"/>
      <c r="AB101"/>
    </row>
    <row r="102" spans="1:28" x14ac:dyDescent="0.25">
      <c r="A102" s="330"/>
      <c r="B102" s="332">
        <v>3.0430251531256645E-2</v>
      </c>
      <c r="C102" s="332">
        <v>0.44589993641590964</v>
      </c>
      <c r="D102" s="332"/>
      <c r="E102" s="332"/>
      <c r="F102" s="332">
        <v>0.15144556983491919</v>
      </c>
      <c r="G102" s="330"/>
      <c r="H102" s="331">
        <f t="shared" si="5"/>
        <v>32.517388184089214</v>
      </c>
      <c r="I102" s="330"/>
      <c r="J102" s="1"/>
      <c r="K102" s="330"/>
      <c r="L102" s="1"/>
      <c r="M102" s="330"/>
      <c r="N102" s="330"/>
      <c r="O102" s="330"/>
      <c r="P102" s="330"/>
      <c r="Q102" s="329"/>
      <c r="R102" s="331">
        <f t="shared" si="6"/>
        <v>102.2959787391037</v>
      </c>
      <c r="S102" s="331">
        <f t="shared" si="7"/>
        <v>172.77235519966871</v>
      </c>
      <c r="T102" s="331">
        <f t="shared" si="8"/>
        <v>243.95349542483928</v>
      </c>
      <c r="U102" s="331">
        <f t="shared" si="9"/>
        <v>315.84644705226128</v>
      </c>
      <c r="V102" s="330"/>
      <c r="W102" s="330"/>
      <c r="X102" s="330"/>
      <c r="Y102" s="333"/>
      <c r="Z102"/>
      <c r="AA102"/>
      <c r="AB102"/>
    </row>
    <row r="103" spans="1:28" x14ac:dyDescent="0.25">
      <c r="A103" s="330"/>
      <c r="B103" s="332">
        <v>4.2390990463033011E-3</v>
      </c>
      <c r="C103" s="332">
        <v>-0.80462908387231014</v>
      </c>
      <c r="D103" s="332">
        <v>2.8942883325191673</v>
      </c>
      <c r="E103" s="332"/>
      <c r="F103" s="332">
        <v>5.9266587224826153E-2</v>
      </c>
      <c r="G103" s="330"/>
      <c r="H103" s="331">
        <f t="shared" si="5"/>
        <v>1893.4004713270942</v>
      </c>
      <c r="I103" s="330"/>
      <c r="J103" s="1"/>
      <c r="K103" s="330"/>
      <c r="L103" s="1"/>
      <c r="M103" s="330"/>
      <c r="N103" s="330"/>
      <c r="O103" s="330"/>
      <c r="P103" s="330"/>
      <c r="Q103" s="329"/>
      <c r="R103" s="331">
        <f t="shared" si="6"/>
        <v>1937.4804076549838</v>
      </c>
      <c r="S103" s="331">
        <f t="shared" si="7"/>
        <v>1982.0011433461527</v>
      </c>
      <c r="T103" s="331">
        <f t="shared" si="8"/>
        <v>2026.9670863942331</v>
      </c>
      <c r="U103" s="331">
        <f t="shared" si="9"/>
        <v>2072.382688872794</v>
      </c>
      <c r="V103" s="330"/>
      <c r="W103" s="330"/>
      <c r="X103" s="330"/>
      <c r="Y103" s="333"/>
      <c r="Z103"/>
      <c r="AA103"/>
      <c r="AB103"/>
    </row>
    <row r="104" spans="1:28" x14ac:dyDescent="0.25">
      <c r="A104" s="330"/>
      <c r="B104" s="332">
        <v>4.2390990463032846E-3</v>
      </c>
      <c r="C104" s="332">
        <v>-0.80462908387233512</v>
      </c>
      <c r="D104" s="332">
        <v>2.8942883325191957</v>
      </c>
      <c r="E104" s="332"/>
      <c r="F104" s="332">
        <v>5.9266587224825869E-2</v>
      </c>
      <c r="G104" s="330"/>
      <c r="H104" s="331">
        <f t="shared" si="5"/>
        <v>1893.4004713270574</v>
      </c>
      <c r="I104" s="330"/>
      <c r="J104" s="1"/>
      <c r="K104" s="330"/>
      <c r="L104" s="1"/>
      <c r="M104" s="330"/>
      <c r="N104" s="330"/>
      <c r="O104" s="330"/>
      <c r="P104" s="330"/>
      <c r="Q104" s="329"/>
      <c r="R104" s="331">
        <f t="shared" si="6"/>
        <v>1937.4804076549472</v>
      </c>
      <c r="S104" s="331">
        <f t="shared" si="7"/>
        <v>1982.0011433461159</v>
      </c>
      <c r="T104" s="331">
        <f t="shared" si="8"/>
        <v>2026.9670863941969</v>
      </c>
      <c r="U104" s="331">
        <f t="shared" si="9"/>
        <v>2072.3826888727576</v>
      </c>
      <c r="V104" s="330"/>
      <c r="W104" s="330"/>
      <c r="X104" s="330"/>
      <c r="Y104" s="333"/>
      <c r="Z104"/>
      <c r="AA104"/>
      <c r="AB104"/>
    </row>
    <row r="105" spans="1:28" x14ac:dyDescent="0.25">
      <c r="A105" s="330"/>
      <c r="B105" s="332">
        <v>5.964622472275017E-3</v>
      </c>
      <c r="C105" s="332">
        <v>-0.33642629582723649</v>
      </c>
      <c r="D105" s="332">
        <v>2.391733864529026</v>
      </c>
      <c r="E105" s="332"/>
      <c r="F105" s="332">
        <v>6.7909647598195247E-2</v>
      </c>
      <c r="G105" s="330"/>
      <c r="H105" s="331">
        <f t="shared" si="5"/>
        <v>2397.1346843767287</v>
      </c>
      <c r="I105" s="330"/>
      <c r="J105" s="1"/>
      <c r="K105" s="330"/>
      <c r="L105" s="1"/>
      <c r="M105" s="330"/>
      <c r="N105" s="330"/>
      <c r="O105" s="330"/>
      <c r="P105" s="330"/>
      <c r="Q105" s="329"/>
      <c r="R105" s="331">
        <f t="shared" si="6"/>
        <v>2442.2845340921367</v>
      </c>
      <c r="S105" s="331">
        <f t="shared" si="7"/>
        <v>2487.885882304699</v>
      </c>
      <c r="T105" s="331">
        <f t="shared" si="8"/>
        <v>2533.9432439993871</v>
      </c>
      <c r="U105" s="331">
        <f t="shared" si="9"/>
        <v>2580.4611793110216</v>
      </c>
      <c r="V105" s="330"/>
      <c r="W105" s="330"/>
      <c r="X105" s="330"/>
      <c r="Y105" s="333"/>
      <c r="Z105"/>
      <c r="AA105"/>
      <c r="AB105"/>
    </row>
    <row r="106" spans="1:28" x14ac:dyDescent="0.25">
      <c r="A106" s="330"/>
      <c r="B106" s="332">
        <v>1.6016565786471637E-3</v>
      </c>
      <c r="C106" s="332">
        <v>-0.81732971048310543</v>
      </c>
      <c r="D106" s="332">
        <v>2.2989783160906301</v>
      </c>
      <c r="E106" s="332"/>
      <c r="F106" s="332">
        <v>5.7140939584322217E-2</v>
      </c>
      <c r="G106" s="330"/>
      <c r="H106" s="331">
        <f t="shared" si="5"/>
        <v>2098.7467919796291</v>
      </c>
      <c r="I106" s="330"/>
      <c r="J106" s="1"/>
      <c r="K106" s="330"/>
      <c r="L106" s="1"/>
      <c r="M106" s="330"/>
      <c r="N106" s="330"/>
      <c r="O106" s="330"/>
      <c r="P106" s="330"/>
      <c r="Q106" s="329"/>
      <c r="R106" s="331">
        <f t="shared" si="6"/>
        <v>2138.3974238889223</v>
      </c>
      <c r="S106" s="331">
        <f t="shared" si="7"/>
        <v>2178.444562117309</v>
      </c>
      <c r="T106" s="331">
        <f t="shared" si="8"/>
        <v>2218.89217172798</v>
      </c>
      <c r="U106" s="331">
        <f t="shared" si="9"/>
        <v>2259.7442574347569</v>
      </c>
      <c r="V106" s="330"/>
      <c r="W106" s="330"/>
      <c r="X106" s="330"/>
      <c r="Y106" s="333"/>
      <c r="Z106"/>
      <c r="AA106"/>
      <c r="AB106"/>
    </row>
    <row r="107" spans="1:28" x14ac:dyDescent="0.25">
      <c r="A107" s="330"/>
      <c r="B107" s="332">
        <v>5.0398293803915525E-3</v>
      </c>
      <c r="C107" s="332">
        <v>-2.4732615590194253</v>
      </c>
      <c r="D107" s="332">
        <v>2.7873715583876981</v>
      </c>
      <c r="E107" s="332">
        <v>0.18218667785322473</v>
      </c>
      <c r="F107" s="332">
        <v>6.1337681965631427E-2</v>
      </c>
      <c r="G107" s="330"/>
      <c r="H107" s="331">
        <f t="shared" si="5"/>
        <v>-308.97969420196932</v>
      </c>
      <c r="I107" s="330"/>
      <c r="J107" s="1"/>
      <c r="K107" s="330"/>
      <c r="L107" s="1"/>
      <c r="M107" s="330"/>
      <c r="N107" s="330"/>
      <c r="O107" s="330"/>
      <c r="P107" s="330"/>
      <c r="Q107" s="329"/>
      <c r="R107" s="331">
        <f t="shared" si="6"/>
        <v>-255.10283779034626</v>
      </c>
      <c r="S107" s="331">
        <f t="shared" si="7"/>
        <v>-200.68721281460603</v>
      </c>
      <c r="T107" s="331">
        <f t="shared" si="8"/>
        <v>-145.72743158910816</v>
      </c>
      <c r="U107" s="331">
        <f t="shared" si="9"/>
        <v>-90.218052551356323</v>
      </c>
      <c r="V107" s="330"/>
      <c r="W107" s="330"/>
      <c r="X107" s="330"/>
      <c r="Y107" s="333"/>
      <c r="Z107"/>
      <c r="AA107"/>
      <c r="AB107"/>
    </row>
    <row r="108" spans="1:28" x14ac:dyDescent="0.25">
      <c r="A108" s="330"/>
      <c r="B108" s="332">
        <v>4.3199796380566862E-4</v>
      </c>
      <c r="C108" s="332">
        <v>-0.15193897697663558</v>
      </c>
      <c r="D108" s="332">
        <v>0.46596823687464617</v>
      </c>
      <c r="E108" s="332">
        <v>1.795333052363633E-3</v>
      </c>
      <c r="F108" s="332">
        <v>6.9399947406499685E-2</v>
      </c>
      <c r="G108" s="330"/>
      <c r="H108" s="331">
        <f t="shared" si="5"/>
        <v>3095.8689213089638</v>
      </c>
      <c r="I108" s="330"/>
      <c r="J108" s="1"/>
      <c r="K108" s="330"/>
      <c r="L108" s="1"/>
      <c r="M108" s="330"/>
      <c r="N108" s="330"/>
      <c r="O108" s="330"/>
      <c r="P108" s="330"/>
      <c r="Q108" s="329"/>
      <c r="R108" s="331">
        <f t="shared" si="6"/>
        <v>3130.6385683419048</v>
      </c>
      <c r="S108" s="331">
        <f t="shared" si="7"/>
        <v>3165.755911845175</v>
      </c>
      <c r="T108" s="331">
        <f t="shared" si="8"/>
        <v>3201.2244287834787</v>
      </c>
      <c r="U108" s="331">
        <f t="shared" si="9"/>
        <v>3237.0476308911648</v>
      </c>
      <c r="V108" s="330"/>
      <c r="W108" s="330"/>
      <c r="X108" s="330"/>
      <c r="Y108" s="333"/>
      <c r="Z108"/>
      <c r="AA108"/>
      <c r="AB108"/>
    </row>
    <row r="109" spans="1:28" x14ac:dyDescent="0.25">
      <c r="A109" s="330"/>
      <c r="B109" s="332">
        <v>7.4088996871138154E-5</v>
      </c>
      <c r="C109" s="332">
        <v>-4.4565748988053655E-2</v>
      </c>
      <c r="D109" s="332">
        <v>2.4219879421342572E-2</v>
      </c>
      <c r="E109" s="332">
        <v>3.8135532969254121E-3</v>
      </c>
      <c r="F109" s="332">
        <v>7.2172576374191333E-2</v>
      </c>
      <c r="G109" s="330"/>
      <c r="H109" s="331">
        <f t="shared" si="5"/>
        <v>3260.8019564968204</v>
      </c>
      <c r="I109" s="330"/>
      <c r="J109" s="1"/>
      <c r="K109" s="330"/>
      <c r="L109" s="1"/>
      <c r="M109" s="330"/>
      <c r="N109" s="330"/>
      <c r="O109" s="330"/>
      <c r="P109" s="330"/>
      <c r="Q109" s="329"/>
      <c r="R109" s="331">
        <f t="shared" si="6"/>
        <v>3294.3939152045491</v>
      </c>
      <c r="S109" s="331">
        <f t="shared" si="7"/>
        <v>3328.3217934993559</v>
      </c>
      <c r="T109" s="331">
        <f t="shared" si="8"/>
        <v>3362.5889505771102</v>
      </c>
      <c r="U109" s="331">
        <f t="shared" si="9"/>
        <v>3397.1987792256418</v>
      </c>
      <c r="V109" s="330"/>
      <c r="W109" s="330"/>
      <c r="X109" s="330"/>
      <c r="Y109" s="333"/>
      <c r="Z109"/>
      <c r="AA109"/>
      <c r="AB109"/>
    </row>
    <row r="110" spans="1:28" x14ac:dyDescent="0.25">
      <c r="A110" s="330"/>
      <c r="B110" s="332">
        <v>3.8468912536700483E-4</v>
      </c>
      <c r="C110" s="332">
        <v>-3.6201484010712472E-2</v>
      </c>
      <c r="D110" s="332">
        <v>0.10436253638961983</v>
      </c>
      <c r="E110" s="332"/>
      <c r="F110" s="332">
        <v>7.2388561775289947E-2</v>
      </c>
      <c r="G110" s="330"/>
      <c r="H110" s="331">
        <f t="shared" si="5"/>
        <v>3233.3059490406522</v>
      </c>
      <c r="I110" s="330"/>
      <c r="J110" s="1"/>
      <c r="K110" s="330"/>
      <c r="L110" s="1"/>
      <c r="M110" s="330"/>
      <c r="N110" s="330"/>
      <c r="O110" s="330"/>
      <c r="P110" s="330"/>
      <c r="Q110" s="329"/>
      <c r="R110" s="331">
        <f t="shared" si="6"/>
        <v>3267.2637967250694</v>
      </c>
      <c r="S110" s="331">
        <f t="shared" si="7"/>
        <v>3301.5612228863311</v>
      </c>
      <c r="T110" s="331">
        <f t="shared" si="8"/>
        <v>3336.2016233092058</v>
      </c>
      <c r="U110" s="331">
        <f t="shared" si="9"/>
        <v>3371.1884277363088</v>
      </c>
      <c r="V110" s="330"/>
      <c r="W110" s="330"/>
      <c r="X110" s="330"/>
      <c r="Y110" s="333"/>
      <c r="Z110"/>
      <c r="AA110"/>
      <c r="AB110"/>
    </row>
    <row r="111" spans="1:28" x14ac:dyDescent="0.25">
      <c r="A111" s="330"/>
      <c r="B111" s="332">
        <v>6.1429827861741882E-3</v>
      </c>
      <c r="C111" s="332">
        <v>-0.33972166250856056</v>
      </c>
      <c r="D111" s="332">
        <v>2.3299906284919225</v>
      </c>
      <c r="E111" s="332"/>
      <c r="F111" s="332">
        <v>6.9095217341967843E-2</v>
      </c>
      <c r="G111" s="330"/>
      <c r="H111" s="331">
        <f t="shared" si="5"/>
        <v>2364.7231685219667</v>
      </c>
      <c r="I111" s="330"/>
      <c r="J111" s="1"/>
      <c r="K111" s="330"/>
      <c r="L111" s="1"/>
      <c r="M111" s="330"/>
      <c r="N111" s="330"/>
      <c r="O111" s="330"/>
      <c r="P111" s="330"/>
      <c r="Q111" s="329"/>
      <c r="R111" s="331">
        <f t="shared" si="6"/>
        <v>2410.0614584453979</v>
      </c>
      <c r="S111" s="331">
        <f t="shared" si="7"/>
        <v>2455.8531312680634</v>
      </c>
      <c r="T111" s="331">
        <f t="shared" si="8"/>
        <v>2502.1027208189553</v>
      </c>
      <c r="U111" s="331">
        <f t="shared" si="9"/>
        <v>2548.8148062653563</v>
      </c>
      <c r="V111" s="330"/>
      <c r="W111" s="330"/>
      <c r="X111" s="330"/>
      <c r="Y111" s="333"/>
      <c r="Z111"/>
      <c r="AA111"/>
      <c r="AB111"/>
    </row>
    <row r="112" spans="1:28" x14ac:dyDescent="0.25">
      <c r="A112" s="330"/>
      <c r="B112" s="332">
        <v>9.2041759705429587E-3</v>
      </c>
      <c r="C112" s="332">
        <v>-3.5866693158219679E-2</v>
      </c>
      <c r="D112" s="332">
        <v>2.099121295113584</v>
      </c>
      <c r="E112" s="332"/>
      <c r="F112" s="332">
        <v>7.8586859911846663E-2</v>
      </c>
      <c r="G112" s="330"/>
      <c r="H112" s="331">
        <f t="shared" si="5"/>
        <v>2431.8693453181913</v>
      </c>
      <c r="I112" s="330"/>
      <c r="J112" s="1"/>
      <c r="K112" s="330"/>
      <c r="L112" s="1"/>
      <c r="M112" s="330"/>
      <c r="N112" s="330"/>
      <c r="O112" s="330"/>
      <c r="P112" s="330"/>
      <c r="Q112" s="329"/>
      <c r="R112" s="331">
        <f t="shared" si="6"/>
        <v>2480.2429895995547</v>
      </c>
      <c r="S112" s="331">
        <f t="shared" si="7"/>
        <v>2529.1003703237316</v>
      </c>
      <c r="T112" s="331">
        <f t="shared" si="8"/>
        <v>2578.4463248551501</v>
      </c>
      <c r="U112" s="331">
        <f t="shared" si="9"/>
        <v>2628.2857389318833</v>
      </c>
      <c r="V112" s="330"/>
      <c r="W112" s="330"/>
      <c r="X112" s="330"/>
      <c r="Y112"/>
      <c r="Z112"/>
      <c r="AA112"/>
      <c r="AB112"/>
    </row>
    <row r="113" spans="1:28" x14ac:dyDescent="0.25">
      <c r="A113" s="330"/>
      <c r="B113" s="332">
        <v>2.6822907026156903E-2</v>
      </c>
      <c r="C113" s="332">
        <v>0.40208769637817648</v>
      </c>
      <c r="D113" s="332">
        <v>3.4561919029316388</v>
      </c>
      <c r="E113" s="332"/>
      <c r="F113" s="332">
        <v>0.10701658605187046</v>
      </c>
      <c r="G113" s="330"/>
      <c r="H113" s="331">
        <f t="shared" si="5"/>
        <v>827.84734614668923</v>
      </c>
      <c r="I113" s="330"/>
      <c r="J113" s="1"/>
      <c r="K113" s="330"/>
      <c r="L113" s="1"/>
      <c r="M113" s="330"/>
      <c r="N113" s="330"/>
      <c r="O113" s="330"/>
      <c r="P113" s="330"/>
      <c r="Q113" s="329"/>
      <c r="R113" s="331">
        <f t="shared" si="6"/>
        <v>897.1844246233386</v>
      </c>
      <c r="S113" s="331">
        <f t="shared" si="7"/>
        <v>967.21487388475452</v>
      </c>
      <c r="T113" s="331">
        <f t="shared" si="8"/>
        <v>1037.9456276387855</v>
      </c>
      <c r="U113" s="331">
        <f t="shared" si="9"/>
        <v>1109.3836889303561</v>
      </c>
      <c r="V113" s="330"/>
      <c r="W113" s="330"/>
      <c r="X113" s="330"/>
      <c r="Y113"/>
      <c r="Z113"/>
      <c r="AA113"/>
      <c r="AB113"/>
    </row>
    <row r="114" spans="1:28" x14ac:dyDescent="0.25">
      <c r="A114" s="330"/>
      <c r="B114" s="332">
        <v>2.6822907026157073E-2</v>
      </c>
      <c r="C114" s="332">
        <v>0.40208769637817826</v>
      </c>
      <c r="D114" s="332">
        <v>3.4561919029316575</v>
      </c>
      <c r="E114" s="332"/>
      <c r="F114" s="332">
        <v>0.10701658605187066</v>
      </c>
      <c r="G114" s="330"/>
      <c r="H114" s="331">
        <f t="shared" si="5"/>
        <v>827.84734614666831</v>
      </c>
      <c r="I114" s="330"/>
      <c r="J114" s="1"/>
      <c r="K114" s="330"/>
      <c r="L114" s="1"/>
      <c r="M114" s="330"/>
      <c r="N114" s="330"/>
      <c r="O114" s="330"/>
      <c r="P114" s="330"/>
      <c r="Q114" s="329"/>
      <c r="R114" s="331">
        <f t="shared" si="6"/>
        <v>897.18442462331768</v>
      </c>
      <c r="S114" s="331">
        <f t="shared" si="7"/>
        <v>967.21487388473361</v>
      </c>
      <c r="T114" s="331">
        <f t="shared" si="8"/>
        <v>1037.9456276387646</v>
      </c>
      <c r="U114" s="331">
        <f t="shared" si="9"/>
        <v>1109.3836889303352</v>
      </c>
      <c r="V114" s="330"/>
      <c r="W114" s="330"/>
      <c r="X114" s="330"/>
      <c r="Y114" s="333"/>
      <c r="Z114"/>
      <c r="AA114"/>
      <c r="AB114"/>
    </row>
    <row r="115" spans="1:28" x14ac:dyDescent="0.25">
      <c r="A115" s="330"/>
      <c r="B115" s="332">
        <v>9.2041759705430576E-3</v>
      </c>
      <c r="C115" s="332">
        <v>-3.5866693158217472E-2</v>
      </c>
      <c r="D115" s="332">
        <v>2.0991212951135889</v>
      </c>
      <c r="E115" s="332"/>
      <c r="F115" s="332">
        <v>7.8586859911846871E-2</v>
      </c>
      <c r="G115" s="330"/>
      <c r="H115" s="331">
        <f t="shared" si="5"/>
        <v>2431.8693453181832</v>
      </c>
      <c r="I115" s="330"/>
      <c r="J115" s="1"/>
      <c r="K115" s="330"/>
      <c r="L115" s="1"/>
      <c r="M115" s="330"/>
      <c r="N115" s="330"/>
      <c r="O115" s="330"/>
      <c r="P115" s="330"/>
      <c r="Q115" s="329"/>
      <c r="R115" s="331">
        <f t="shared" si="6"/>
        <v>2480.2429895995456</v>
      </c>
      <c r="S115" s="331">
        <f t="shared" si="7"/>
        <v>2529.1003703237229</v>
      </c>
      <c r="T115" s="331">
        <f t="shared" si="8"/>
        <v>2578.4463248551419</v>
      </c>
      <c r="U115" s="331">
        <f t="shared" si="9"/>
        <v>2628.2857389318751</v>
      </c>
      <c r="V115" s="330"/>
      <c r="W115" s="330"/>
      <c r="X115" s="330"/>
      <c r="Y115" s="333"/>
      <c r="Z115"/>
      <c r="AA115"/>
      <c r="AB115"/>
    </row>
    <row r="116" spans="1:28" x14ac:dyDescent="0.25">
      <c r="A116" s="330"/>
      <c r="B116" s="332">
        <v>9.204175970543212E-3</v>
      </c>
      <c r="C116" s="332">
        <v>-3.5866693158210929E-2</v>
      </c>
      <c r="D116" s="332">
        <v>2.0991212951135712</v>
      </c>
      <c r="E116" s="332"/>
      <c r="F116" s="332">
        <v>7.858685991184744E-2</v>
      </c>
      <c r="G116" s="330"/>
      <c r="H116" s="331">
        <f t="shared" si="5"/>
        <v>2431.8693453181713</v>
      </c>
      <c r="I116" s="330"/>
      <c r="J116" s="1"/>
      <c r="K116" s="330"/>
      <c r="L116" s="1"/>
      <c r="M116" s="330"/>
      <c r="N116" s="330"/>
      <c r="O116" s="330"/>
      <c r="P116" s="330"/>
      <c r="Q116" s="329"/>
      <c r="R116" s="331">
        <f t="shared" si="6"/>
        <v>2480.2429895995347</v>
      </c>
      <c r="S116" s="331">
        <f t="shared" si="7"/>
        <v>2529.100370323712</v>
      </c>
      <c r="T116" s="331">
        <f t="shared" si="8"/>
        <v>2578.446324855131</v>
      </c>
      <c r="U116" s="331">
        <f t="shared" si="9"/>
        <v>2628.2857389318642</v>
      </c>
      <c r="V116" s="330"/>
      <c r="W116" s="330"/>
      <c r="X116" s="330"/>
      <c r="Y116" s="333"/>
      <c r="Z116"/>
      <c r="AA116"/>
      <c r="AB116"/>
    </row>
    <row r="117" spans="1:28" x14ac:dyDescent="0.25">
      <c r="A117" s="330"/>
      <c r="B117" s="332">
        <v>6.030569883296177E-3</v>
      </c>
      <c r="C117" s="332">
        <v>-0.90730202605085286</v>
      </c>
      <c r="D117" s="332">
        <v>4.4657316721604197</v>
      </c>
      <c r="E117" s="332">
        <v>2.5247587048893003E-2</v>
      </c>
      <c r="F117" s="332">
        <v>4.5072899980364033E-2</v>
      </c>
      <c r="G117" s="330"/>
      <c r="H117" s="331">
        <f t="shared" si="5"/>
        <v>1642.2299101062674</v>
      </c>
      <c r="I117" s="330"/>
      <c r="J117" s="1"/>
      <c r="K117" s="330"/>
      <c r="L117" s="1"/>
      <c r="M117" s="330"/>
      <c r="N117" s="330"/>
      <c r="O117" s="330"/>
      <c r="P117" s="330"/>
      <c r="Q117" s="329"/>
      <c r="R117" s="331">
        <f t="shared" si="6"/>
        <v>1690.1881412445005</v>
      </c>
      <c r="S117" s="331">
        <f t="shared" si="7"/>
        <v>1738.6259546941164</v>
      </c>
      <c r="T117" s="331">
        <f t="shared" si="8"/>
        <v>1787.5481462782286</v>
      </c>
      <c r="U117" s="331">
        <f t="shared" si="9"/>
        <v>1836.9595597781813</v>
      </c>
      <c r="V117" s="330"/>
      <c r="W117" s="330"/>
      <c r="X117" s="330"/>
      <c r="Y117" s="333"/>
      <c r="Z117"/>
      <c r="AA117"/>
      <c r="AB117"/>
    </row>
    <row r="118" spans="1:28" x14ac:dyDescent="0.25">
      <c r="A118" s="330"/>
      <c r="B118" s="332">
        <v>2.8705744616409944E-4</v>
      </c>
      <c r="C118" s="332">
        <v>-3.1878766135009132E-2</v>
      </c>
      <c r="D118" s="332"/>
      <c r="E118" s="332">
        <v>3.7141400038897101E-3</v>
      </c>
      <c r="F118" s="332">
        <v>7.2976856869542764E-2</v>
      </c>
      <c r="G118" s="330"/>
      <c r="H118" s="331">
        <f t="shared" si="5"/>
        <v>3251.7746793725237</v>
      </c>
      <c r="I118" s="330"/>
      <c r="J118" s="1"/>
      <c r="K118" s="330"/>
      <c r="L118" s="1"/>
      <c r="M118" s="330"/>
      <c r="N118" s="330"/>
      <c r="O118" s="330"/>
      <c r="P118" s="330"/>
      <c r="Q118" s="329"/>
      <c r="R118" s="331">
        <f t="shared" si="6"/>
        <v>3285.5916894408579</v>
      </c>
      <c r="S118" s="331">
        <f t="shared" si="7"/>
        <v>3319.7468696098749</v>
      </c>
      <c r="T118" s="331">
        <f t="shared" si="8"/>
        <v>3354.2436015805829</v>
      </c>
      <c r="U118" s="331">
        <f t="shared" si="9"/>
        <v>3389.0853008709973</v>
      </c>
      <c r="V118" s="330"/>
      <c r="W118" s="330"/>
      <c r="X118" s="330"/>
      <c r="Y118" s="333"/>
      <c r="Z118"/>
      <c r="AA118"/>
      <c r="AB118"/>
    </row>
    <row r="119" spans="1:28" x14ac:dyDescent="0.25">
      <c r="A119" s="330"/>
      <c r="B119" s="332">
        <v>4.3159470664025416E-2</v>
      </c>
      <c r="C119" s="332">
        <v>-15.593656759726136</v>
      </c>
      <c r="D119" s="332"/>
      <c r="E119" s="332">
        <v>1.668844292976341</v>
      </c>
      <c r="F119" s="332">
        <v>0.17744640863703565</v>
      </c>
      <c r="G119" s="330"/>
      <c r="H119" s="331">
        <f t="shared" si="5"/>
        <v>-21969.502416629552</v>
      </c>
      <c r="I119" s="330"/>
      <c r="J119" s="1"/>
      <c r="K119" s="330"/>
      <c r="L119" s="1"/>
      <c r="M119" s="330"/>
      <c r="N119" s="330"/>
      <c r="O119" s="330"/>
      <c r="P119" s="330"/>
      <c r="Q119" s="329"/>
      <c r="R119" s="331">
        <f t="shared" si="6"/>
        <v>-21801.068873039818</v>
      </c>
      <c r="S119" s="331">
        <f t="shared" si="7"/>
        <v>-21630.950994014187</v>
      </c>
      <c r="T119" s="331">
        <f t="shared" si="8"/>
        <v>-21459.131936198297</v>
      </c>
      <c r="U119" s="331">
        <f t="shared" si="9"/>
        <v>-21285.594687804252</v>
      </c>
      <c r="V119" s="330"/>
      <c r="W119" s="330"/>
      <c r="X119" s="330"/>
      <c r="Y119" s="333"/>
      <c r="Z119"/>
      <c r="AA119"/>
      <c r="AB119"/>
    </row>
    <row r="120" spans="1:28" x14ac:dyDescent="0.25">
      <c r="A120" s="330"/>
      <c r="B120" s="332"/>
      <c r="C120" s="332">
        <v>-4.3419362030645912E-2</v>
      </c>
      <c r="D120" s="332"/>
      <c r="E120" s="332">
        <v>5.4312995530207383E-3</v>
      </c>
      <c r="F120" s="332">
        <v>7.2118006894394363E-2</v>
      </c>
      <c r="G120" s="330"/>
      <c r="H120" s="331">
        <f t="shared" si="5"/>
        <v>3273.5479096628928</v>
      </c>
      <c r="I120" s="330"/>
      <c r="J120" s="1"/>
      <c r="K120" s="330"/>
      <c r="L120" s="1"/>
      <c r="M120" s="330"/>
      <c r="N120" s="330"/>
      <c r="O120" s="330"/>
      <c r="P120" s="330"/>
      <c r="Q120" s="329"/>
      <c r="R120" s="331">
        <f t="shared" si="6"/>
        <v>3307.0583887711123</v>
      </c>
      <c r="S120" s="331">
        <f t="shared" si="7"/>
        <v>3340.9039726704145</v>
      </c>
      <c r="T120" s="331">
        <f t="shared" si="8"/>
        <v>3375.0880124087098</v>
      </c>
      <c r="U120" s="331">
        <f t="shared" si="9"/>
        <v>3409.6138925443879</v>
      </c>
      <c r="V120" s="330"/>
      <c r="W120" s="330"/>
      <c r="X120" s="330"/>
      <c r="Y120" s="333"/>
      <c r="Z120"/>
      <c r="AA120"/>
      <c r="AB120"/>
    </row>
    <row r="121" spans="1:28" x14ac:dyDescent="0.25">
      <c r="A121" s="330"/>
      <c r="B121" s="332">
        <v>9.2041759705429518E-3</v>
      </c>
      <c r="C121" s="332">
        <v>-3.5866693158222593E-2</v>
      </c>
      <c r="D121" s="332">
        <v>2.0991212951135907</v>
      </c>
      <c r="E121" s="332"/>
      <c r="F121" s="332">
        <v>7.8586859911846579E-2</v>
      </c>
      <c r="G121" s="330"/>
      <c r="H121" s="331">
        <f t="shared" si="5"/>
        <v>2431.8693453181886</v>
      </c>
      <c r="I121" s="330"/>
      <c r="J121" s="1"/>
      <c r="K121" s="330"/>
      <c r="L121" s="1"/>
      <c r="M121" s="330"/>
      <c r="N121" s="330"/>
      <c r="O121" s="330"/>
      <c r="P121" s="330"/>
      <c r="Q121" s="329"/>
      <c r="R121" s="331">
        <f t="shared" si="6"/>
        <v>2480.2429895995515</v>
      </c>
      <c r="S121" s="331">
        <f t="shared" si="7"/>
        <v>2529.1003703237284</v>
      </c>
      <c r="T121" s="331">
        <f t="shared" si="8"/>
        <v>2578.4463248551474</v>
      </c>
      <c r="U121" s="331">
        <f t="shared" si="9"/>
        <v>2628.2857389318801</v>
      </c>
      <c r="V121" s="330"/>
      <c r="W121" s="330"/>
      <c r="X121" s="330"/>
      <c r="Y121" s="333"/>
      <c r="Z121"/>
      <c r="AA121"/>
      <c r="AB121"/>
    </row>
    <row r="122" spans="1:28" x14ac:dyDescent="0.25">
      <c r="A122" s="330"/>
      <c r="B122" s="332">
        <v>9.2041759705431409E-3</v>
      </c>
      <c r="C122" s="332">
        <v>-3.5866693158210901E-2</v>
      </c>
      <c r="D122" s="332">
        <v>2.0991212951135569</v>
      </c>
      <c r="E122" s="332"/>
      <c r="F122" s="332">
        <v>7.8586859911847426E-2</v>
      </c>
      <c r="G122" s="330"/>
      <c r="H122" s="331">
        <f t="shared" si="5"/>
        <v>2431.8693453181809</v>
      </c>
      <c r="I122" s="330"/>
      <c r="J122" s="1"/>
      <c r="K122" s="330"/>
      <c r="L122" s="1"/>
      <c r="M122" s="330"/>
      <c r="N122" s="330"/>
      <c r="O122" s="330"/>
      <c r="P122" s="330"/>
      <c r="Q122" s="329"/>
      <c r="R122" s="331">
        <f t="shared" si="6"/>
        <v>2480.2429895995438</v>
      </c>
      <c r="S122" s="331">
        <f t="shared" si="7"/>
        <v>2529.1003703237211</v>
      </c>
      <c r="T122" s="331">
        <f t="shared" si="8"/>
        <v>2578.4463248551401</v>
      </c>
      <c r="U122" s="331">
        <f t="shared" si="9"/>
        <v>2628.2857389318729</v>
      </c>
      <c r="V122" s="330"/>
      <c r="W122" s="330"/>
      <c r="X122" s="330"/>
      <c r="Y122" s="333"/>
      <c r="Z122"/>
      <c r="AA122"/>
      <c r="AB122"/>
    </row>
    <row r="123" spans="1:28" x14ac:dyDescent="0.25">
      <c r="A123" s="330"/>
      <c r="B123" s="332">
        <v>2.6822907026157045E-2</v>
      </c>
      <c r="C123" s="332">
        <v>0.40208769637817815</v>
      </c>
      <c r="D123" s="332">
        <v>3.4561919029316504</v>
      </c>
      <c r="E123" s="332"/>
      <c r="F123" s="332">
        <v>0.10701658605187064</v>
      </c>
      <c r="G123" s="330"/>
      <c r="H123" s="331">
        <f t="shared" si="5"/>
        <v>827.84734614667013</v>
      </c>
      <c r="I123" s="330"/>
      <c r="J123" s="1"/>
      <c r="K123" s="330"/>
      <c r="L123" s="1"/>
      <c r="M123" s="330"/>
      <c r="N123" s="330"/>
      <c r="O123" s="330"/>
      <c r="P123" s="330"/>
      <c r="Q123" s="329"/>
      <c r="R123" s="331">
        <f t="shared" si="6"/>
        <v>897.1844246233195</v>
      </c>
      <c r="S123" s="331">
        <f t="shared" si="7"/>
        <v>967.21487388473633</v>
      </c>
      <c r="T123" s="331">
        <f t="shared" si="8"/>
        <v>1037.9456276387668</v>
      </c>
      <c r="U123" s="331">
        <f t="shared" si="9"/>
        <v>1109.3836889303375</v>
      </c>
      <c r="V123" s="330"/>
      <c r="W123" s="330"/>
      <c r="X123" s="330"/>
      <c r="Y123" s="333"/>
      <c r="Z123"/>
      <c r="AA123"/>
      <c r="AB123"/>
    </row>
    <row r="124" spans="1:28" x14ac:dyDescent="0.25">
      <c r="A124" s="330"/>
      <c r="B124" s="332"/>
      <c r="C124" s="332">
        <v>-3.300110886369536E-2</v>
      </c>
      <c r="D124" s="332"/>
      <c r="E124" s="332">
        <v>2.3265918419959703E-4</v>
      </c>
      <c r="F124" s="332">
        <v>7.2225100225304567E-2</v>
      </c>
      <c r="G124" s="330"/>
      <c r="H124" s="331">
        <f t="shared" ref="H124:H187" si="10">SUMPRODUCT(B124:F124,B$56:F$56)</f>
        <v>3270.0776959676473</v>
      </c>
      <c r="I124" s="330"/>
      <c r="J124" s="1"/>
      <c r="K124" s="330"/>
      <c r="L124" s="1"/>
      <c r="M124" s="330"/>
      <c r="N124" s="330"/>
      <c r="O124" s="330"/>
      <c r="P124" s="330"/>
      <c r="Q124" s="329"/>
      <c r="R124" s="331">
        <f t="shared" ref="R124:R187" si="11">SUMPRODUCT($B124:$F124,$K$59:$O$59)</f>
        <v>3303.3675156620793</v>
      </c>
      <c r="S124" s="331">
        <f t="shared" ref="S124:S187" si="12">SUMPRODUCT($B124:$F124,$K$60:$O$60)</f>
        <v>3336.9902335534557</v>
      </c>
      <c r="T124" s="331">
        <f t="shared" ref="T124:T187" si="13">SUMPRODUCT($B124:$F124,$K$61:$O$61)</f>
        <v>3370.9491786237463</v>
      </c>
      <c r="U124" s="331">
        <f t="shared" ref="U124:U187" si="14">SUMPRODUCT($B124:$F124,$K$62:$O$62)</f>
        <v>3405.2477131447395</v>
      </c>
      <c r="V124" s="330"/>
      <c r="W124" s="330"/>
      <c r="X124" s="330"/>
      <c r="Y124" s="333"/>
      <c r="Z124"/>
      <c r="AA124"/>
      <c r="AB124"/>
    </row>
    <row r="125" spans="1:28" x14ac:dyDescent="0.25">
      <c r="A125" s="330"/>
      <c r="B125" s="332">
        <v>2.6822907026156938E-2</v>
      </c>
      <c r="C125" s="332">
        <v>0.4020876963781766</v>
      </c>
      <c r="D125" s="332">
        <v>3.4561919029316353</v>
      </c>
      <c r="E125" s="332"/>
      <c r="F125" s="332">
        <v>0.1070165860518706</v>
      </c>
      <c r="G125" s="330"/>
      <c r="H125" s="331">
        <f t="shared" si="10"/>
        <v>827.84734614668469</v>
      </c>
      <c r="I125" s="330"/>
      <c r="J125" s="1"/>
      <c r="K125" s="330"/>
      <c r="L125" s="1"/>
      <c r="M125" s="330"/>
      <c r="N125" s="330"/>
      <c r="O125" s="330"/>
      <c r="P125" s="330"/>
      <c r="Q125" s="329"/>
      <c r="R125" s="331">
        <f t="shared" si="11"/>
        <v>897.1844246233336</v>
      </c>
      <c r="S125" s="331">
        <f t="shared" si="12"/>
        <v>967.21487388475043</v>
      </c>
      <c r="T125" s="331">
        <f t="shared" si="13"/>
        <v>1037.9456276387805</v>
      </c>
      <c r="U125" s="331">
        <f t="shared" si="14"/>
        <v>1109.3836889303511</v>
      </c>
      <c r="V125" s="330"/>
      <c r="W125" s="330"/>
      <c r="X125" s="330"/>
      <c r="Y125" s="333"/>
      <c r="Z125"/>
      <c r="AA125"/>
      <c r="AB125"/>
    </row>
    <row r="126" spans="1:28" x14ac:dyDescent="0.25">
      <c r="A126" s="330"/>
      <c r="B126" s="332">
        <v>1.5539511437699795E-2</v>
      </c>
      <c r="C126" s="332">
        <v>-1.2401075465684561</v>
      </c>
      <c r="D126" s="332">
        <v>4.3039940215595935</v>
      </c>
      <c r="E126" s="332">
        <v>0.41574327278503309</v>
      </c>
      <c r="F126" s="332">
        <v>6.2669433501875885E-2</v>
      </c>
      <c r="G126" s="330"/>
      <c r="H126" s="331">
        <f t="shared" si="10"/>
        <v>1374.3488776874069</v>
      </c>
      <c r="I126" s="330"/>
      <c r="J126" s="1"/>
      <c r="K126" s="330"/>
      <c r="L126" s="1"/>
      <c r="M126" s="330"/>
      <c r="N126" s="330"/>
      <c r="O126" s="330"/>
      <c r="P126" s="330"/>
      <c r="Q126" s="329"/>
      <c r="R126" s="331">
        <f t="shared" si="11"/>
        <v>1449.7586655925038</v>
      </c>
      <c r="S126" s="331">
        <f t="shared" si="12"/>
        <v>1525.9225513766528</v>
      </c>
      <c r="T126" s="331">
        <f t="shared" si="13"/>
        <v>1602.8480760186421</v>
      </c>
      <c r="U126" s="331">
        <f t="shared" si="14"/>
        <v>1680.5428559070515</v>
      </c>
      <c r="V126" s="330"/>
      <c r="W126" s="330"/>
      <c r="X126" s="330"/>
      <c r="Y126" s="333"/>
      <c r="Z126"/>
      <c r="AA126"/>
      <c r="AB126"/>
    </row>
    <row r="127" spans="1:28" x14ac:dyDescent="0.25">
      <c r="A127" s="330"/>
      <c r="B127" s="332"/>
      <c r="C127" s="332">
        <v>-0.71740968632971602</v>
      </c>
      <c r="D127" s="332">
        <v>3.3777615682984474</v>
      </c>
      <c r="E127" s="332"/>
      <c r="F127" s="332">
        <v>3.8148686951337621E-2</v>
      </c>
      <c r="G127" s="330"/>
      <c r="H127" s="331">
        <f t="shared" si="10"/>
        <v>2434.6483504224625</v>
      </c>
      <c r="I127" s="330"/>
      <c r="J127" s="1"/>
      <c r="K127" s="330"/>
      <c r="L127" s="1"/>
      <c r="M127" s="330"/>
      <c r="N127" s="330"/>
      <c r="O127" s="330"/>
      <c r="P127" s="330"/>
      <c r="Q127" s="329"/>
      <c r="R127" s="331">
        <f t="shared" si="11"/>
        <v>2471.800008604946</v>
      </c>
      <c r="S127" s="331">
        <f t="shared" si="12"/>
        <v>2509.3231833692553</v>
      </c>
      <c r="T127" s="331">
        <f t="shared" si="13"/>
        <v>2547.2215898812074</v>
      </c>
      <c r="U127" s="331">
        <f t="shared" si="14"/>
        <v>2585.4989804582788</v>
      </c>
      <c r="V127" s="330"/>
      <c r="W127" s="330"/>
      <c r="X127" s="330"/>
      <c r="Y127" s="333"/>
      <c r="Z127"/>
      <c r="AA127"/>
      <c r="AB127"/>
    </row>
    <row r="128" spans="1:28" x14ac:dyDescent="0.25">
      <c r="A128" s="330"/>
      <c r="B128" s="332">
        <v>5.3766458362688335E-4</v>
      </c>
      <c r="C128" s="332">
        <v>-2.8259080973665718</v>
      </c>
      <c r="D128" s="332">
        <v>4.5177536131164224</v>
      </c>
      <c r="E128" s="332"/>
      <c r="F128" s="332">
        <v>3.2732742418839056E-2</v>
      </c>
      <c r="G128" s="330"/>
      <c r="H128" s="331">
        <f t="shared" si="10"/>
        <v>-1054.5235824098704</v>
      </c>
      <c r="I128" s="330"/>
      <c r="J128" s="1"/>
      <c r="K128" s="330"/>
      <c r="L128" s="1"/>
      <c r="M128" s="330"/>
      <c r="N128" s="330"/>
      <c r="O128" s="330"/>
      <c r="P128" s="330"/>
      <c r="Q128" s="329"/>
      <c r="R128" s="331">
        <f t="shared" si="11"/>
        <v>-1013.2608958124897</v>
      </c>
      <c r="S128" s="331">
        <f t="shared" si="12"/>
        <v>-971.58558234913494</v>
      </c>
      <c r="T128" s="331">
        <f t="shared" si="13"/>
        <v>-929.49351575114633</v>
      </c>
      <c r="U128" s="331">
        <f t="shared" si="14"/>
        <v>-886.98052848717907</v>
      </c>
      <c r="V128" s="330"/>
      <c r="W128" s="330"/>
      <c r="X128" s="330"/>
      <c r="Y128" s="333"/>
      <c r="Z128"/>
      <c r="AA128"/>
      <c r="AB128"/>
    </row>
    <row r="129" spans="1:28" x14ac:dyDescent="0.25">
      <c r="A129" s="330"/>
      <c r="B129" s="332">
        <v>4.1570355651685993E-2</v>
      </c>
      <c r="C129" s="332">
        <v>-1.7613921745410386</v>
      </c>
      <c r="D129" s="332">
        <v>1.390668399644519</v>
      </c>
      <c r="E129" s="332">
        <v>1.1491915606963499</v>
      </c>
      <c r="F129" s="332">
        <v>0.14343744765928412</v>
      </c>
      <c r="G129" s="330"/>
      <c r="H129" s="331">
        <f t="shared" si="10"/>
        <v>-335.76488007285934</v>
      </c>
      <c r="I129" s="330"/>
      <c r="J129" s="1"/>
      <c r="K129" s="330"/>
      <c r="L129" s="1"/>
      <c r="M129" s="330"/>
      <c r="N129" s="330"/>
      <c r="O129" s="330"/>
      <c r="P129" s="330"/>
      <c r="Q129" s="329"/>
      <c r="R129" s="331">
        <f t="shared" si="11"/>
        <v>-201.93113649927091</v>
      </c>
      <c r="S129" s="331">
        <f t="shared" si="12"/>
        <v>-66.759055489947059</v>
      </c>
      <c r="T129" s="331">
        <f t="shared" si="13"/>
        <v>69.764746329471564</v>
      </c>
      <c r="U129" s="331">
        <f t="shared" si="14"/>
        <v>207.65378616708131</v>
      </c>
      <c r="V129" s="330"/>
      <c r="W129" s="330"/>
      <c r="X129" s="330"/>
      <c r="Y129" s="333"/>
      <c r="Z129"/>
      <c r="AA129"/>
      <c r="AB129"/>
    </row>
    <row r="130" spans="1:28" x14ac:dyDescent="0.25">
      <c r="A130" s="330"/>
      <c r="B130" s="332">
        <v>5.6250676609879233E-3</v>
      </c>
      <c r="C130" s="332">
        <v>-0.74608601374976369</v>
      </c>
      <c r="D130" s="332">
        <v>3.7659151973323293</v>
      </c>
      <c r="E130" s="332"/>
      <c r="F130" s="332">
        <v>5.2492234401357328E-2</v>
      </c>
      <c r="G130" s="330"/>
      <c r="H130" s="331">
        <f t="shared" si="10"/>
        <v>1838.3070891341499</v>
      </c>
      <c r="I130" s="330"/>
      <c r="J130" s="1"/>
      <c r="K130" s="330"/>
      <c r="L130" s="1"/>
      <c r="M130" s="330"/>
      <c r="N130" s="330"/>
      <c r="O130" s="330"/>
      <c r="P130" s="330"/>
      <c r="Q130" s="329"/>
      <c r="R130" s="331">
        <f t="shared" si="11"/>
        <v>1884.3169500239569</v>
      </c>
      <c r="S130" s="331">
        <f t="shared" si="12"/>
        <v>1930.786909522662</v>
      </c>
      <c r="T130" s="331">
        <f t="shared" si="13"/>
        <v>1977.7215686163549</v>
      </c>
      <c r="U130" s="331">
        <f t="shared" si="14"/>
        <v>2025.1255743009838</v>
      </c>
      <c r="V130" s="330"/>
      <c r="W130" s="330"/>
      <c r="X130" s="330"/>
      <c r="Y130" s="333"/>
      <c r="Z130"/>
      <c r="AA130"/>
      <c r="AB130"/>
    </row>
    <row r="131" spans="1:28" x14ac:dyDescent="0.25">
      <c r="A131" s="330"/>
      <c r="B131" s="332">
        <v>1.295945223138271E-2</v>
      </c>
      <c r="C131" s="332">
        <v>-0.52594379122249957</v>
      </c>
      <c r="D131" s="332">
        <v>6.7608529972295299</v>
      </c>
      <c r="E131" s="332"/>
      <c r="F131" s="332">
        <v>2.9835786873095078E-2</v>
      </c>
      <c r="G131" s="330"/>
      <c r="H131" s="331">
        <f t="shared" si="10"/>
        <v>1057.1436775919515</v>
      </c>
      <c r="I131" s="330"/>
      <c r="J131" s="1"/>
      <c r="K131" s="330"/>
      <c r="L131" s="1"/>
      <c r="M131" s="330"/>
      <c r="N131" s="330"/>
      <c r="O131" s="330"/>
      <c r="P131" s="330"/>
      <c r="Q131" s="329"/>
      <c r="R131" s="331">
        <f t="shared" si="11"/>
        <v>1110.0706915056585</v>
      </c>
      <c r="S131" s="331">
        <f t="shared" si="12"/>
        <v>1163.526975558503</v>
      </c>
      <c r="T131" s="331">
        <f t="shared" si="13"/>
        <v>1217.5178224518761</v>
      </c>
      <c r="U131" s="331">
        <f t="shared" si="14"/>
        <v>1272.0485778141822</v>
      </c>
      <c r="V131" s="330"/>
      <c r="W131" s="330"/>
      <c r="X131" s="330"/>
      <c r="Y131" s="333"/>
      <c r="Z131"/>
      <c r="AA131"/>
      <c r="AB131"/>
    </row>
    <row r="132" spans="1:28" x14ac:dyDescent="0.25">
      <c r="A132" s="330"/>
      <c r="B132" s="332"/>
      <c r="C132" s="332">
        <v>-0.71740968632968283</v>
      </c>
      <c r="D132" s="332">
        <v>3.3777615682984301</v>
      </c>
      <c r="E132" s="332"/>
      <c r="F132" s="332">
        <v>3.8148686951337676E-2</v>
      </c>
      <c r="G132" s="330"/>
      <c r="H132" s="331">
        <f t="shared" si="10"/>
        <v>2434.6483504225143</v>
      </c>
      <c r="I132" s="330"/>
      <c r="J132" s="1"/>
      <c r="K132" s="330"/>
      <c r="L132" s="1"/>
      <c r="M132" s="330"/>
      <c r="N132" s="330"/>
      <c r="O132" s="330"/>
      <c r="P132" s="330"/>
      <c r="Q132" s="329"/>
      <c r="R132" s="331">
        <f t="shared" si="11"/>
        <v>2471.8000086049979</v>
      </c>
      <c r="S132" s="331">
        <f t="shared" si="12"/>
        <v>2509.3231833693071</v>
      </c>
      <c r="T132" s="331">
        <f t="shared" si="13"/>
        <v>2547.2215898812592</v>
      </c>
      <c r="U132" s="331">
        <f t="shared" si="14"/>
        <v>2585.4989804583302</v>
      </c>
      <c r="V132" s="330"/>
      <c r="W132" s="330"/>
      <c r="X132" s="330"/>
      <c r="Y132" s="333"/>
      <c r="Z132"/>
      <c r="AA132"/>
      <c r="AB132"/>
    </row>
    <row r="133" spans="1:28" x14ac:dyDescent="0.25">
      <c r="A133" s="330"/>
      <c r="B133" s="332">
        <v>9.0028985196411425E-4</v>
      </c>
      <c r="C133" s="332">
        <v>-0.10588550871095073</v>
      </c>
      <c r="D133" s="332">
        <v>0.4104881311874749</v>
      </c>
      <c r="E133" s="332">
        <v>9.5967279731257703E-3</v>
      </c>
      <c r="F133" s="332">
        <v>7.0899532608947588E-2</v>
      </c>
      <c r="G133" s="330"/>
      <c r="H133" s="331">
        <f t="shared" si="10"/>
        <v>3136.4006204038801</v>
      </c>
      <c r="I133" s="330"/>
      <c r="J133" s="1"/>
      <c r="K133" s="330"/>
      <c r="L133" s="1"/>
      <c r="M133" s="330"/>
      <c r="N133" s="330"/>
      <c r="O133" s="330"/>
      <c r="P133" s="330"/>
      <c r="Q133" s="329"/>
      <c r="R133" s="331">
        <f t="shared" si="11"/>
        <v>3171.9448685648035</v>
      </c>
      <c r="S133" s="331">
        <f t="shared" si="12"/>
        <v>3207.8445592073367</v>
      </c>
      <c r="T133" s="331">
        <f t="shared" si="13"/>
        <v>3244.103246756295</v>
      </c>
      <c r="U133" s="331">
        <f t="shared" si="14"/>
        <v>3280.7245211807426</v>
      </c>
      <c r="V133" s="330"/>
      <c r="W133" s="330"/>
      <c r="X133" s="330"/>
      <c r="Y133" s="333"/>
      <c r="Z133"/>
      <c r="AA133"/>
      <c r="AB133"/>
    </row>
    <row r="134" spans="1:28" x14ac:dyDescent="0.25">
      <c r="A134" s="330"/>
      <c r="B134" s="332">
        <v>9.4413311723203495E-4</v>
      </c>
      <c r="C134" s="332">
        <v>-0.55951448765319622</v>
      </c>
      <c r="D134" s="332">
        <v>2.5277282263186844</v>
      </c>
      <c r="E134" s="332"/>
      <c r="F134" s="332">
        <v>5.0998631977774475E-2</v>
      </c>
      <c r="G134" s="330"/>
      <c r="H134" s="331">
        <f t="shared" si="10"/>
        <v>2575.7520843204247</v>
      </c>
      <c r="I134" s="330"/>
      <c r="J134" s="1"/>
      <c r="K134" s="330"/>
      <c r="L134" s="1"/>
      <c r="M134" s="330"/>
      <c r="N134" s="330"/>
      <c r="O134" s="330"/>
      <c r="P134" s="330"/>
      <c r="Q134" s="329"/>
      <c r="R134" s="331">
        <f t="shared" si="11"/>
        <v>2613.898286556906</v>
      </c>
      <c r="S134" s="331">
        <f t="shared" si="12"/>
        <v>2652.425950815752</v>
      </c>
      <c r="T134" s="331">
        <f t="shared" si="13"/>
        <v>2691.3388917171874</v>
      </c>
      <c r="U134" s="331">
        <f t="shared" si="14"/>
        <v>2730.6409620276363</v>
      </c>
      <c r="V134" s="330"/>
      <c r="W134" s="330"/>
      <c r="X134" s="330"/>
      <c r="Y134" s="333"/>
      <c r="Z134"/>
      <c r="AA134"/>
      <c r="AB134"/>
    </row>
    <row r="135" spans="1:28" x14ac:dyDescent="0.25">
      <c r="A135" s="330"/>
      <c r="B135" s="332">
        <v>1.8032181521232817E-3</v>
      </c>
      <c r="C135" s="332">
        <v>-0.54844932333236562</v>
      </c>
      <c r="D135" s="332">
        <v>2.1347226140729374</v>
      </c>
      <c r="E135" s="332">
        <v>7.7906486267531383E-2</v>
      </c>
      <c r="F135" s="332">
        <v>5.5328228565708723E-2</v>
      </c>
      <c r="G135" s="330"/>
      <c r="H135" s="331">
        <f t="shared" si="10"/>
        <v>2753.3153330462592</v>
      </c>
      <c r="I135" s="330"/>
      <c r="J135" s="1"/>
      <c r="K135" s="330"/>
      <c r="L135" s="1"/>
      <c r="M135" s="330"/>
      <c r="N135" s="330"/>
      <c r="O135" s="330"/>
      <c r="P135" s="330"/>
      <c r="Q135" s="329"/>
      <c r="R135" s="331">
        <f t="shared" si="11"/>
        <v>2795.2251140216508</v>
      </c>
      <c r="S135" s="331">
        <f t="shared" si="12"/>
        <v>2837.5539928067969</v>
      </c>
      <c r="T135" s="331">
        <f t="shared" si="13"/>
        <v>2880.3061603797946</v>
      </c>
      <c r="U135" s="331">
        <f t="shared" si="14"/>
        <v>2923.4858496285219</v>
      </c>
      <c r="V135" s="330"/>
      <c r="W135" s="330"/>
      <c r="X135" s="330"/>
      <c r="Y135" s="333"/>
      <c r="Z135"/>
      <c r="AA135"/>
      <c r="AB135"/>
    </row>
    <row r="136" spans="1:28" x14ac:dyDescent="0.25">
      <c r="A136" s="330"/>
      <c r="B136" s="332"/>
      <c r="C136" s="332">
        <v>-0.71740968632971613</v>
      </c>
      <c r="D136" s="332">
        <v>3.3777615682984496</v>
      </c>
      <c r="E136" s="332"/>
      <c r="F136" s="332">
        <v>3.8148686951337642E-2</v>
      </c>
      <c r="G136" s="330"/>
      <c r="H136" s="331">
        <f t="shared" si="10"/>
        <v>2434.6483504224643</v>
      </c>
      <c r="I136" s="330"/>
      <c r="J136" s="1"/>
      <c r="K136" s="330"/>
      <c r="L136" s="1"/>
      <c r="M136" s="330"/>
      <c r="N136" s="330"/>
      <c r="O136" s="330"/>
      <c r="P136" s="330"/>
      <c r="Q136" s="329"/>
      <c r="R136" s="331">
        <f t="shared" si="11"/>
        <v>2471.8000086049483</v>
      </c>
      <c r="S136" s="331">
        <f t="shared" si="12"/>
        <v>2509.3231833692571</v>
      </c>
      <c r="T136" s="331">
        <f t="shared" si="13"/>
        <v>2547.2215898812096</v>
      </c>
      <c r="U136" s="331">
        <f t="shared" si="14"/>
        <v>2585.498980458281</v>
      </c>
      <c r="V136" s="330"/>
      <c r="W136" s="330"/>
      <c r="X136" s="330"/>
      <c r="Y136" s="333"/>
      <c r="Z136"/>
      <c r="AA136"/>
      <c r="AB136"/>
    </row>
    <row r="137" spans="1:28" x14ac:dyDescent="0.25">
      <c r="A137" s="330"/>
      <c r="B137" s="332"/>
      <c r="C137" s="332">
        <v>-0.54565237416179024</v>
      </c>
      <c r="D137" s="332">
        <v>3.5069170507056673</v>
      </c>
      <c r="E137" s="332"/>
      <c r="F137" s="332">
        <v>3.33538185365784E-2</v>
      </c>
      <c r="G137" s="330"/>
      <c r="H137" s="331">
        <f t="shared" si="10"/>
        <v>2595.1449243575826</v>
      </c>
      <c r="I137" s="330"/>
      <c r="J137" s="1"/>
      <c r="K137" s="330"/>
      <c r="L137" s="1"/>
      <c r="M137" s="330"/>
      <c r="N137" s="330"/>
      <c r="O137" s="330"/>
      <c r="P137" s="330"/>
      <c r="Q137" s="329"/>
      <c r="R137" s="331">
        <f t="shared" si="11"/>
        <v>2630.8358210854749</v>
      </c>
      <c r="S137" s="331">
        <f t="shared" si="12"/>
        <v>2666.8836267806473</v>
      </c>
      <c r="T137" s="331">
        <f t="shared" si="13"/>
        <v>2703.291910532771</v>
      </c>
      <c r="U137" s="331">
        <f t="shared" si="14"/>
        <v>2740.0642771224157</v>
      </c>
      <c r="V137" s="330"/>
      <c r="W137" s="330"/>
      <c r="X137" s="330"/>
      <c r="Y137" s="333"/>
      <c r="Z137"/>
      <c r="AA137"/>
      <c r="AB137"/>
    </row>
    <row r="138" spans="1:28" x14ac:dyDescent="0.25">
      <c r="A138" s="330"/>
      <c r="B138" s="332"/>
      <c r="C138" s="332">
        <v>-0.71740968632970414</v>
      </c>
      <c r="D138" s="332">
        <v>3.3777615682984381</v>
      </c>
      <c r="E138" s="332"/>
      <c r="F138" s="332">
        <v>3.8148686951337676E-2</v>
      </c>
      <c r="G138" s="330"/>
      <c r="H138" s="331">
        <f t="shared" si="10"/>
        <v>2434.6483504224807</v>
      </c>
      <c r="I138" s="330"/>
      <c r="J138" s="1"/>
      <c r="K138" s="330"/>
      <c r="L138" s="1"/>
      <c r="M138" s="330"/>
      <c r="N138" s="330"/>
      <c r="O138" s="330"/>
      <c r="P138" s="330"/>
      <c r="Q138" s="329"/>
      <c r="R138" s="331">
        <f t="shared" si="11"/>
        <v>2471.8000086049647</v>
      </c>
      <c r="S138" s="331">
        <f t="shared" si="12"/>
        <v>2509.3231833692735</v>
      </c>
      <c r="T138" s="331">
        <f t="shared" si="13"/>
        <v>2547.2215898812256</v>
      </c>
      <c r="U138" s="331">
        <f t="shared" si="14"/>
        <v>2585.4989804582974</v>
      </c>
      <c r="V138" s="330"/>
      <c r="W138" s="330"/>
      <c r="X138" s="330"/>
      <c r="Y138" s="333"/>
      <c r="Z138"/>
      <c r="AA138"/>
      <c r="AB138"/>
    </row>
    <row r="139" spans="1:28" x14ac:dyDescent="0.25">
      <c r="A139" s="330"/>
      <c r="B139" s="332">
        <v>3.8404727869346452E-3</v>
      </c>
      <c r="C139" s="332">
        <v>0.19404093717765891</v>
      </c>
      <c r="D139" s="332">
        <v>3.4107162582986028</v>
      </c>
      <c r="E139" s="332"/>
      <c r="F139" s="332">
        <v>2.0592167520643995E-2</v>
      </c>
      <c r="G139" s="330"/>
      <c r="H139" s="331">
        <f t="shared" si="10"/>
        <v>2294.7050017318256</v>
      </c>
      <c r="I139" s="330"/>
      <c r="J139" s="1"/>
      <c r="K139" s="330"/>
      <c r="L139" s="1"/>
      <c r="M139" s="330"/>
      <c r="N139" s="330"/>
      <c r="O139" s="330"/>
      <c r="P139" s="330"/>
      <c r="Q139" s="329"/>
      <c r="R139" s="331">
        <f t="shared" si="11"/>
        <v>2323.9584658728045</v>
      </c>
      <c r="S139" s="331">
        <f t="shared" si="12"/>
        <v>2353.5044646551933</v>
      </c>
      <c r="T139" s="331">
        <f t="shared" si="13"/>
        <v>2383.3459234254065</v>
      </c>
      <c r="U139" s="331">
        <f t="shared" si="14"/>
        <v>2413.4857967833213</v>
      </c>
      <c r="V139" s="330"/>
      <c r="W139" s="330"/>
      <c r="X139" s="330"/>
      <c r="Y139" s="333"/>
      <c r="Z139"/>
      <c r="AA139"/>
      <c r="AB139"/>
    </row>
    <row r="140" spans="1:28" x14ac:dyDescent="0.25">
      <c r="A140" s="330"/>
      <c r="B140" s="332">
        <v>1.6744793190819817E-3</v>
      </c>
      <c r="C140" s="332">
        <v>-1.0531217260668149</v>
      </c>
      <c r="D140" s="332">
        <v>2.2947788258223603</v>
      </c>
      <c r="E140" s="332">
        <v>2.8995466643031039E-2</v>
      </c>
      <c r="F140" s="332">
        <v>5.7144641125995092E-2</v>
      </c>
      <c r="G140" s="330"/>
      <c r="H140" s="331">
        <f t="shared" si="10"/>
        <v>1807.682941970058</v>
      </c>
      <c r="I140" s="330"/>
      <c r="J140" s="1"/>
      <c r="K140" s="330"/>
      <c r="L140" s="1"/>
      <c r="M140" s="330"/>
      <c r="N140" s="330"/>
      <c r="O140" s="330"/>
      <c r="P140" s="330"/>
      <c r="Q140" s="329"/>
      <c r="R140" s="331">
        <f t="shared" si="11"/>
        <v>1848.8168853243578</v>
      </c>
      <c r="S140" s="331">
        <f t="shared" si="12"/>
        <v>1890.3621681122004</v>
      </c>
      <c r="T140" s="331">
        <f t="shared" si="13"/>
        <v>1932.3229037279218</v>
      </c>
      <c r="U140" s="331">
        <f t="shared" si="14"/>
        <v>1974.7032466998005</v>
      </c>
      <c r="V140" s="330"/>
      <c r="W140" s="330"/>
      <c r="X140" s="330"/>
      <c r="Y140" s="333"/>
      <c r="Z140"/>
      <c r="AA140"/>
      <c r="AB140"/>
    </row>
    <row r="141" spans="1:28" x14ac:dyDescent="0.25">
      <c r="A141" s="330"/>
      <c r="B141" s="332">
        <v>9.0761507160091424E-3</v>
      </c>
      <c r="C141" s="332">
        <v>-4.6693416039962556E-2</v>
      </c>
      <c r="D141" s="332">
        <v>2.1250841929989024</v>
      </c>
      <c r="E141" s="332"/>
      <c r="F141" s="332">
        <v>7.801028466313896E-2</v>
      </c>
      <c r="G141" s="330"/>
      <c r="H141" s="331">
        <f t="shared" si="10"/>
        <v>2433.593404829001</v>
      </c>
      <c r="I141" s="330"/>
      <c r="J141" s="1"/>
      <c r="K141" s="330"/>
      <c r="L141" s="1"/>
      <c r="M141" s="330"/>
      <c r="N141" s="330"/>
      <c r="O141" s="330"/>
      <c r="P141" s="330"/>
      <c r="Q141" s="329"/>
      <c r="R141" s="331">
        <f t="shared" si="11"/>
        <v>2481.8518508188472</v>
      </c>
      <c r="S141" s="331">
        <f t="shared" si="12"/>
        <v>2530.5928812685929</v>
      </c>
      <c r="T141" s="331">
        <f t="shared" si="13"/>
        <v>2579.8213220228354</v>
      </c>
      <c r="U141" s="331">
        <f t="shared" si="14"/>
        <v>2629.542047184621</v>
      </c>
      <c r="V141" s="330"/>
      <c r="W141" s="330"/>
      <c r="X141" s="330"/>
      <c r="Y141" s="333"/>
      <c r="Z141"/>
      <c r="AA141"/>
      <c r="AB141"/>
    </row>
    <row r="142" spans="1:28" x14ac:dyDescent="0.25">
      <c r="A142" s="330"/>
      <c r="B142" s="332"/>
      <c r="C142" s="332">
        <v>-1.1844894933964332</v>
      </c>
      <c r="D142" s="332">
        <v>2.1940570949624121</v>
      </c>
      <c r="E142" s="332"/>
      <c r="F142" s="332">
        <v>5.3631765875844797E-2</v>
      </c>
      <c r="G142" s="330"/>
      <c r="H142" s="331">
        <f t="shared" si="10"/>
        <v>1628.3578477529318</v>
      </c>
      <c r="I142" s="330"/>
      <c r="J142" s="1"/>
      <c r="K142" s="330"/>
      <c r="L142" s="1"/>
      <c r="M142" s="330"/>
      <c r="N142" s="330"/>
      <c r="O142" s="330"/>
      <c r="P142" s="330"/>
      <c r="Q142" s="329"/>
      <c r="R142" s="331">
        <f t="shared" si="11"/>
        <v>1665.7835924940664</v>
      </c>
      <c r="S142" s="331">
        <f t="shared" si="12"/>
        <v>1703.5835946826137</v>
      </c>
      <c r="T142" s="331">
        <f t="shared" si="13"/>
        <v>1741.7615968930456</v>
      </c>
      <c r="U142" s="331">
        <f t="shared" si="14"/>
        <v>1780.3213791255823</v>
      </c>
      <c r="V142" s="330"/>
      <c r="W142" s="330"/>
      <c r="X142" s="330"/>
      <c r="Y142" s="333"/>
      <c r="Z142"/>
      <c r="AA142"/>
      <c r="AB142"/>
    </row>
    <row r="143" spans="1:28" x14ac:dyDescent="0.25">
      <c r="A143" s="330"/>
      <c r="B143" s="332"/>
      <c r="C143" s="332">
        <v>-2.6774759117138354</v>
      </c>
      <c r="D143" s="332">
        <v>4.366115035823217</v>
      </c>
      <c r="E143" s="332"/>
      <c r="F143" s="332">
        <v>3.2207500026553468E-2</v>
      </c>
      <c r="G143" s="330"/>
      <c r="H143" s="331">
        <f t="shared" si="10"/>
        <v>-764.8837187154661</v>
      </c>
      <c r="I143" s="330"/>
      <c r="J143" s="1"/>
      <c r="K143" s="330"/>
      <c r="L143" s="1"/>
      <c r="M143" s="330"/>
      <c r="N143" s="330"/>
      <c r="O143" s="330"/>
      <c r="P143" s="330"/>
      <c r="Q143" s="329"/>
      <c r="R143" s="331">
        <f t="shared" si="11"/>
        <v>-724.74180621016444</v>
      </c>
      <c r="S143" s="331">
        <f t="shared" si="12"/>
        <v>-684.19847457980904</v>
      </c>
      <c r="T143" s="331">
        <f t="shared" si="13"/>
        <v>-643.24970963314991</v>
      </c>
      <c r="U143" s="331">
        <f t="shared" si="14"/>
        <v>-601.89145703702525</v>
      </c>
      <c r="V143" s="330"/>
      <c r="W143" s="330"/>
      <c r="X143" s="330"/>
      <c r="Y143" s="333"/>
      <c r="Z143"/>
      <c r="AA143"/>
      <c r="AB143"/>
    </row>
    <row r="144" spans="1:28" x14ac:dyDescent="0.25">
      <c r="A144" s="330"/>
      <c r="B144" s="332"/>
      <c r="C144" s="332">
        <v>-0.35081362334573324</v>
      </c>
      <c r="D144" s="332">
        <v>2.8341360094381089</v>
      </c>
      <c r="E144" s="332"/>
      <c r="F144" s="332">
        <v>4.0625781741630888E-2</v>
      </c>
      <c r="G144" s="330"/>
      <c r="H144" s="331">
        <f t="shared" si="10"/>
        <v>2888.085240246216</v>
      </c>
      <c r="I144" s="330"/>
      <c r="J144" s="1"/>
      <c r="K144" s="330"/>
      <c r="L144" s="1"/>
      <c r="M144" s="330"/>
      <c r="N144" s="330"/>
      <c r="O144" s="330"/>
      <c r="P144" s="330"/>
      <c r="Q144" s="329"/>
      <c r="R144" s="331">
        <f t="shared" si="11"/>
        <v>2923.2278281842514</v>
      </c>
      <c r="S144" s="331">
        <f t="shared" si="12"/>
        <v>2958.7218420016675</v>
      </c>
      <c r="T144" s="331">
        <f t="shared" si="13"/>
        <v>2994.5707959572574</v>
      </c>
      <c r="U144" s="331">
        <f t="shared" si="14"/>
        <v>3030.7782394524033</v>
      </c>
      <c r="V144" s="330"/>
      <c r="W144" s="330"/>
      <c r="X144" s="330"/>
      <c r="Y144" s="333"/>
      <c r="Z144"/>
      <c r="AA144"/>
      <c r="AB144"/>
    </row>
    <row r="145" spans="1:28" x14ac:dyDescent="0.25">
      <c r="A145" s="330"/>
      <c r="B145" s="332"/>
      <c r="C145" s="332">
        <v>-0.23382573786817062</v>
      </c>
      <c r="D145" s="332">
        <v>1.4265673603687337</v>
      </c>
      <c r="E145" s="332">
        <v>1.6923065262972728E-2</v>
      </c>
      <c r="F145" s="332">
        <v>5.6526358045093643E-2</v>
      </c>
      <c r="G145" s="330"/>
      <c r="H145" s="331">
        <f t="shared" si="10"/>
        <v>3101.7048264872496</v>
      </c>
      <c r="I145" s="330"/>
      <c r="J145" s="1"/>
      <c r="K145" s="330"/>
      <c r="L145" s="1"/>
      <c r="M145" s="330"/>
      <c r="N145" s="330"/>
      <c r="O145" s="330"/>
      <c r="P145" s="330"/>
      <c r="Q145" s="329"/>
      <c r="R145" s="331">
        <f t="shared" si="11"/>
        <v>3136.8954724533087</v>
      </c>
      <c r="S145" s="331">
        <f t="shared" si="12"/>
        <v>3172.4380248790285</v>
      </c>
      <c r="T145" s="331">
        <f t="shared" si="13"/>
        <v>3208.3360028290062</v>
      </c>
      <c r="U145" s="331">
        <f t="shared" si="14"/>
        <v>3244.5929605584829</v>
      </c>
      <c r="V145" s="330"/>
      <c r="W145" s="330"/>
      <c r="X145" s="330"/>
      <c r="Y145" s="333"/>
      <c r="Z145"/>
      <c r="AA145"/>
      <c r="AB145"/>
    </row>
    <row r="146" spans="1:28" x14ac:dyDescent="0.25">
      <c r="A146" s="330"/>
      <c r="B146" s="332"/>
      <c r="C146" s="332">
        <v>-0.71740968632969881</v>
      </c>
      <c r="D146" s="332">
        <v>3.3777615682984541</v>
      </c>
      <c r="E146" s="332"/>
      <c r="F146" s="332">
        <v>3.8148686951337399E-2</v>
      </c>
      <c r="G146" s="330"/>
      <c r="H146" s="331">
        <f t="shared" si="10"/>
        <v>2434.6483504224871</v>
      </c>
      <c r="I146" s="330"/>
      <c r="J146" s="1"/>
      <c r="K146" s="330"/>
      <c r="L146" s="1"/>
      <c r="M146" s="330"/>
      <c r="N146" s="330"/>
      <c r="O146" s="330"/>
      <c r="P146" s="330"/>
      <c r="Q146" s="329"/>
      <c r="R146" s="331">
        <f t="shared" si="11"/>
        <v>2471.8000086049706</v>
      </c>
      <c r="S146" s="331">
        <f t="shared" si="12"/>
        <v>2509.3231833692798</v>
      </c>
      <c r="T146" s="331">
        <f t="shared" si="13"/>
        <v>2547.2215898812319</v>
      </c>
      <c r="U146" s="331">
        <f t="shared" si="14"/>
        <v>2585.4989804583029</v>
      </c>
      <c r="V146" s="330"/>
      <c r="W146" s="330"/>
      <c r="X146" s="330"/>
      <c r="Y146" s="333"/>
      <c r="Z146"/>
      <c r="AA146"/>
      <c r="AB146"/>
    </row>
    <row r="147" spans="1:28" x14ac:dyDescent="0.25">
      <c r="A147" s="330"/>
      <c r="B147" s="332">
        <v>7.8929922142732725E-4</v>
      </c>
      <c r="C147" s="332">
        <v>-3.3101334975512509</v>
      </c>
      <c r="D147" s="332">
        <v>4.5292740624354444</v>
      </c>
      <c r="E147" s="332">
        <v>1.4581286440628607E-2</v>
      </c>
      <c r="F147" s="332">
        <v>3.4423263104917383E-2</v>
      </c>
      <c r="G147" s="330"/>
      <c r="H147" s="331">
        <f t="shared" si="10"/>
        <v>-1822.5421075693687</v>
      </c>
      <c r="I147" s="330"/>
      <c r="J147" s="1"/>
      <c r="K147" s="330"/>
      <c r="L147" s="1"/>
      <c r="M147" s="330"/>
      <c r="N147" s="330"/>
      <c r="O147" s="330"/>
      <c r="P147" s="330"/>
      <c r="Q147" s="329"/>
      <c r="R147" s="331">
        <f t="shared" si="11"/>
        <v>-1779.6764394912705</v>
      </c>
      <c r="S147" s="331">
        <f t="shared" si="12"/>
        <v>-1736.3821147323904</v>
      </c>
      <c r="T147" s="331">
        <f t="shared" si="13"/>
        <v>-1692.6548467259217</v>
      </c>
      <c r="U147" s="331">
        <f t="shared" si="14"/>
        <v>-1648.4903060393892</v>
      </c>
      <c r="V147" s="330"/>
      <c r="W147" s="330"/>
      <c r="X147" s="330"/>
      <c r="Y147" s="333"/>
      <c r="Z147"/>
      <c r="AA147"/>
      <c r="AB147"/>
    </row>
    <row r="148" spans="1:28" x14ac:dyDescent="0.25">
      <c r="A148" s="330"/>
      <c r="B148" s="332">
        <v>7.6642400968632176E-4</v>
      </c>
      <c r="C148" s="332">
        <v>-0.48900307176336394</v>
      </c>
      <c r="D148" s="332">
        <v>3.6513667571217665</v>
      </c>
      <c r="E148" s="332"/>
      <c r="F148" s="332">
        <v>3.3540364238248688E-2</v>
      </c>
      <c r="G148" s="330"/>
      <c r="H148" s="331">
        <f t="shared" si="10"/>
        <v>2593.5924343511224</v>
      </c>
      <c r="I148" s="330"/>
      <c r="J148" s="1"/>
      <c r="K148" s="330"/>
      <c r="L148" s="1"/>
      <c r="M148" s="330"/>
      <c r="N148" s="330"/>
      <c r="O148" s="330"/>
      <c r="P148" s="330"/>
      <c r="Q148" s="329"/>
      <c r="R148" s="331">
        <f t="shared" si="11"/>
        <v>2630.2063899771338</v>
      </c>
      <c r="S148" s="331">
        <f t="shared" si="12"/>
        <v>2667.1864851594055</v>
      </c>
      <c r="T148" s="331">
        <f t="shared" si="13"/>
        <v>2704.5363812934997</v>
      </c>
      <c r="U148" s="331">
        <f t="shared" si="14"/>
        <v>2742.2597763889353</v>
      </c>
      <c r="V148" s="330"/>
      <c r="W148" s="330"/>
      <c r="X148" s="330"/>
      <c r="Y148" s="333"/>
      <c r="Z148"/>
      <c r="AA148"/>
      <c r="AB148"/>
    </row>
    <row r="149" spans="1:28" x14ac:dyDescent="0.25">
      <c r="A149" s="330"/>
      <c r="B149" s="332">
        <v>1.596373665225544E-2</v>
      </c>
      <c r="C149" s="332">
        <v>-5.0098996167608769</v>
      </c>
      <c r="D149" s="332">
        <v>4.954455143949736</v>
      </c>
      <c r="E149" s="332">
        <v>0.60697113525337476</v>
      </c>
      <c r="F149" s="332">
        <v>6.2068957200406873E-2</v>
      </c>
      <c r="G149" s="330"/>
      <c r="H149" s="331">
        <f t="shared" si="10"/>
        <v>-4119.8720992976323</v>
      </c>
      <c r="I149" s="330"/>
      <c r="J149" s="1"/>
      <c r="K149" s="330"/>
      <c r="L149" s="1"/>
      <c r="M149" s="330"/>
      <c r="N149" s="330"/>
      <c r="O149" s="330"/>
      <c r="P149" s="330"/>
      <c r="Q149" s="329"/>
      <c r="R149" s="331">
        <f t="shared" si="11"/>
        <v>-4031.0376253132372</v>
      </c>
      <c r="S149" s="331">
        <f t="shared" si="12"/>
        <v>-3941.3148065889973</v>
      </c>
      <c r="T149" s="331">
        <f t="shared" si="13"/>
        <v>-3850.6947596775149</v>
      </c>
      <c r="U149" s="331">
        <f t="shared" si="14"/>
        <v>-3759.1685122969184</v>
      </c>
      <c r="V149" s="330"/>
      <c r="W149" s="330"/>
      <c r="X149" s="330"/>
      <c r="Y149" s="333"/>
      <c r="Z149"/>
      <c r="AA149"/>
      <c r="AB149"/>
    </row>
    <row r="150" spans="1:28" x14ac:dyDescent="0.25">
      <c r="A150" s="330"/>
      <c r="B150" s="332">
        <v>5.090392880050936E-4</v>
      </c>
      <c r="C150" s="332">
        <v>-1.0499617992102288</v>
      </c>
      <c r="D150" s="332">
        <v>1.5576367477699082</v>
      </c>
      <c r="E150" s="332">
        <v>5.7842584942557548E-2</v>
      </c>
      <c r="F150" s="332">
        <v>5.9801141133048838E-2</v>
      </c>
      <c r="G150" s="330"/>
      <c r="H150" s="331">
        <f t="shared" si="10"/>
        <v>1954.839798792284</v>
      </c>
      <c r="I150" s="330"/>
      <c r="J150" s="1"/>
      <c r="K150" s="330"/>
      <c r="L150" s="1"/>
      <c r="M150" s="330"/>
      <c r="N150" s="330"/>
      <c r="O150" s="330"/>
      <c r="P150" s="330"/>
      <c r="Q150" s="329"/>
      <c r="R150" s="331">
        <f t="shared" si="11"/>
        <v>1994.4241132365291</v>
      </c>
      <c r="S150" s="331">
        <f t="shared" si="12"/>
        <v>2034.4042708252175</v>
      </c>
      <c r="T150" s="331">
        <f t="shared" si="13"/>
        <v>2074.784229989792</v>
      </c>
      <c r="U150" s="331">
        <f t="shared" si="14"/>
        <v>2115.5679887460128</v>
      </c>
      <c r="V150" s="330"/>
      <c r="W150" s="330"/>
      <c r="X150" s="330"/>
      <c r="Y150" s="333"/>
      <c r="Z150"/>
      <c r="AA150"/>
      <c r="AB150"/>
    </row>
    <row r="151" spans="1:28" x14ac:dyDescent="0.25">
      <c r="A151" s="330"/>
      <c r="B151" s="332">
        <v>1.9581023644315702E-3</v>
      </c>
      <c r="C151" s="332">
        <v>-0.10406378652373341</v>
      </c>
      <c r="D151" s="332">
        <v>3.5075516293728324</v>
      </c>
      <c r="E151" s="332">
        <v>1.7268282381024645E-2</v>
      </c>
      <c r="F151" s="332">
        <v>2.7102362835195109E-2</v>
      </c>
      <c r="G151" s="330"/>
      <c r="H151" s="331">
        <f t="shared" si="10"/>
        <v>2687.2355538879056</v>
      </c>
      <c r="I151" s="330"/>
      <c r="J151" s="1"/>
      <c r="K151" s="330"/>
      <c r="L151" s="1"/>
      <c r="M151" s="330"/>
      <c r="N151" s="330"/>
      <c r="O151" s="330"/>
      <c r="P151" s="330"/>
      <c r="Q151" s="329"/>
      <c r="R151" s="331">
        <f t="shared" si="11"/>
        <v>2720.9466338670263</v>
      </c>
      <c r="S151" s="331">
        <f t="shared" si="12"/>
        <v>2754.9948246459389</v>
      </c>
      <c r="T151" s="331">
        <f t="shared" si="13"/>
        <v>2789.3834973326407</v>
      </c>
      <c r="U151" s="331">
        <f t="shared" si="14"/>
        <v>2824.1160567462093</v>
      </c>
      <c r="V151" s="330"/>
      <c r="W151" s="330"/>
      <c r="X151" s="330"/>
      <c r="Y151" s="333"/>
      <c r="Z151"/>
      <c r="AA151"/>
      <c r="AB151"/>
    </row>
    <row r="152" spans="1:28" x14ac:dyDescent="0.25">
      <c r="A152" s="330"/>
      <c r="B152" s="332"/>
      <c r="C152" s="332">
        <v>-0.36770014316422966</v>
      </c>
      <c r="D152" s="332">
        <v>1.1347533835566614</v>
      </c>
      <c r="E152" s="332">
        <v>1.5488477945918851E-2</v>
      </c>
      <c r="F152" s="332">
        <v>6.1600572135872375E-2</v>
      </c>
      <c r="G152" s="330"/>
      <c r="H152" s="331">
        <f t="shared" si="10"/>
        <v>2919.983094666813</v>
      </c>
      <c r="I152" s="330"/>
      <c r="J152" s="1"/>
      <c r="K152" s="330"/>
      <c r="L152" s="1"/>
      <c r="M152" s="330"/>
      <c r="N152" s="330"/>
      <c r="O152" s="330"/>
      <c r="P152" s="330"/>
      <c r="Q152" s="329"/>
      <c r="R152" s="331">
        <f t="shared" si="11"/>
        <v>2955.7460716821211</v>
      </c>
      <c r="S152" s="331">
        <f t="shared" si="12"/>
        <v>2991.866678467582</v>
      </c>
      <c r="T152" s="331">
        <f t="shared" si="13"/>
        <v>3028.3484913208977</v>
      </c>
      <c r="U152" s="331">
        <f t="shared" si="14"/>
        <v>3065.1951223027463</v>
      </c>
      <c r="V152" s="330"/>
      <c r="W152" s="330"/>
      <c r="X152" s="330"/>
      <c r="Y152" s="333"/>
      <c r="Z152"/>
      <c r="AA152"/>
      <c r="AB152"/>
    </row>
    <row r="153" spans="1:28" x14ac:dyDescent="0.25">
      <c r="A153" s="330"/>
      <c r="B153" s="332"/>
      <c r="C153" s="332">
        <v>-4.3419362030649181E-2</v>
      </c>
      <c r="D153" s="332"/>
      <c r="E153" s="332">
        <v>5.4312995530210349E-3</v>
      </c>
      <c r="F153" s="332">
        <v>7.2118006894394363E-2</v>
      </c>
      <c r="G153" s="330"/>
      <c r="H153" s="331">
        <f t="shared" si="10"/>
        <v>3273.5479096628883</v>
      </c>
      <c r="I153" s="330"/>
      <c r="J153" s="1"/>
      <c r="K153" s="330"/>
      <c r="L153" s="1"/>
      <c r="M153" s="330"/>
      <c r="N153" s="330"/>
      <c r="O153" s="330"/>
      <c r="P153" s="330"/>
      <c r="Q153" s="329"/>
      <c r="R153" s="331">
        <f t="shared" si="11"/>
        <v>3307.0583887711082</v>
      </c>
      <c r="S153" s="331">
        <f t="shared" si="12"/>
        <v>3340.9039726704104</v>
      </c>
      <c r="T153" s="331">
        <f t="shared" si="13"/>
        <v>3375.0880124087057</v>
      </c>
      <c r="U153" s="331">
        <f t="shared" si="14"/>
        <v>3409.6138925443838</v>
      </c>
      <c r="V153" s="330"/>
      <c r="W153" s="330"/>
      <c r="X153" s="330"/>
      <c r="Y153" s="333"/>
      <c r="Z153"/>
      <c r="AA153"/>
      <c r="AB153"/>
    </row>
    <row r="154" spans="1:28" x14ac:dyDescent="0.25">
      <c r="A154" s="330"/>
      <c r="B154" s="332">
        <v>1.3755375469502602E-2</v>
      </c>
      <c r="C154" s="332">
        <v>-0.92078721481477788</v>
      </c>
      <c r="D154" s="332"/>
      <c r="E154" s="332">
        <v>0.20601121827213523</v>
      </c>
      <c r="F154" s="332">
        <v>0.10864628907225951</v>
      </c>
      <c r="G154" s="330"/>
      <c r="H154" s="331">
        <f t="shared" si="10"/>
        <v>933.04704260286962</v>
      </c>
      <c r="I154" s="330"/>
      <c r="J154" s="1"/>
      <c r="K154" s="330"/>
      <c r="L154" s="1"/>
      <c r="M154" s="330"/>
      <c r="N154" s="330"/>
      <c r="O154" s="330"/>
      <c r="P154" s="330"/>
      <c r="Q154" s="329"/>
      <c r="R154" s="331">
        <f t="shared" si="11"/>
        <v>993.80549284258768</v>
      </c>
      <c r="S154" s="331">
        <f t="shared" si="12"/>
        <v>1055.1715275847032</v>
      </c>
      <c r="T154" s="331">
        <f t="shared" si="13"/>
        <v>1117.1512226742389</v>
      </c>
      <c r="U154" s="331">
        <f t="shared" si="14"/>
        <v>1179.7507147146707</v>
      </c>
      <c r="V154" s="330"/>
      <c r="W154" s="330"/>
      <c r="X154" s="330"/>
      <c r="Y154" s="333"/>
      <c r="Z154"/>
      <c r="AA154"/>
      <c r="AB154"/>
    </row>
    <row r="155" spans="1:28" x14ac:dyDescent="0.25">
      <c r="A155" s="330"/>
      <c r="B155" s="332"/>
      <c r="C155" s="332">
        <v>-4.867493665264484</v>
      </c>
      <c r="D155" s="332">
        <v>2.260577107052689</v>
      </c>
      <c r="E155" s="332">
        <v>0.12068032450775953</v>
      </c>
      <c r="F155" s="332">
        <v>5.4816146701118965E-2</v>
      </c>
      <c r="G155" s="330"/>
      <c r="H155" s="331">
        <f t="shared" si="10"/>
        <v>-4225.60336549978</v>
      </c>
      <c r="I155" s="330"/>
      <c r="J155" s="1"/>
      <c r="K155" s="330"/>
      <c r="L155" s="1"/>
      <c r="M155" s="330"/>
      <c r="N155" s="330"/>
      <c r="O155" s="330"/>
      <c r="P155" s="330"/>
      <c r="Q155" s="329"/>
      <c r="R155" s="331">
        <f t="shared" si="11"/>
        <v>-4180.9786282135465</v>
      </c>
      <c r="S155" s="331">
        <f t="shared" si="12"/>
        <v>-4135.9076435544521</v>
      </c>
      <c r="T155" s="331">
        <f t="shared" si="13"/>
        <v>-4090.3859490487653</v>
      </c>
      <c r="U155" s="331">
        <f t="shared" si="14"/>
        <v>-4044.4090375980213</v>
      </c>
      <c r="V155" s="330"/>
      <c r="W155" s="330"/>
      <c r="X155" s="330"/>
      <c r="Y155" s="333"/>
      <c r="Z155"/>
      <c r="AA155"/>
      <c r="AB155"/>
    </row>
    <row r="156" spans="1:28" x14ac:dyDescent="0.25">
      <c r="A156" s="330"/>
      <c r="B156" s="332">
        <v>3.1500989148560539E-2</v>
      </c>
      <c r="C156" s="332">
        <v>-0.47555705066262954</v>
      </c>
      <c r="D156" s="332"/>
      <c r="E156" s="332">
        <v>0.75846778552934901</v>
      </c>
      <c r="F156" s="332">
        <v>0.13910335360287512</v>
      </c>
      <c r="G156" s="330"/>
      <c r="H156" s="331">
        <f t="shared" si="10"/>
        <v>1486.0037691242806</v>
      </c>
      <c r="I156" s="330"/>
      <c r="J156" s="1"/>
      <c r="K156" s="330"/>
      <c r="L156" s="1"/>
      <c r="M156" s="330"/>
      <c r="N156" s="330"/>
      <c r="O156" s="330"/>
      <c r="P156" s="330"/>
      <c r="Q156" s="329"/>
      <c r="R156" s="331">
        <f t="shared" si="11"/>
        <v>1589.4883544467975</v>
      </c>
      <c r="S156" s="331">
        <f t="shared" si="12"/>
        <v>1694.0077856225407</v>
      </c>
      <c r="T156" s="331">
        <f t="shared" si="13"/>
        <v>1799.5724111100426</v>
      </c>
      <c r="U156" s="331">
        <f t="shared" si="14"/>
        <v>1906.1926828524183</v>
      </c>
      <c r="V156" s="330"/>
      <c r="W156" s="330"/>
      <c r="X156" s="330"/>
      <c r="Y156" s="333"/>
      <c r="Z156"/>
      <c r="AA156"/>
      <c r="AB156"/>
    </row>
    <row r="157" spans="1:28" x14ac:dyDescent="0.25">
      <c r="A157" s="330"/>
      <c r="B157" s="332">
        <v>6.7748185180111472E-3</v>
      </c>
      <c r="C157" s="332">
        <v>-0.33971748835698129</v>
      </c>
      <c r="D157" s="332">
        <v>3.7787169059145138</v>
      </c>
      <c r="E157" s="332"/>
      <c r="F157" s="332">
        <v>5.1297866096730982E-2</v>
      </c>
      <c r="G157" s="330"/>
      <c r="H157" s="331">
        <f t="shared" si="10"/>
        <v>2223.5414923330777</v>
      </c>
      <c r="I157" s="330"/>
      <c r="J157" s="1"/>
      <c r="K157" s="330"/>
      <c r="L157" s="1"/>
      <c r="M157" s="330"/>
      <c r="N157" s="330"/>
      <c r="O157" s="330"/>
      <c r="P157" s="330"/>
      <c r="Q157" s="329"/>
      <c r="R157" s="331">
        <f t="shared" si="11"/>
        <v>2269.075235516334</v>
      </c>
      <c r="S157" s="331">
        <f t="shared" si="12"/>
        <v>2315.0643161314233</v>
      </c>
      <c r="T157" s="331">
        <f t="shared" si="13"/>
        <v>2361.5132875526633</v>
      </c>
      <c r="U157" s="331">
        <f t="shared" si="14"/>
        <v>2408.4267486881154</v>
      </c>
      <c r="V157" s="330"/>
      <c r="W157" s="330"/>
      <c r="X157" s="330"/>
      <c r="Y157" s="333"/>
      <c r="Z157"/>
      <c r="AA157"/>
      <c r="AB157"/>
    </row>
    <row r="158" spans="1:28" x14ac:dyDescent="0.25">
      <c r="A158" s="330"/>
      <c r="B158" s="332"/>
      <c r="C158" s="332">
        <v>-0.71740968632971425</v>
      </c>
      <c r="D158" s="332">
        <v>3.377761568298447</v>
      </c>
      <c r="E158" s="332"/>
      <c r="F158" s="332">
        <v>3.8148686951337697E-2</v>
      </c>
      <c r="G158" s="330"/>
      <c r="H158" s="331">
        <f t="shared" si="10"/>
        <v>2434.6483504224689</v>
      </c>
      <c r="I158" s="330"/>
      <c r="J158" s="1"/>
      <c r="K158" s="330"/>
      <c r="L158" s="1"/>
      <c r="M158" s="330"/>
      <c r="N158" s="330"/>
      <c r="O158" s="330"/>
      <c r="P158" s="330"/>
      <c r="Q158" s="329"/>
      <c r="R158" s="331">
        <f t="shared" si="11"/>
        <v>2471.8000086049528</v>
      </c>
      <c r="S158" s="331">
        <f t="shared" si="12"/>
        <v>2509.3231833692616</v>
      </c>
      <c r="T158" s="331">
        <f t="shared" si="13"/>
        <v>2547.2215898812137</v>
      </c>
      <c r="U158" s="331">
        <f t="shared" si="14"/>
        <v>2585.4989804582856</v>
      </c>
      <c r="V158" s="330"/>
      <c r="W158" s="330"/>
      <c r="X158" s="330"/>
      <c r="Y158" s="333"/>
      <c r="Z158"/>
      <c r="AA158"/>
      <c r="AB158"/>
    </row>
    <row r="159" spans="1:28" x14ac:dyDescent="0.25">
      <c r="A159" s="330"/>
      <c r="B159" s="332">
        <v>2.1333246918201062E-4</v>
      </c>
      <c r="C159" s="332">
        <v>-2.6613906199684445</v>
      </c>
      <c r="D159" s="332">
        <v>4.4184714643506053</v>
      </c>
      <c r="E159" s="332"/>
      <c r="F159" s="332">
        <v>3.2271185931308205E-2</v>
      </c>
      <c r="G159" s="330"/>
      <c r="H159" s="331">
        <f t="shared" si="10"/>
        <v>-757.16736051372141</v>
      </c>
      <c r="I159" s="330"/>
      <c r="J159" s="1"/>
      <c r="K159" s="330"/>
      <c r="L159" s="1"/>
      <c r="M159" s="330"/>
      <c r="N159" s="330"/>
      <c r="O159" s="330"/>
      <c r="P159" s="330"/>
      <c r="Q159" s="329"/>
      <c r="R159" s="331">
        <f t="shared" si="11"/>
        <v>-716.69269128158021</v>
      </c>
      <c r="S159" s="331">
        <f t="shared" si="12"/>
        <v>-675.81327535711785</v>
      </c>
      <c r="T159" s="331">
        <f t="shared" si="13"/>
        <v>-634.52506527341052</v>
      </c>
      <c r="U159" s="331">
        <f t="shared" si="14"/>
        <v>-592.82397308886652</v>
      </c>
      <c r="V159" s="330"/>
      <c r="W159" s="330"/>
      <c r="X159" s="330"/>
      <c r="Y159" s="333"/>
      <c r="Z159"/>
      <c r="AA159"/>
      <c r="AB159"/>
    </row>
    <row r="160" spans="1:28" x14ac:dyDescent="0.25">
      <c r="A160" s="330"/>
      <c r="B160" s="332">
        <v>0.43151184818573662</v>
      </c>
      <c r="C160" s="332">
        <v>-173.00477005002355</v>
      </c>
      <c r="D160" s="332">
        <v>50.246682326166578</v>
      </c>
      <c r="E160" s="332">
        <v>10.822417367676989</v>
      </c>
      <c r="F160" s="332">
        <v>0.70690434081589015</v>
      </c>
      <c r="G160" s="330"/>
      <c r="H160" s="331">
        <f t="shared" si="10"/>
        <v>-300674.9009725136</v>
      </c>
      <c r="I160" s="330"/>
      <c r="J160" s="1"/>
      <c r="K160" s="330"/>
      <c r="L160" s="1"/>
      <c r="M160" s="330"/>
      <c r="N160" s="330"/>
      <c r="O160" s="330"/>
      <c r="P160" s="330"/>
      <c r="Q160" s="329"/>
      <c r="R160" s="331">
        <f t="shared" si="11"/>
        <v>-299495.92167148815</v>
      </c>
      <c r="S160" s="331">
        <f t="shared" si="12"/>
        <v>-298305.15257745248</v>
      </c>
      <c r="T160" s="331">
        <f t="shared" si="13"/>
        <v>-297102.47579247644</v>
      </c>
      <c r="U160" s="331">
        <f t="shared" si="14"/>
        <v>-295887.77223965072</v>
      </c>
      <c r="V160" s="330"/>
      <c r="W160" s="330"/>
      <c r="X160" s="330"/>
      <c r="Y160" s="333"/>
      <c r="Z160"/>
      <c r="AA160"/>
      <c r="AB160"/>
    </row>
    <row r="161" spans="1:28" x14ac:dyDescent="0.25">
      <c r="A161" s="330"/>
      <c r="B161" s="332">
        <v>1.4727280969661104E-2</v>
      </c>
      <c r="C161" s="332">
        <v>-4.4577738665101325</v>
      </c>
      <c r="D161" s="332">
        <v>4.0990144160596289</v>
      </c>
      <c r="E161" s="332">
        <v>0.59078926774757012</v>
      </c>
      <c r="F161" s="332">
        <v>6.7623246177208621E-2</v>
      </c>
      <c r="G161" s="330"/>
      <c r="H161" s="331">
        <f t="shared" si="10"/>
        <v>-3143.6983698707254</v>
      </c>
      <c r="I161" s="330"/>
      <c r="J161" s="1"/>
      <c r="K161" s="330"/>
      <c r="L161" s="1"/>
      <c r="M161" s="330"/>
      <c r="N161" s="330"/>
      <c r="O161" s="330"/>
      <c r="P161" s="330"/>
      <c r="Q161" s="329"/>
      <c r="R161" s="331">
        <f t="shared" si="11"/>
        <v>-3058.1026046017055</v>
      </c>
      <c r="S161" s="331">
        <f t="shared" si="12"/>
        <v>-2971.650881679996</v>
      </c>
      <c r="T161" s="331">
        <f t="shared" si="13"/>
        <v>-2884.3346415290671</v>
      </c>
      <c r="U161" s="331">
        <f t="shared" si="14"/>
        <v>-2796.1452389766318</v>
      </c>
      <c r="V161" s="330"/>
      <c r="W161" s="330"/>
      <c r="X161" s="330"/>
      <c r="Y161" s="333"/>
      <c r="Z161"/>
      <c r="AA161"/>
      <c r="AB161"/>
    </row>
    <row r="162" spans="1:28" x14ac:dyDescent="0.25">
      <c r="A162" s="330"/>
      <c r="B162" s="332">
        <v>1.9445798802983402E-3</v>
      </c>
      <c r="C162" s="332">
        <v>-4.4924294055258196</v>
      </c>
      <c r="D162" s="332">
        <v>6.836534786528742</v>
      </c>
      <c r="E162" s="332"/>
      <c r="F162" s="332">
        <v>2.6833389775414423E-3</v>
      </c>
      <c r="G162" s="330"/>
      <c r="H162" s="331">
        <f t="shared" si="10"/>
        <v>-4427.7949345579</v>
      </c>
      <c r="I162" s="330"/>
      <c r="J162" s="1"/>
      <c r="K162" s="330"/>
      <c r="L162" s="1"/>
      <c r="M162" s="330"/>
      <c r="N162" s="330"/>
      <c r="O162" s="330"/>
      <c r="P162" s="330"/>
      <c r="Q162" s="329"/>
      <c r="R162" s="331">
        <f t="shared" si="11"/>
        <v>-4386.939831522579</v>
      </c>
      <c r="S162" s="331">
        <f t="shared" si="12"/>
        <v>-4345.676177456904</v>
      </c>
      <c r="T162" s="331">
        <f t="shared" si="13"/>
        <v>-4303.9998868505718</v>
      </c>
      <c r="U162" s="331">
        <f t="shared" si="14"/>
        <v>-4261.9068333381774</v>
      </c>
      <c r="V162" s="330"/>
      <c r="W162" s="330"/>
      <c r="X162" s="330"/>
      <c r="Y162" s="333"/>
      <c r="Z162"/>
      <c r="AA162"/>
      <c r="AB162"/>
    </row>
    <row r="163" spans="1:28" x14ac:dyDescent="0.25">
      <c r="A163" s="330"/>
      <c r="B163" s="332">
        <v>1.0922845870640614E-2</v>
      </c>
      <c r="C163" s="332">
        <v>-3.4410367959580936</v>
      </c>
      <c r="D163" s="332">
        <v>2.0301024834008783</v>
      </c>
      <c r="E163" s="332">
        <v>0.52906180082163856</v>
      </c>
      <c r="F163" s="332">
        <v>7.5980351116709116E-2</v>
      </c>
      <c r="G163" s="330"/>
      <c r="H163" s="331">
        <f t="shared" si="10"/>
        <v>-1495.5921690650757</v>
      </c>
      <c r="I163" s="330"/>
      <c r="J163" s="1"/>
      <c r="K163" s="330"/>
      <c r="L163" s="1"/>
      <c r="M163" s="330"/>
      <c r="N163" s="330"/>
      <c r="O163" s="330"/>
      <c r="P163" s="330"/>
      <c r="Q163" s="329"/>
      <c r="R163" s="331">
        <f t="shared" si="11"/>
        <v>-1421.341473322861</v>
      </c>
      <c r="S163" s="331">
        <f t="shared" si="12"/>
        <v>-1346.3482706232253</v>
      </c>
      <c r="T163" s="331">
        <f t="shared" si="13"/>
        <v>-1270.6051358965915</v>
      </c>
      <c r="U163" s="331">
        <f t="shared" si="14"/>
        <v>-1194.1045698226922</v>
      </c>
      <c r="V163" s="330"/>
      <c r="W163" s="330"/>
      <c r="X163" s="330"/>
      <c r="Y163" s="333"/>
      <c r="Z163"/>
      <c r="AA163"/>
      <c r="AB163"/>
    </row>
    <row r="164" spans="1:28" x14ac:dyDescent="0.25">
      <c r="A164" s="330"/>
      <c r="B164" s="332"/>
      <c r="C164" s="332">
        <v>-0.71740968632970081</v>
      </c>
      <c r="D164" s="332">
        <v>3.3777615682984425</v>
      </c>
      <c r="E164" s="332"/>
      <c r="F164" s="332">
        <v>3.8148686951337614E-2</v>
      </c>
      <c r="G164" s="330"/>
      <c r="H164" s="331">
        <f t="shared" si="10"/>
        <v>2434.6483504224861</v>
      </c>
      <c r="I164" s="330"/>
      <c r="J164" s="1"/>
      <c r="K164" s="330"/>
      <c r="L164" s="1"/>
      <c r="M164" s="330"/>
      <c r="N164" s="330"/>
      <c r="O164" s="330"/>
      <c r="P164" s="330"/>
      <c r="Q164" s="329"/>
      <c r="R164" s="331">
        <f t="shared" si="11"/>
        <v>2471.8000086049701</v>
      </c>
      <c r="S164" s="331">
        <f t="shared" si="12"/>
        <v>2509.3231833692789</v>
      </c>
      <c r="T164" s="331">
        <f t="shared" si="13"/>
        <v>2547.2215898812315</v>
      </c>
      <c r="U164" s="331">
        <f t="shared" si="14"/>
        <v>2585.4989804583029</v>
      </c>
      <c r="V164" s="330"/>
      <c r="W164" s="330"/>
      <c r="X164" s="330"/>
      <c r="Y164" s="333"/>
      <c r="Z164"/>
      <c r="AA164"/>
      <c r="AB164"/>
    </row>
    <row r="165" spans="1:28" x14ac:dyDescent="0.25">
      <c r="A165" s="330"/>
      <c r="B165" s="332">
        <v>1.4873985639759649E-3</v>
      </c>
      <c r="C165" s="332">
        <v>-1.5741959915123858</v>
      </c>
      <c r="D165" s="332">
        <v>1.9360739801245912</v>
      </c>
      <c r="E165" s="332">
        <v>0.11515738959305939</v>
      </c>
      <c r="F165" s="332">
        <v>5.8567319709450581E-2</v>
      </c>
      <c r="G165" s="330"/>
      <c r="H165" s="331">
        <f t="shared" si="10"/>
        <v>1230.3758586981735</v>
      </c>
      <c r="I165" s="330"/>
      <c r="J165" s="1"/>
      <c r="K165" s="330"/>
      <c r="L165" s="1"/>
      <c r="M165" s="330"/>
      <c r="N165" s="330"/>
      <c r="O165" s="330"/>
      <c r="P165" s="330"/>
      <c r="Q165" s="329"/>
      <c r="R165" s="331">
        <f t="shared" si="11"/>
        <v>1274.5615596690304</v>
      </c>
      <c r="S165" s="331">
        <f t="shared" si="12"/>
        <v>1319.1891176495969</v>
      </c>
      <c r="T165" s="331">
        <f t="shared" si="13"/>
        <v>1364.2629512099688</v>
      </c>
      <c r="U165" s="331">
        <f t="shared" si="14"/>
        <v>1409.7875231059443</v>
      </c>
      <c r="V165" s="330"/>
      <c r="W165" s="330"/>
      <c r="X165" s="330"/>
      <c r="Y165" s="333"/>
      <c r="Z165"/>
      <c r="AA165"/>
      <c r="AB165"/>
    </row>
    <row r="166" spans="1:28" x14ac:dyDescent="0.25">
      <c r="A166" s="330"/>
      <c r="B166" s="332">
        <v>2.3160644578430652E-2</v>
      </c>
      <c r="C166" s="332">
        <v>0.33434127715821726</v>
      </c>
      <c r="D166" s="332">
        <v>2.7380550145719158</v>
      </c>
      <c r="E166" s="332"/>
      <c r="F166" s="332">
        <v>0.10539278903740905</v>
      </c>
      <c r="G166" s="330"/>
      <c r="H166" s="331">
        <f t="shared" si="10"/>
        <v>1147.5910021019399</v>
      </c>
      <c r="I166" s="330"/>
      <c r="J166" s="1"/>
      <c r="K166" s="330"/>
      <c r="L166" s="1"/>
      <c r="M166" s="330"/>
      <c r="N166" s="330"/>
      <c r="O166" s="330"/>
      <c r="P166" s="330"/>
      <c r="Q166" s="329"/>
      <c r="R166" s="331">
        <f t="shared" si="11"/>
        <v>1212.0182036695414</v>
      </c>
      <c r="S166" s="331">
        <f t="shared" si="12"/>
        <v>1277.0896772528204</v>
      </c>
      <c r="T166" s="331">
        <f t="shared" si="13"/>
        <v>1342.8118655719313</v>
      </c>
      <c r="U166" s="331">
        <f t="shared" si="14"/>
        <v>1409.1912757742334</v>
      </c>
      <c r="V166" s="330"/>
      <c r="W166" s="330"/>
      <c r="X166" s="330"/>
      <c r="Y166" s="333"/>
      <c r="Z166"/>
      <c r="AA166"/>
      <c r="AB166"/>
    </row>
    <row r="167" spans="1:28" x14ac:dyDescent="0.25">
      <c r="A167" s="330"/>
      <c r="B167" s="332">
        <v>4.1990910746172918E-3</v>
      </c>
      <c r="C167" s="332">
        <v>-12.668098843016057</v>
      </c>
      <c r="D167" s="332">
        <v>3.5402776451330222</v>
      </c>
      <c r="E167" s="332">
        <v>0.43979789621229992</v>
      </c>
      <c r="F167" s="332">
        <v>5.4472264894636566E-2</v>
      </c>
      <c r="G167" s="330"/>
      <c r="H167" s="331">
        <f t="shared" si="10"/>
        <v>-16834.094497504564</v>
      </c>
      <c r="I167" s="330"/>
      <c r="J167" s="1"/>
      <c r="K167" s="330"/>
      <c r="L167" s="1"/>
      <c r="M167" s="330"/>
      <c r="N167" s="330"/>
      <c r="O167" s="330"/>
      <c r="P167" s="330"/>
      <c r="Q167" s="329"/>
      <c r="R167" s="331">
        <f t="shared" si="11"/>
        <v>-16765.638080223613</v>
      </c>
      <c r="S167" s="331">
        <f t="shared" si="12"/>
        <v>-16696.497098769854</v>
      </c>
      <c r="T167" s="331">
        <f t="shared" si="13"/>
        <v>-16626.664707501557</v>
      </c>
      <c r="U167" s="331">
        <f t="shared" si="14"/>
        <v>-16556.133992320578</v>
      </c>
      <c r="V167" s="330"/>
      <c r="W167" s="330"/>
      <c r="X167" s="330"/>
      <c r="Y167" s="333"/>
      <c r="Z167"/>
      <c r="AA167"/>
      <c r="AB167"/>
    </row>
    <row r="168" spans="1:28" x14ac:dyDescent="0.25">
      <c r="A168" s="330"/>
      <c r="B168" s="332">
        <v>2.740605628632441E-2</v>
      </c>
      <c r="C168" s="332">
        <v>-1.2471440528084696</v>
      </c>
      <c r="D168" s="332">
        <v>4.7875478808412728</v>
      </c>
      <c r="E168" s="332">
        <v>0.72145057613241459</v>
      </c>
      <c r="F168" s="332">
        <v>8.0081292049820563E-2</v>
      </c>
      <c r="G168" s="330"/>
      <c r="H168" s="331">
        <f t="shared" si="10"/>
        <v>1013.2619347062755</v>
      </c>
      <c r="I168" s="330"/>
      <c r="J168" s="1"/>
      <c r="K168" s="330"/>
      <c r="L168" s="1"/>
      <c r="M168" s="330"/>
      <c r="N168" s="330"/>
      <c r="O168" s="330"/>
      <c r="P168" s="330"/>
      <c r="Q168" s="329"/>
      <c r="R168" s="331">
        <f t="shared" si="11"/>
        <v>1115.374083198577</v>
      </c>
      <c r="S168" s="331">
        <f t="shared" si="12"/>
        <v>1218.5073531758021</v>
      </c>
      <c r="T168" s="331">
        <f t="shared" si="13"/>
        <v>1322.6719558527993</v>
      </c>
      <c r="U168" s="331">
        <f t="shared" si="14"/>
        <v>1427.8782045565658</v>
      </c>
      <c r="V168" s="330"/>
      <c r="W168" s="330"/>
      <c r="X168" s="330"/>
      <c r="Y168" s="333"/>
      <c r="Z168"/>
      <c r="AA168"/>
      <c r="AB168"/>
    </row>
    <row r="169" spans="1:28" x14ac:dyDescent="0.25">
      <c r="A169" s="330"/>
      <c r="B169" s="332"/>
      <c r="C169" s="332">
        <v>-0.35081362334572919</v>
      </c>
      <c r="D169" s="332">
        <v>2.8341360094380925</v>
      </c>
      <c r="E169" s="332"/>
      <c r="F169" s="332">
        <v>4.0625781741631041E-2</v>
      </c>
      <c r="G169" s="330"/>
      <c r="H169" s="331">
        <f t="shared" si="10"/>
        <v>2888.085240246221</v>
      </c>
      <c r="I169" s="330"/>
      <c r="J169" s="1"/>
      <c r="K169" s="330"/>
      <c r="L169" s="1"/>
      <c r="M169" s="330"/>
      <c r="N169" s="330"/>
      <c r="O169" s="330"/>
      <c r="P169" s="330"/>
      <c r="Q169" s="329"/>
      <c r="R169" s="331">
        <f t="shared" si="11"/>
        <v>2923.2278281842559</v>
      </c>
      <c r="S169" s="331">
        <f t="shared" si="12"/>
        <v>2958.721842001672</v>
      </c>
      <c r="T169" s="331">
        <f t="shared" si="13"/>
        <v>2994.5707959572624</v>
      </c>
      <c r="U169" s="331">
        <f t="shared" si="14"/>
        <v>3030.7782394524079</v>
      </c>
      <c r="V169" s="330"/>
      <c r="W169" s="330"/>
      <c r="X169" s="330"/>
      <c r="Y169" s="333"/>
      <c r="Z169"/>
      <c r="AA169"/>
      <c r="AB169"/>
    </row>
    <row r="170" spans="1:28" x14ac:dyDescent="0.25">
      <c r="A170" s="330"/>
      <c r="B170" s="332">
        <v>4.6578538099220565E-3</v>
      </c>
      <c r="C170" s="332">
        <v>-0.86192506872125674</v>
      </c>
      <c r="D170" s="332">
        <v>4.3090345825394554</v>
      </c>
      <c r="E170" s="332">
        <v>3.7158530705838251E-2</v>
      </c>
      <c r="F170" s="332">
        <v>4.0887782645072063E-2</v>
      </c>
      <c r="G170" s="330"/>
      <c r="H170" s="331">
        <f t="shared" si="10"/>
        <v>1850.6574644281304</v>
      </c>
      <c r="I170" s="330"/>
      <c r="J170" s="1"/>
      <c r="K170" s="330"/>
      <c r="L170" s="1"/>
      <c r="M170" s="330"/>
      <c r="N170" s="330"/>
      <c r="O170" s="330"/>
      <c r="P170" s="330"/>
      <c r="Q170" s="329"/>
      <c r="R170" s="331">
        <f t="shared" si="11"/>
        <v>1896.3979389516039</v>
      </c>
      <c r="S170" s="331">
        <f t="shared" si="12"/>
        <v>1942.5958182203133</v>
      </c>
      <c r="T170" s="331">
        <f t="shared" si="13"/>
        <v>1989.2556762817096</v>
      </c>
      <c r="U170" s="331">
        <f t="shared" si="14"/>
        <v>2036.3821329237194</v>
      </c>
      <c r="V170" s="330"/>
      <c r="W170" s="330"/>
      <c r="X170" s="330"/>
      <c r="Y170" s="333"/>
      <c r="Z170"/>
      <c r="AA170"/>
      <c r="AB170"/>
    </row>
    <row r="171" spans="1:28" x14ac:dyDescent="0.25">
      <c r="A171" s="330"/>
      <c r="B171" s="332">
        <v>6.1805946909681891E-4</v>
      </c>
      <c r="C171" s="332">
        <v>-0.10617643111496086</v>
      </c>
      <c r="D171" s="332">
        <v>0.31754541280769372</v>
      </c>
      <c r="E171" s="332">
        <v>2.3605710685647624E-2</v>
      </c>
      <c r="F171" s="332">
        <v>7.0412583164690193E-2</v>
      </c>
      <c r="G171" s="330"/>
      <c r="H171" s="331">
        <f t="shared" si="10"/>
        <v>3204.1394989234277</v>
      </c>
      <c r="I171" s="330"/>
      <c r="J171" s="1"/>
      <c r="K171" s="330"/>
      <c r="L171" s="1"/>
      <c r="M171" s="330"/>
      <c r="N171" s="330"/>
      <c r="O171" s="330"/>
      <c r="P171" s="330"/>
      <c r="Q171" s="329"/>
      <c r="R171" s="331">
        <f t="shared" si="11"/>
        <v>3239.6483548594479</v>
      </c>
      <c r="S171" s="331">
        <f t="shared" si="12"/>
        <v>3275.512299354828</v>
      </c>
      <c r="T171" s="331">
        <f t="shared" si="13"/>
        <v>3311.7348832951625</v>
      </c>
      <c r="U171" s="331">
        <f t="shared" si="14"/>
        <v>3348.3196930748995</v>
      </c>
      <c r="V171" s="330"/>
      <c r="W171" s="330"/>
      <c r="X171" s="330"/>
      <c r="Y171" s="333"/>
      <c r="Z171"/>
      <c r="AA171"/>
      <c r="AB171"/>
    </row>
    <row r="172" spans="1:28" x14ac:dyDescent="0.25">
      <c r="A172" s="330"/>
      <c r="B172" s="332">
        <v>4.5161585715312504E-3</v>
      </c>
      <c r="C172" s="332">
        <v>-0.55136837854022913</v>
      </c>
      <c r="D172" s="332">
        <v>4.7016247505331394</v>
      </c>
      <c r="E172" s="332"/>
      <c r="F172" s="332">
        <v>3.2260428300712407E-2</v>
      </c>
      <c r="G172" s="330"/>
      <c r="H172" s="331">
        <f t="shared" si="10"/>
        <v>2078.0373673147419</v>
      </c>
      <c r="I172" s="330"/>
      <c r="J172" s="1"/>
      <c r="K172" s="330"/>
      <c r="L172" s="1"/>
      <c r="M172" s="330"/>
      <c r="N172" s="330"/>
      <c r="O172" s="330"/>
      <c r="P172" s="330"/>
      <c r="Q172" s="329"/>
      <c r="R172" s="331">
        <f t="shared" si="11"/>
        <v>2120.1479961149416</v>
      </c>
      <c r="S172" s="331">
        <f t="shared" si="12"/>
        <v>2162.6797312031449</v>
      </c>
      <c r="T172" s="331">
        <f t="shared" si="13"/>
        <v>2205.6367836422296</v>
      </c>
      <c r="U172" s="331">
        <f t="shared" si="14"/>
        <v>2249.0234066057046</v>
      </c>
      <c r="V172" s="330"/>
      <c r="W172" s="330"/>
      <c r="X172" s="330"/>
      <c r="Y172" s="333"/>
      <c r="Z172"/>
      <c r="AA172"/>
      <c r="AB172"/>
    </row>
    <row r="173" spans="1:28" x14ac:dyDescent="0.25">
      <c r="A173" s="330"/>
      <c r="B173" s="332">
        <v>8.5454307350452466E-3</v>
      </c>
      <c r="C173" s="332">
        <v>-0.36655119178847062</v>
      </c>
      <c r="D173" s="332">
        <v>2.95482689692806</v>
      </c>
      <c r="E173" s="332">
        <v>6.8324030030814789E-2</v>
      </c>
      <c r="F173" s="332">
        <v>6.6373724241983706E-2</v>
      </c>
      <c r="G173" s="330"/>
      <c r="H173" s="331">
        <f t="shared" si="10"/>
        <v>2297.2341439882534</v>
      </c>
      <c r="I173" s="330"/>
      <c r="J173" s="1"/>
      <c r="K173" s="330"/>
      <c r="L173" s="1"/>
      <c r="M173" s="330"/>
      <c r="N173" s="330"/>
      <c r="O173" s="330"/>
      <c r="P173" s="330"/>
      <c r="Q173" s="329"/>
      <c r="R173" s="331">
        <f t="shared" si="11"/>
        <v>2348.4880830569045</v>
      </c>
      <c r="S173" s="331">
        <f t="shared" si="12"/>
        <v>2400.2545615162426</v>
      </c>
      <c r="T173" s="331">
        <f t="shared" si="13"/>
        <v>2452.5387047601744</v>
      </c>
      <c r="U173" s="331">
        <f t="shared" si="14"/>
        <v>2505.3456894365459</v>
      </c>
      <c r="V173" s="330"/>
      <c r="W173" s="330"/>
      <c r="X173" s="330"/>
      <c r="Y173" s="333"/>
      <c r="Z173"/>
      <c r="AA173"/>
      <c r="AB173"/>
    </row>
    <row r="174" spans="1:28" x14ac:dyDescent="0.25">
      <c r="A174" s="330"/>
      <c r="B174" s="332"/>
      <c r="C174" s="332">
        <v>-0.71740968632967794</v>
      </c>
      <c r="D174" s="332">
        <v>3.3777615682984421</v>
      </c>
      <c r="E174" s="332"/>
      <c r="F174" s="332">
        <v>3.8148686951337531E-2</v>
      </c>
      <c r="G174" s="330"/>
      <c r="H174" s="331">
        <f t="shared" si="10"/>
        <v>2434.6483504225234</v>
      </c>
      <c r="I174" s="330"/>
      <c r="J174" s="1"/>
      <c r="K174" s="330"/>
      <c r="L174" s="1"/>
      <c r="M174" s="330"/>
      <c r="N174" s="330"/>
      <c r="O174" s="330"/>
      <c r="P174" s="330"/>
      <c r="Q174" s="329"/>
      <c r="R174" s="331">
        <f t="shared" si="11"/>
        <v>2471.800008605007</v>
      </c>
      <c r="S174" s="331">
        <f t="shared" si="12"/>
        <v>2509.3231833693162</v>
      </c>
      <c r="T174" s="331">
        <f t="shared" si="13"/>
        <v>2547.2215898812683</v>
      </c>
      <c r="U174" s="331">
        <f t="shared" si="14"/>
        <v>2585.4989804583392</v>
      </c>
      <c r="V174" s="330"/>
      <c r="W174" s="330"/>
      <c r="X174" s="330"/>
      <c r="Y174"/>
      <c r="Z174"/>
      <c r="AA174"/>
      <c r="AB174"/>
    </row>
    <row r="175" spans="1:28" x14ac:dyDescent="0.25">
      <c r="A175" s="330"/>
      <c r="B175" s="332"/>
      <c r="C175" s="332">
        <v>-0.71740968632971325</v>
      </c>
      <c r="D175" s="332">
        <v>3.3777615682984434</v>
      </c>
      <c r="E175" s="332"/>
      <c r="F175" s="332">
        <v>3.8148686951337649E-2</v>
      </c>
      <c r="G175" s="330"/>
      <c r="H175" s="331">
        <f t="shared" si="10"/>
        <v>2434.6483504224661</v>
      </c>
      <c r="I175" s="330"/>
      <c r="J175" s="1"/>
      <c r="K175" s="330"/>
      <c r="L175" s="1"/>
      <c r="M175" s="330"/>
      <c r="N175" s="330"/>
      <c r="O175" s="330"/>
      <c r="P175" s="330"/>
      <c r="Q175" s="329"/>
      <c r="R175" s="331">
        <f t="shared" si="11"/>
        <v>2471.8000086049497</v>
      </c>
      <c r="S175" s="331">
        <f t="shared" si="12"/>
        <v>2509.3231833692589</v>
      </c>
      <c r="T175" s="331">
        <f t="shared" si="13"/>
        <v>2547.221589881211</v>
      </c>
      <c r="U175" s="331">
        <f t="shared" si="14"/>
        <v>2585.4989804582829</v>
      </c>
      <c r="V175" s="330"/>
      <c r="W175" s="330"/>
      <c r="X175" s="330"/>
      <c r="Y175"/>
      <c r="Z175"/>
      <c r="AA175"/>
      <c r="AB175"/>
    </row>
    <row r="176" spans="1:28" x14ac:dyDescent="0.25">
      <c r="A176" s="330"/>
      <c r="B176" s="332">
        <v>2.3837210838746408E-3</v>
      </c>
      <c r="C176" s="332">
        <v>-0.34508722311769552</v>
      </c>
      <c r="D176" s="332">
        <v>2.2208358603188869</v>
      </c>
      <c r="E176" s="332">
        <v>6.6948274989027931E-2</v>
      </c>
      <c r="F176" s="332">
        <v>5.4622740001763238E-2</v>
      </c>
      <c r="G176" s="330"/>
      <c r="H176" s="331">
        <f t="shared" si="10"/>
        <v>2929.1089182242263</v>
      </c>
      <c r="I176" s="330"/>
      <c r="J176" s="1"/>
      <c r="K176" s="330"/>
      <c r="L176" s="1"/>
      <c r="M176" s="330"/>
      <c r="N176" s="330"/>
      <c r="O176" s="330"/>
      <c r="P176" s="330"/>
      <c r="Q176" s="329"/>
      <c r="R176" s="331">
        <f t="shared" si="11"/>
        <v>2970.6235458905653</v>
      </c>
      <c r="S176" s="331">
        <f t="shared" si="12"/>
        <v>3012.5533198335675</v>
      </c>
      <c r="T176" s="331">
        <f t="shared" si="13"/>
        <v>3054.9023915159996</v>
      </c>
      <c r="U176" s="331">
        <f t="shared" si="14"/>
        <v>3097.6749539152561</v>
      </c>
      <c r="V176" s="330"/>
      <c r="W176" s="330"/>
      <c r="X176" s="330"/>
      <c r="Y176" s="333"/>
      <c r="Z176"/>
      <c r="AA176"/>
      <c r="AB176"/>
    </row>
    <row r="177" spans="1:28" x14ac:dyDescent="0.25">
      <c r="A177" s="330"/>
      <c r="B177" s="332">
        <v>1.5158797685703879E-2</v>
      </c>
      <c r="C177" s="332">
        <v>-5.427465555534142</v>
      </c>
      <c r="D177" s="332">
        <v>3.5175266356212749</v>
      </c>
      <c r="E177" s="332">
        <v>0.6444057266303761</v>
      </c>
      <c r="F177" s="332">
        <v>7.5963949435857242E-2</v>
      </c>
      <c r="G177" s="330"/>
      <c r="H177" s="331">
        <f t="shared" si="10"/>
        <v>-4658.50734705787</v>
      </c>
      <c r="I177" s="330"/>
      <c r="J177" s="1"/>
      <c r="K177" s="330"/>
      <c r="L177" s="1"/>
      <c r="M177" s="330"/>
      <c r="N177" s="330"/>
      <c r="O177" s="330"/>
      <c r="P177" s="330"/>
      <c r="Q177" s="329"/>
      <c r="R177" s="331">
        <f t="shared" si="11"/>
        <v>-4569.6537225869852</v>
      </c>
      <c r="S177" s="331">
        <f t="shared" si="12"/>
        <v>-4479.9115618713895</v>
      </c>
      <c r="T177" s="331">
        <f t="shared" si="13"/>
        <v>-4389.2719795486373</v>
      </c>
      <c r="U177" s="331">
        <f t="shared" si="14"/>
        <v>-4297.7260014026615</v>
      </c>
      <c r="V177" s="330"/>
      <c r="W177" s="330"/>
      <c r="X177" s="330"/>
      <c r="Y177" s="333"/>
      <c r="Z177"/>
      <c r="AA177"/>
      <c r="AB177"/>
    </row>
    <row r="178" spans="1:28" x14ac:dyDescent="0.25">
      <c r="A178" s="330"/>
      <c r="B178" s="332"/>
      <c r="C178" s="332">
        <v>-4.3419362030646065E-2</v>
      </c>
      <c r="D178" s="332"/>
      <c r="E178" s="332">
        <v>5.4312995530206533E-3</v>
      </c>
      <c r="F178" s="332">
        <v>7.2118006894394404E-2</v>
      </c>
      <c r="G178" s="330"/>
      <c r="H178" s="331">
        <f t="shared" si="10"/>
        <v>3273.5479096628937</v>
      </c>
      <c r="I178" s="330"/>
      <c r="J178" s="1"/>
      <c r="K178" s="330"/>
      <c r="L178" s="1"/>
      <c r="M178" s="330"/>
      <c r="N178" s="330"/>
      <c r="O178" s="330"/>
      <c r="P178" s="330"/>
      <c r="Q178" s="329"/>
      <c r="R178" s="331">
        <f t="shared" si="11"/>
        <v>3307.0583887711136</v>
      </c>
      <c r="S178" s="331">
        <f t="shared" si="12"/>
        <v>3340.9039726704159</v>
      </c>
      <c r="T178" s="331">
        <f t="shared" si="13"/>
        <v>3375.0880124087112</v>
      </c>
      <c r="U178" s="331">
        <f t="shared" si="14"/>
        <v>3409.6138925443897</v>
      </c>
      <c r="V178" s="330"/>
      <c r="W178" s="330"/>
      <c r="X178" s="330"/>
      <c r="Y178" s="333"/>
      <c r="Z178"/>
      <c r="AA178"/>
      <c r="AB178"/>
    </row>
    <row r="179" spans="1:28" x14ac:dyDescent="0.25">
      <c r="A179" s="330"/>
      <c r="B179" s="332"/>
      <c r="C179" s="332">
        <v>-2.6575653080916735</v>
      </c>
      <c r="D179" s="332">
        <v>4.3605295132552833</v>
      </c>
      <c r="E179" s="332">
        <v>2.6568376887688987E-3</v>
      </c>
      <c r="F179" s="332">
        <v>3.2030895633486559E-2</v>
      </c>
      <c r="G179" s="330"/>
      <c r="H179" s="331">
        <f t="shared" si="10"/>
        <v>-726.92000667257321</v>
      </c>
      <c r="I179" s="330"/>
      <c r="J179" s="1"/>
      <c r="K179" s="330"/>
      <c r="L179" s="1"/>
      <c r="M179" s="330"/>
      <c r="N179" s="330"/>
      <c r="O179" s="330"/>
      <c r="P179" s="330"/>
      <c r="Q179" s="329"/>
      <c r="R179" s="331">
        <f t="shared" si="11"/>
        <v>-686.75384499627989</v>
      </c>
      <c r="S179" s="331">
        <f t="shared" si="12"/>
        <v>-646.18602170322356</v>
      </c>
      <c r="T179" s="331">
        <f t="shared" si="13"/>
        <v>-605.212520177236</v>
      </c>
      <c r="U179" s="331">
        <f t="shared" si="14"/>
        <v>-563.82928363599012</v>
      </c>
      <c r="V179" s="330"/>
      <c r="W179" s="330"/>
      <c r="X179" s="330"/>
      <c r="Y179" s="333"/>
      <c r="Z179"/>
      <c r="AA179"/>
      <c r="AB179"/>
    </row>
    <row r="180" spans="1:28" x14ac:dyDescent="0.25">
      <c r="A180" s="330"/>
      <c r="B180" s="332">
        <v>1.8032181521232587E-3</v>
      </c>
      <c r="C180" s="332">
        <v>-0.54844932333237528</v>
      </c>
      <c r="D180" s="332">
        <v>2.1347226140729716</v>
      </c>
      <c r="E180" s="332">
        <v>7.7906486267531189E-2</v>
      </c>
      <c r="F180" s="332">
        <v>5.5328228565708362E-2</v>
      </c>
      <c r="G180" s="330"/>
      <c r="H180" s="331">
        <f t="shared" si="10"/>
        <v>2753.3153330462496</v>
      </c>
      <c r="I180" s="330"/>
      <c r="J180" s="1"/>
      <c r="K180" s="330"/>
      <c r="L180" s="1"/>
      <c r="M180" s="330"/>
      <c r="N180" s="330"/>
      <c r="O180" s="330"/>
      <c r="P180" s="330"/>
      <c r="Q180" s="329"/>
      <c r="R180" s="331">
        <f t="shared" si="11"/>
        <v>2795.2251140216417</v>
      </c>
      <c r="S180" s="331">
        <f t="shared" si="12"/>
        <v>2837.5539928067878</v>
      </c>
      <c r="T180" s="331">
        <f t="shared" si="13"/>
        <v>2880.3061603797851</v>
      </c>
      <c r="U180" s="331">
        <f t="shared" si="14"/>
        <v>2923.4858496285128</v>
      </c>
      <c r="V180" s="330"/>
      <c r="W180" s="330"/>
      <c r="X180" s="330"/>
      <c r="Y180" s="333"/>
      <c r="Z180"/>
      <c r="AA180"/>
      <c r="AB180"/>
    </row>
    <row r="181" spans="1:28" x14ac:dyDescent="0.25">
      <c r="A181" s="330"/>
      <c r="B181" s="332">
        <v>3.0822400953293104E-4</v>
      </c>
      <c r="C181" s="332">
        <v>-0.31001069437846379</v>
      </c>
      <c r="D181" s="332">
        <v>2.2737960503686563</v>
      </c>
      <c r="E181" s="332">
        <v>2.1270424786923856E-3</v>
      </c>
      <c r="F181" s="332">
        <v>4.8923263037644354E-2</v>
      </c>
      <c r="G181" s="330"/>
      <c r="H181" s="331">
        <f t="shared" si="10"/>
        <v>2951.1336219776699</v>
      </c>
      <c r="I181" s="330"/>
      <c r="J181" s="1"/>
      <c r="K181" s="330"/>
      <c r="L181" s="1"/>
      <c r="M181" s="330"/>
      <c r="N181" s="330"/>
      <c r="O181" s="330"/>
      <c r="P181" s="330"/>
      <c r="Q181" s="329"/>
      <c r="R181" s="331">
        <f t="shared" si="11"/>
        <v>2986.9624945540982</v>
      </c>
      <c r="S181" s="331">
        <f t="shared" si="12"/>
        <v>3023.1496558562903</v>
      </c>
      <c r="T181" s="331">
        <f t="shared" si="13"/>
        <v>3059.6986887715047</v>
      </c>
      <c r="U181" s="331">
        <f t="shared" si="14"/>
        <v>3096.6132120158713</v>
      </c>
      <c r="V181" s="330"/>
      <c r="W181" s="330"/>
      <c r="X181" s="330"/>
      <c r="Y181" s="333"/>
      <c r="Z181"/>
      <c r="AA181"/>
      <c r="AB181"/>
    </row>
    <row r="182" spans="1:28" x14ac:dyDescent="0.25">
      <c r="A182" s="330"/>
      <c r="B182" s="332"/>
      <c r="C182" s="332">
        <v>-0.71740968632971502</v>
      </c>
      <c r="D182" s="332">
        <v>3.3777615682984496</v>
      </c>
      <c r="E182" s="332"/>
      <c r="F182" s="332">
        <v>3.8148686951337628E-2</v>
      </c>
      <c r="G182" s="330"/>
      <c r="H182" s="331">
        <f t="shared" si="10"/>
        <v>2434.6483504224657</v>
      </c>
      <c r="I182" s="330"/>
      <c r="J182" s="1"/>
      <c r="K182" s="330"/>
      <c r="L182" s="1"/>
      <c r="M182" s="330"/>
      <c r="N182" s="330"/>
      <c r="O182" s="330"/>
      <c r="P182" s="330"/>
      <c r="Q182" s="329"/>
      <c r="R182" s="331">
        <f t="shared" si="11"/>
        <v>2471.8000086049497</v>
      </c>
      <c r="S182" s="331">
        <f t="shared" si="12"/>
        <v>2509.3231833692585</v>
      </c>
      <c r="T182" s="331">
        <f t="shared" si="13"/>
        <v>2547.221589881211</v>
      </c>
      <c r="U182" s="331">
        <f t="shared" si="14"/>
        <v>2585.4989804582819</v>
      </c>
      <c r="V182" s="330"/>
      <c r="W182" s="330"/>
      <c r="X182" s="330"/>
      <c r="Y182" s="333"/>
      <c r="Z182"/>
      <c r="AA182"/>
      <c r="AB182"/>
    </row>
    <row r="183" spans="1:28" x14ac:dyDescent="0.25">
      <c r="A183" s="330"/>
      <c r="B183" s="332">
        <v>2.0383013850225782E-3</v>
      </c>
      <c r="C183" s="332">
        <v>-0.84802378995711736</v>
      </c>
      <c r="D183" s="332">
        <v>2.0718099077854633</v>
      </c>
      <c r="E183" s="332">
        <v>0.12812529313387927</v>
      </c>
      <c r="F183" s="332">
        <v>5.5653985960229115E-2</v>
      </c>
      <c r="G183" s="330"/>
      <c r="H183" s="331">
        <f t="shared" si="10"/>
        <v>2398.1687088680346</v>
      </c>
      <c r="I183" s="330"/>
      <c r="J183" s="1"/>
      <c r="K183" s="330"/>
      <c r="L183" s="1"/>
      <c r="M183" s="330"/>
      <c r="N183" s="330"/>
      <c r="O183" s="330"/>
      <c r="P183" s="330"/>
      <c r="Q183" s="329"/>
      <c r="R183" s="331">
        <f t="shared" si="11"/>
        <v>2442.4722169897805</v>
      </c>
      <c r="S183" s="331">
        <f t="shared" si="12"/>
        <v>2487.218760192744</v>
      </c>
      <c r="T183" s="331">
        <f t="shared" si="13"/>
        <v>2532.4127688277372</v>
      </c>
      <c r="U183" s="331">
        <f t="shared" si="14"/>
        <v>2578.0587175490796</v>
      </c>
      <c r="V183" s="330"/>
      <c r="W183" s="330"/>
      <c r="X183" s="330"/>
      <c r="Y183" s="333"/>
      <c r="Z183"/>
      <c r="AA183"/>
      <c r="AB183"/>
    </row>
    <row r="184" spans="1:28" x14ac:dyDescent="0.25">
      <c r="A184" s="330"/>
      <c r="B184" s="332">
        <v>1.0425093160049527E-2</v>
      </c>
      <c r="C184" s="332">
        <v>-2.3051589913892161</v>
      </c>
      <c r="D184" s="332">
        <v>3.5520486745527702</v>
      </c>
      <c r="E184" s="332">
        <v>0.42019199363085458</v>
      </c>
      <c r="F184" s="332">
        <v>6.0092303950943823E-2</v>
      </c>
      <c r="G184" s="330"/>
      <c r="H184" s="331">
        <f t="shared" si="10"/>
        <v>242.99086473659509</v>
      </c>
      <c r="I184" s="330"/>
      <c r="J184" s="1"/>
      <c r="K184" s="330"/>
      <c r="L184" s="1"/>
      <c r="M184" s="330"/>
      <c r="N184" s="330"/>
      <c r="O184" s="330"/>
      <c r="P184" s="330"/>
      <c r="Q184" s="329"/>
      <c r="R184" s="331">
        <f t="shared" si="11"/>
        <v>313.08665634843283</v>
      </c>
      <c r="S184" s="331">
        <f t="shared" si="12"/>
        <v>383.88340587638959</v>
      </c>
      <c r="T184" s="331">
        <f t="shared" si="13"/>
        <v>455.38812289962561</v>
      </c>
      <c r="U184" s="331">
        <f t="shared" si="14"/>
        <v>527.60788709309372</v>
      </c>
      <c r="V184" s="330"/>
      <c r="W184" s="330"/>
      <c r="X184" s="330"/>
      <c r="Y184" s="333"/>
      <c r="Z184"/>
      <c r="AA184"/>
      <c r="AB184"/>
    </row>
    <row r="185" spans="1:28" x14ac:dyDescent="0.25">
      <c r="A185" s="330"/>
      <c r="B185" s="332"/>
      <c r="C185" s="332">
        <v>-0.5096958022062863</v>
      </c>
      <c r="D185" s="332">
        <v>2.4596573447128129</v>
      </c>
      <c r="E185" s="332"/>
      <c r="F185" s="332">
        <v>4.7915351516599154E-2</v>
      </c>
      <c r="G185" s="330"/>
      <c r="H185" s="331">
        <f t="shared" si="10"/>
        <v>2723.344664477152</v>
      </c>
      <c r="I185" s="330"/>
      <c r="J185" s="1"/>
      <c r="K185" s="330"/>
      <c r="L185" s="1"/>
      <c r="M185" s="330"/>
      <c r="N185" s="330"/>
      <c r="O185" s="330"/>
      <c r="P185" s="330"/>
      <c r="Q185" s="329"/>
      <c r="R185" s="331">
        <f t="shared" si="11"/>
        <v>2759.675763278557</v>
      </c>
      <c r="S185" s="331">
        <f t="shared" si="12"/>
        <v>2796.3701730679759</v>
      </c>
      <c r="T185" s="331">
        <f t="shared" si="13"/>
        <v>2833.431526955289</v>
      </c>
      <c r="U185" s="331">
        <f t="shared" si="14"/>
        <v>2870.863494381475</v>
      </c>
      <c r="V185" s="330"/>
      <c r="W185" s="330"/>
      <c r="X185" s="330"/>
      <c r="Y185" s="333"/>
      <c r="Z185"/>
      <c r="AA185"/>
      <c r="AB185"/>
    </row>
    <row r="186" spans="1:28" x14ac:dyDescent="0.25">
      <c r="A186" s="330"/>
      <c r="B186" s="332"/>
      <c r="C186" s="332">
        <v>-0.71740968632971991</v>
      </c>
      <c r="D186" s="332">
        <v>3.3777615682984425</v>
      </c>
      <c r="E186" s="332"/>
      <c r="F186" s="332">
        <v>3.8148686951337801E-2</v>
      </c>
      <c r="G186" s="330"/>
      <c r="H186" s="331">
        <f t="shared" si="10"/>
        <v>2434.6483504224607</v>
      </c>
      <c r="I186" s="330"/>
      <c r="J186" s="1"/>
      <c r="K186" s="330"/>
      <c r="L186" s="1"/>
      <c r="M186" s="330"/>
      <c r="N186" s="330"/>
      <c r="O186" s="330"/>
      <c r="P186" s="330"/>
      <c r="Q186" s="329"/>
      <c r="R186" s="331">
        <f t="shared" si="11"/>
        <v>2471.8000086049447</v>
      </c>
      <c r="S186" s="331">
        <f t="shared" si="12"/>
        <v>2509.3231833692539</v>
      </c>
      <c r="T186" s="331">
        <f t="shared" si="13"/>
        <v>2547.2215898812065</v>
      </c>
      <c r="U186" s="331">
        <f t="shared" si="14"/>
        <v>2585.4989804582774</v>
      </c>
      <c r="V186" s="330"/>
      <c r="W186" s="330"/>
      <c r="X186" s="330"/>
      <c r="Y186"/>
      <c r="Z186"/>
      <c r="AA186"/>
      <c r="AB186"/>
    </row>
    <row r="187" spans="1:28" x14ac:dyDescent="0.25">
      <c r="A187" s="330"/>
      <c r="B187" s="332">
        <v>1.4395013145264148E-2</v>
      </c>
      <c r="C187" s="332">
        <v>-3.9772013626529383</v>
      </c>
      <c r="D187" s="332">
        <v>4.1009197216068367</v>
      </c>
      <c r="E187" s="332">
        <v>0.56540728679001795</v>
      </c>
      <c r="F187" s="332">
        <v>6.6240676113567279E-2</v>
      </c>
      <c r="G187" s="330"/>
      <c r="H187" s="331">
        <f t="shared" si="10"/>
        <v>-2395.8139587006194</v>
      </c>
      <c r="I187" s="330"/>
      <c r="J187" s="1"/>
      <c r="K187" s="330"/>
      <c r="L187" s="1"/>
      <c r="M187" s="330"/>
      <c r="N187" s="330"/>
      <c r="O187" s="330"/>
      <c r="P187" s="330"/>
      <c r="Q187" s="329"/>
      <c r="R187" s="331">
        <f t="shared" si="11"/>
        <v>-2312.1624398584258</v>
      </c>
      <c r="S187" s="331">
        <f t="shared" si="12"/>
        <v>-2227.67440582781</v>
      </c>
      <c r="T187" s="331">
        <f t="shared" si="13"/>
        <v>-2142.3414914568866</v>
      </c>
      <c r="U187" s="331">
        <f t="shared" si="14"/>
        <v>-2056.1552479422539</v>
      </c>
      <c r="V187" s="330"/>
      <c r="W187" s="330"/>
      <c r="X187" s="330"/>
      <c r="Y187" s="333"/>
      <c r="Z187"/>
      <c r="AA187"/>
      <c r="AB187"/>
    </row>
    <row r="188" spans="1:28" x14ac:dyDescent="0.25">
      <c r="A188" s="330"/>
      <c r="B188" s="332">
        <v>8.4237736215122833E-3</v>
      </c>
      <c r="C188" s="332">
        <v>-4.9102430597045377</v>
      </c>
      <c r="D188" s="332">
        <v>4.0990880285697946</v>
      </c>
      <c r="E188" s="332">
        <v>0.48998475074725151</v>
      </c>
      <c r="F188" s="332">
        <v>5.0432814752169132E-2</v>
      </c>
      <c r="G188" s="330"/>
      <c r="H188" s="331">
        <f t="shared" ref="H188:H251" si="15">SUMPRODUCT(B188:F188,B$56:F$56)</f>
        <v>-3663.3091389406841</v>
      </c>
      <c r="I188" s="330"/>
      <c r="J188" s="1"/>
      <c r="K188" s="330"/>
      <c r="L188" s="1"/>
      <c r="M188" s="330"/>
      <c r="N188" s="330"/>
      <c r="O188" s="330"/>
      <c r="P188" s="330"/>
      <c r="Q188" s="329"/>
      <c r="R188" s="331">
        <f t="shared" ref="R188:R251" si="16">SUMPRODUCT($B188:$F188,$K$59:$O$59)</f>
        <v>-3590.8689452708941</v>
      </c>
      <c r="S188" s="331">
        <f t="shared" ref="S188:S251" si="17">SUMPRODUCT($B188:$F188,$K$60:$O$60)</f>
        <v>-3517.7043496644046</v>
      </c>
      <c r="T188" s="331">
        <f t="shared" ref="T188:T251" si="18">SUMPRODUCT($B188:$F188,$K$61:$O$61)</f>
        <v>-3443.8081081018508</v>
      </c>
      <c r="U188" s="331">
        <f t="shared" ref="U188:U251" si="19">SUMPRODUCT($B188:$F188,$K$62:$O$62)</f>
        <v>-3369.1729041236717</v>
      </c>
      <c r="V188" s="330"/>
      <c r="W188" s="330"/>
      <c r="X188" s="330"/>
      <c r="Y188" s="333"/>
      <c r="Z188"/>
      <c r="AA188"/>
      <c r="AB188"/>
    </row>
    <row r="189" spans="1:28" x14ac:dyDescent="0.25">
      <c r="A189" s="330"/>
      <c r="B189" s="332"/>
      <c r="C189" s="332">
        <v>-39.425264782296914</v>
      </c>
      <c r="D189" s="332">
        <v>8.1975411606800428</v>
      </c>
      <c r="E189" s="332"/>
      <c r="F189" s="332">
        <v>2.1763443902265693E-2</v>
      </c>
      <c r="G189" s="330"/>
      <c r="H189" s="331">
        <f t="shared" si="15"/>
        <v>-64617.51456861847</v>
      </c>
      <c r="I189" s="330"/>
      <c r="J189" s="1"/>
      <c r="K189" s="330"/>
      <c r="L189" s="1"/>
      <c r="M189" s="330"/>
      <c r="N189" s="330"/>
      <c r="O189" s="330"/>
      <c r="P189" s="330"/>
      <c r="Q189" s="329"/>
      <c r="R189" s="331">
        <f t="shared" si="16"/>
        <v>-64559.981063733248</v>
      </c>
      <c r="S189" s="331">
        <f t="shared" si="17"/>
        <v>-64501.872223799175</v>
      </c>
      <c r="T189" s="331">
        <f t="shared" si="18"/>
        <v>-64443.182295465769</v>
      </c>
      <c r="U189" s="331">
        <f t="shared" si="19"/>
        <v>-64383.905467849021</v>
      </c>
      <c r="V189" s="330"/>
      <c r="W189" s="330"/>
      <c r="X189" s="330"/>
      <c r="Y189" s="333"/>
      <c r="Z189"/>
      <c r="AA189"/>
      <c r="AB189"/>
    </row>
    <row r="190" spans="1:28" x14ac:dyDescent="0.25">
      <c r="A190" s="330"/>
      <c r="B190" s="332">
        <v>3.4000282590948569E-3</v>
      </c>
      <c r="C190" s="332">
        <v>-1.0117202332890713</v>
      </c>
      <c r="D190" s="332">
        <v>2.0767349283469119</v>
      </c>
      <c r="E190" s="332">
        <v>0.18343408545635401</v>
      </c>
      <c r="F190" s="332">
        <v>5.834329789657032E-2</v>
      </c>
      <c r="G190" s="330"/>
      <c r="H190" s="331">
        <f t="shared" si="15"/>
        <v>2173.5929803824547</v>
      </c>
      <c r="I190" s="330"/>
      <c r="J190" s="1"/>
      <c r="K190" s="330"/>
      <c r="L190" s="1"/>
      <c r="M190" s="330"/>
      <c r="N190" s="330"/>
      <c r="O190" s="330"/>
      <c r="P190" s="330"/>
      <c r="Q190" s="329"/>
      <c r="R190" s="331">
        <f t="shared" si="16"/>
        <v>2222.0367134589005</v>
      </c>
      <c r="S190" s="331">
        <f t="shared" si="17"/>
        <v>2270.9648838661105</v>
      </c>
      <c r="T190" s="331">
        <f t="shared" si="18"/>
        <v>2320.3823359773933</v>
      </c>
      <c r="U190" s="331">
        <f t="shared" si="19"/>
        <v>2370.2939626097877</v>
      </c>
      <c r="V190" s="330"/>
      <c r="W190" s="330"/>
      <c r="X190" s="330"/>
      <c r="Y190" s="333"/>
      <c r="Z190"/>
      <c r="AA190"/>
      <c r="AB190"/>
    </row>
    <row r="191" spans="1:28" x14ac:dyDescent="0.25">
      <c r="A191" s="330"/>
      <c r="B191" s="332"/>
      <c r="C191" s="332">
        <v>-0.66876173478244516</v>
      </c>
      <c r="D191" s="332">
        <v>5.0033530799905419</v>
      </c>
      <c r="E191" s="332"/>
      <c r="F191" s="332"/>
      <c r="G191" s="330"/>
      <c r="H191" s="331">
        <f t="shared" si="15"/>
        <v>1705.8339739710925</v>
      </c>
      <c r="I191" s="330"/>
      <c r="J191" s="1"/>
      <c r="K191" s="330"/>
      <c r="L191" s="1"/>
      <c r="M191" s="330"/>
      <c r="N191" s="330"/>
      <c r="O191" s="330"/>
      <c r="P191" s="330"/>
      <c r="Q191" s="329"/>
      <c r="R191" s="331">
        <f t="shared" si="16"/>
        <v>1734.8291623416555</v>
      </c>
      <c r="S191" s="331">
        <f t="shared" si="17"/>
        <v>1764.1143025959248</v>
      </c>
      <c r="T191" s="331">
        <f t="shared" si="18"/>
        <v>1793.6922942527365</v>
      </c>
      <c r="U191" s="331">
        <f t="shared" si="19"/>
        <v>1823.5660658261156</v>
      </c>
      <c r="V191" s="330"/>
      <c r="W191" s="330"/>
      <c r="X191" s="330"/>
      <c r="Y191" s="333"/>
      <c r="Z191"/>
      <c r="AA191"/>
      <c r="AB191"/>
    </row>
    <row r="192" spans="1:28" x14ac:dyDescent="0.25">
      <c r="A192" s="330"/>
      <c r="B192" s="332"/>
      <c r="C192" s="332">
        <v>-5.1125637053413602</v>
      </c>
      <c r="D192" s="332">
        <v>6.5372004597623059</v>
      </c>
      <c r="E192" s="332">
        <v>6.5296858170653871E-3</v>
      </c>
      <c r="F192" s="332">
        <v>7.7543474478476365E-5</v>
      </c>
      <c r="G192" s="330"/>
      <c r="H192" s="331">
        <f t="shared" si="15"/>
        <v>-5299.6142511861071</v>
      </c>
      <c r="I192" s="330"/>
      <c r="J192" s="1"/>
      <c r="K192" s="330"/>
      <c r="L192" s="1"/>
      <c r="M192" s="330"/>
      <c r="N192" s="330"/>
      <c r="O192" s="330"/>
      <c r="P192" s="330"/>
      <c r="Q192" s="329"/>
      <c r="R192" s="331">
        <f t="shared" si="16"/>
        <v>-5261.3553234806186</v>
      </c>
      <c r="S192" s="331">
        <f t="shared" si="17"/>
        <v>-5222.7138064980754</v>
      </c>
      <c r="T192" s="331">
        <f t="shared" si="18"/>
        <v>-5183.685874345706</v>
      </c>
      <c r="U192" s="331">
        <f t="shared" si="19"/>
        <v>-5144.2676628718145</v>
      </c>
      <c r="V192" s="330"/>
      <c r="W192" s="330"/>
      <c r="X192" s="330"/>
      <c r="Y192" s="333"/>
      <c r="Z192"/>
      <c r="AA192"/>
      <c r="AB192"/>
    </row>
    <row r="193" spans="1:28" x14ac:dyDescent="0.25">
      <c r="A193" s="330"/>
      <c r="B193" s="332">
        <v>1.0766371129187781E-2</v>
      </c>
      <c r="C193" s="332">
        <v>-5.9499998022283149</v>
      </c>
      <c r="D193" s="332">
        <v>4.6498015896865263</v>
      </c>
      <c r="E193" s="332">
        <v>0.56813641312029528</v>
      </c>
      <c r="F193" s="332">
        <v>5.1503312632533833E-2</v>
      </c>
      <c r="G193" s="330"/>
      <c r="H193" s="331">
        <f t="shared" si="15"/>
        <v>-5340.7618550094794</v>
      </c>
      <c r="I193" s="330"/>
      <c r="J193" s="1"/>
      <c r="K193" s="330"/>
      <c r="L193" s="1"/>
      <c r="M193" s="330"/>
      <c r="N193" s="330"/>
      <c r="O193" s="330"/>
      <c r="P193" s="330"/>
      <c r="Q193" s="329"/>
      <c r="R193" s="331">
        <f t="shared" si="16"/>
        <v>-5260.5779840839259</v>
      </c>
      <c r="S193" s="331">
        <f t="shared" si="17"/>
        <v>-5179.5922744491181</v>
      </c>
      <c r="T193" s="331">
        <f t="shared" si="18"/>
        <v>-5097.7967077179619</v>
      </c>
      <c r="U193" s="331">
        <f t="shared" si="19"/>
        <v>-5015.1831853194926</v>
      </c>
      <c r="V193" s="330"/>
      <c r="W193" s="330"/>
      <c r="X193" s="330"/>
      <c r="Y193" s="333"/>
      <c r="Z193"/>
      <c r="AA193"/>
      <c r="AB193"/>
    </row>
    <row r="194" spans="1:28" x14ac:dyDescent="0.25">
      <c r="A194" s="330"/>
      <c r="B194" s="332"/>
      <c r="C194" s="332">
        <v>-0.71740968632971303</v>
      </c>
      <c r="D194" s="332">
        <v>3.3777615682984412</v>
      </c>
      <c r="E194" s="332"/>
      <c r="F194" s="332">
        <v>3.8148686951337704E-2</v>
      </c>
      <c r="G194" s="330"/>
      <c r="H194" s="331">
        <f t="shared" si="15"/>
        <v>2434.648350422468</v>
      </c>
      <c r="I194" s="330"/>
      <c r="J194" s="1"/>
      <c r="K194" s="330"/>
      <c r="L194" s="1"/>
      <c r="M194" s="330"/>
      <c r="N194" s="330"/>
      <c r="O194" s="330"/>
      <c r="P194" s="330"/>
      <c r="Q194" s="329"/>
      <c r="R194" s="331">
        <f t="shared" si="16"/>
        <v>2471.8000086049515</v>
      </c>
      <c r="S194" s="331">
        <f t="shared" si="17"/>
        <v>2509.3231833692607</v>
      </c>
      <c r="T194" s="331">
        <f t="shared" si="18"/>
        <v>2547.2215898812128</v>
      </c>
      <c r="U194" s="331">
        <f t="shared" si="19"/>
        <v>2585.4989804582847</v>
      </c>
      <c r="V194" s="330"/>
      <c r="W194" s="330"/>
      <c r="X194" s="330"/>
      <c r="Y194" s="333"/>
      <c r="Z194"/>
      <c r="AA194"/>
      <c r="AB194"/>
    </row>
    <row r="195" spans="1:28" x14ac:dyDescent="0.25">
      <c r="A195" s="330"/>
      <c r="B195" s="332">
        <v>5.3823144448541746E-4</v>
      </c>
      <c r="C195" s="332">
        <v>-2.5213966794975322</v>
      </c>
      <c r="D195" s="332">
        <v>3.5428820900435691</v>
      </c>
      <c r="E195" s="332">
        <v>0.12830590183992502</v>
      </c>
      <c r="F195" s="332">
        <v>3.8310053465823932E-2</v>
      </c>
      <c r="G195" s="330"/>
      <c r="H195" s="331">
        <f t="shared" si="15"/>
        <v>-152.73329322122709</v>
      </c>
      <c r="I195" s="330"/>
      <c r="J195" s="1"/>
      <c r="K195" s="330"/>
      <c r="L195" s="1"/>
      <c r="M195" s="330"/>
      <c r="N195" s="330"/>
      <c r="O195" s="330"/>
      <c r="P195" s="330"/>
      <c r="Q195" s="329"/>
      <c r="R195" s="331">
        <f t="shared" si="16"/>
        <v>-107.88654081101163</v>
      </c>
      <c r="S195" s="331">
        <f t="shared" si="17"/>
        <v>-62.591320876694454</v>
      </c>
      <c r="T195" s="331">
        <f t="shared" si="18"/>
        <v>-16.843148743033908</v>
      </c>
      <c r="U195" s="331">
        <f t="shared" si="19"/>
        <v>29.362505111962946</v>
      </c>
      <c r="V195" s="330"/>
      <c r="W195" s="330"/>
      <c r="X195" s="330"/>
      <c r="Y195" s="333"/>
      <c r="Z195"/>
      <c r="AA195"/>
      <c r="AB195"/>
    </row>
    <row r="196" spans="1:28" x14ac:dyDescent="0.25">
      <c r="A196" s="330"/>
      <c r="B196" s="332">
        <v>1.8032181521231748E-3</v>
      </c>
      <c r="C196" s="332">
        <v>-0.54844932333235308</v>
      </c>
      <c r="D196" s="332">
        <v>2.1347226140728979</v>
      </c>
      <c r="E196" s="332">
        <v>7.790648626752783E-2</v>
      </c>
      <c r="F196" s="332">
        <v>5.532822856570889E-2</v>
      </c>
      <c r="G196" s="330"/>
      <c r="H196" s="331">
        <f t="shared" si="15"/>
        <v>2753.3153330462751</v>
      </c>
      <c r="I196" s="330"/>
      <c r="J196" s="1"/>
      <c r="K196" s="330"/>
      <c r="L196" s="1"/>
      <c r="M196" s="330"/>
      <c r="N196" s="330"/>
      <c r="O196" s="330"/>
      <c r="P196" s="330"/>
      <c r="Q196" s="329"/>
      <c r="R196" s="331">
        <f t="shared" si="16"/>
        <v>2795.2251140216663</v>
      </c>
      <c r="S196" s="331">
        <f t="shared" si="17"/>
        <v>2837.5539928068124</v>
      </c>
      <c r="T196" s="331">
        <f t="shared" si="18"/>
        <v>2880.3061603798092</v>
      </c>
      <c r="U196" s="331">
        <f t="shared" si="19"/>
        <v>2923.485849628536</v>
      </c>
      <c r="V196" s="330"/>
      <c r="W196" s="330"/>
      <c r="X196" s="330"/>
      <c r="Y196" s="333"/>
      <c r="Z196"/>
      <c r="AA196"/>
      <c r="AB196"/>
    </row>
    <row r="197" spans="1:28" x14ac:dyDescent="0.25">
      <c r="A197" s="330"/>
      <c r="B197" s="332">
        <v>5.3823144448544803E-4</v>
      </c>
      <c r="C197" s="332">
        <v>-2.5213966794975367</v>
      </c>
      <c r="D197" s="332">
        <v>3.542882090043574</v>
      </c>
      <c r="E197" s="332">
        <v>0.12830590183992588</v>
      </c>
      <c r="F197" s="332">
        <v>3.8310053465823959E-2</v>
      </c>
      <c r="G197" s="330"/>
      <c r="H197" s="331">
        <f t="shared" si="15"/>
        <v>-152.73329322123254</v>
      </c>
      <c r="I197" s="330"/>
      <c r="J197" s="1"/>
      <c r="K197" s="330"/>
      <c r="L197" s="1"/>
      <c r="M197" s="330"/>
      <c r="N197" s="330"/>
      <c r="O197" s="330"/>
      <c r="P197" s="330"/>
      <c r="Q197" s="329"/>
      <c r="R197" s="331">
        <f t="shared" si="16"/>
        <v>-107.88654081101799</v>
      </c>
      <c r="S197" s="331">
        <f t="shared" si="17"/>
        <v>-62.591320876700365</v>
      </c>
      <c r="T197" s="331">
        <f t="shared" si="18"/>
        <v>-16.843148743039819</v>
      </c>
      <c r="U197" s="331">
        <f t="shared" si="19"/>
        <v>29.362505111957034</v>
      </c>
      <c r="V197" s="330"/>
      <c r="W197" s="330"/>
      <c r="X197" s="330"/>
      <c r="Y197" s="333"/>
      <c r="Z197"/>
      <c r="AA197"/>
      <c r="AB197"/>
    </row>
    <row r="198" spans="1:28" x14ac:dyDescent="0.25">
      <c r="A198" s="330"/>
      <c r="B198" s="332"/>
      <c r="C198" s="332">
        <v>-6.9912192616909543</v>
      </c>
      <c r="D198" s="332">
        <v>6.5833255172890812</v>
      </c>
      <c r="E198" s="332"/>
      <c r="F198" s="332">
        <v>4.9153637737761706E-3</v>
      </c>
      <c r="G198" s="330"/>
      <c r="H198" s="331">
        <f t="shared" si="15"/>
        <v>-8437.1408466790454</v>
      </c>
      <c r="I198" s="330"/>
      <c r="J198" s="1"/>
      <c r="K198" s="330"/>
      <c r="L198" s="1"/>
      <c r="M198" s="330"/>
      <c r="N198" s="330"/>
      <c r="O198" s="330"/>
      <c r="P198" s="330"/>
      <c r="Q198" s="329"/>
      <c r="R198" s="331">
        <f t="shared" si="16"/>
        <v>-8396.7247236058465</v>
      </c>
      <c r="S198" s="331">
        <f t="shared" si="17"/>
        <v>-8355.904439301914</v>
      </c>
      <c r="T198" s="331">
        <f t="shared" si="18"/>
        <v>-8314.6759521549429</v>
      </c>
      <c r="U198" s="331">
        <f t="shared" si="19"/>
        <v>-8273.0351801365032</v>
      </c>
      <c r="V198" s="330"/>
      <c r="W198" s="330"/>
      <c r="X198" s="330"/>
      <c r="Y198" s="333"/>
      <c r="Z198"/>
      <c r="AA198"/>
      <c r="AB198"/>
    </row>
    <row r="199" spans="1:28" x14ac:dyDescent="0.25">
      <c r="A199" s="330"/>
      <c r="B199" s="332">
        <v>1.1315620551969956E-2</v>
      </c>
      <c r="C199" s="332">
        <v>-6.8556336615483007</v>
      </c>
      <c r="D199" s="332">
        <v>4.5807029019888663</v>
      </c>
      <c r="E199" s="332">
        <v>0.62151302311666468</v>
      </c>
      <c r="F199" s="332">
        <v>5.3479813786482873E-2</v>
      </c>
      <c r="G199" s="330"/>
      <c r="H199" s="331">
        <f t="shared" si="15"/>
        <v>-6768.7224807307412</v>
      </c>
      <c r="I199" s="330"/>
      <c r="J199" s="1"/>
      <c r="K199" s="330"/>
      <c r="L199" s="1"/>
      <c r="M199" s="330"/>
      <c r="N199" s="330"/>
      <c r="O199" s="330"/>
      <c r="P199" s="330"/>
      <c r="Q199" s="329"/>
      <c r="R199" s="331">
        <f t="shared" si="16"/>
        <v>-6685.2561433124356</v>
      </c>
      <c r="S199" s="331">
        <f t="shared" si="17"/>
        <v>-6600.955142519947</v>
      </c>
      <c r="T199" s="331">
        <f t="shared" si="18"/>
        <v>-6515.8111317195326</v>
      </c>
      <c r="U199" s="331">
        <f t="shared" si="19"/>
        <v>-6429.8156808111153</v>
      </c>
      <c r="V199" s="330"/>
      <c r="W199" s="330"/>
      <c r="X199" s="330"/>
      <c r="Y199" s="333"/>
      <c r="Z199"/>
      <c r="AA199"/>
      <c r="AB199"/>
    </row>
    <row r="200" spans="1:28" x14ac:dyDescent="0.25">
      <c r="A200" s="330"/>
      <c r="B200" s="332">
        <v>5.5692266930315523E-2</v>
      </c>
      <c r="C200" s="332">
        <v>-3.3536869238456068</v>
      </c>
      <c r="D200" s="332">
        <v>11.687835172613136</v>
      </c>
      <c r="E200" s="332">
        <v>1.7388020189395044</v>
      </c>
      <c r="F200" s="332"/>
      <c r="G200" s="330"/>
      <c r="H200" s="331">
        <f t="shared" si="15"/>
        <v>-4349.6432287758635</v>
      </c>
      <c r="I200" s="330"/>
      <c r="J200" s="1"/>
      <c r="K200" s="330"/>
      <c r="L200" s="1"/>
      <c r="M200" s="330"/>
      <c r="N200" s="330"/>
      <c r="O200" s="330"/>
      <c r="P200" s="330"/>
      <c r="Q200" s="329"/>
      <c r="R200" s="331">
        <f t="shared" si="16"/>
        <v>-4191.6019893114881</v>
      </c>
      <c r="S200" s="331">
        <f t="shared" si="17"/>
        <v>-4031.980337452469</v>
      </c>
      <c r="T200" s="331">
        <f t="shared" si="18"/>
        <v>-3870.7624690748598</v>
      </c>
      <c r="U200" s="331">
        <f t="shared" si="19"/>
        <v>-3707.9324220134749</v>
      </c>
      <c r="V200" s="330"/>
      <c r="W200" s="330"/>
      <c r="X200" s="330"/>
      <c r="Y200" s="333"/>
      <c r="Z200"/>
      <c r="AA200"/>
      <c r="AB200"/>
    </row>
    <row r="201" spans="1:28" x14ac:dyDescent="0.25">
      <c r="A201" s="330"/>
      <c r="B201" s="332">
        <v>1.4894754357907828E-2</v>
      </c>
      <c r="C201" s="332">
        <v>-0.89139204545102491</v>
      </c>
      <c r="D201" s="332">
        <v>8.8268601898639503</v>
      </c>
      <c r="E201" s="332"/>
      <c r="F201" s="332"/>
      <c r="G201" s="330"/>
      <c r="H201" s="331">
        <f t="shared" si="15"/>
        <v>-264.88070788705591</v>
      </c>
      <c r="I201" s="330"/>
      <c r="J201" s="1"/>
      <c r="K201" s="330"/>
      <c r="L201" s="1"/>
      <c r="M201" s="330"/>
      <c r="N201" s="330"/>
      <c r="O201" s="330"/>
      <c r="P201" s="330"/>
      <c r="Q201" s="329"/>
      <c r="R201" s="331">
        <f t="shared" si="16"/>
        <v>-213.72771711587302</v>
      </c>
      <c r="S201" s="331">
        <f t="shared" si="17"/>
        <v>-162.0631964369768</v>
      </c>
      <c r="T201" s="331">
        <f t="shared" si="18"/>
        <v>-109.88203055129179</v>
      </c>
      <c r="U201" s="331">
        <f t="shared" si="19"/>
        <v>-57.179053006751019</v>
      </c>
      <c r="V201" s="330"/>
      <c r="W201" s="330"/>
      <c r="X201" s="330"/>
      <c r="Y201" s="333"/>
      <c r="Z201"/>
      <c r="AA201"/>
      <c r="AB201"/>
    </row>
    <row r="202" spans="1:28" x14ac:dyDescent="0.25">
      <c r="A202" s="330"/>
      <c r="B202" s="332">
        <v>1.4536815567085758E-2</v>
      </c>
      <c r="C202" s="332">
        <v>-4.0368623344074042</v>
      </c>
      <c r="D202" s="332">
        <v>4.0699480314243557</v>
      </c>
      <c r="E202" s="332">
        <v>0.57171471217277536</v>
      </c>
      <c r="F202" s="332">
        <v>6.6991181211681128E-2</v>
      </c>
      <c r="G202" s="330"/>
      <c r="H202" s="331">
        <f t="shared" si="15"/>
        <v>-2488.9874477849521</v>
      </c>
      <c r="I202" s="330"/>
      <c r="J202" s="1"/>
      <c r="K202" s="330"/>
      <c r="L202" s="1"/>
      <c r="M202" s="330"/>
      <c r="N202" s="330"/>
      <c r="O202" s="330"/>
      <c r="P202" s="330"/>
      <c r="Q202" s="329"/>
      <c r="R202" s="331">
        <f t="shared" si="16"/>
        <v>-2404.8420292725814</v>
      </c>
      <c r="S202" s="331">
        <f t="shared" si="17"/>
        <v>-2319.8551565750845</v>
      </c>
      <c r="T202" s="331">
        <f t="shared" si="18"/>
        <v>-2234.0184151506146</v>
      </c>
      <c r="U202" s="331">
        <f t="shared" si="19"/>
        <v>-2147.3233063119005</v>
      </c>
      <c r="V202" s="330"/>
      <c r="W202" s="330"/>
      <c r="X202" s="330"/>
      <c r="Y202" s="333"/>
      <c r="Z202"/>
      <c r="AA202"/>
      <c r="AB202"/>
    </row>
    <row r="203" spans="1:28" x14ac:dyDescent="0.25">
      <c r="A203" s="330"/>
      <c r="B203" s="332">
        <v>8.0223305158280082E-3</v>
      </c>
      <c r="C203" s="332">
        <v>-2.1602735704995188</v>
      </c>
      <c r="D203" s="332">
        <v>2.8568622157930599</v>
      </c>
      <c r="E203" s="332">
        <v>0.38727868696002576</v>
      </c>
      <c r="F203" s="332">
        <v>6.0538046795780294E-2</v>
      </c>
      <c r="G203" s="330"/>
      <c r="H203" s="331">
        <f t="shared" si="15"/>
        <v>559.56906818736434</v>
      </c>
      <c r="I203" s="330"/>
      <c r="J203" s="1"/>
      <c r="K203" s="330"/>
      <c r="L203" s="1"/>
      <c r="M203" s="330"/>
      <c r="N203" s="330"/>
      <c r="O203" s="330"/>
      <c r="P203" s="330"/>
      <c r="Q203" s="329"/>
      <c r="R203" s="331">
        <f t="shared" si="16"/>
        <v>624.13210101271852</v>
      </c>
      <c r="S203" s="331">
        <f t="shared" si="17"/>
        <v>689.34076416632843</v>
      </c>
      <c r="T203" s="331">
        <f t="shared" si="18"/>
        <v>755.20151395147286</v>
      </c>
      <c r="U203" s="331">
        <f t="shared" si="19"/>
        <v>821.72087123446909</v>
      </c>
      <c r="V203" s="330"/>
      <c r="W203" s="330"/>
      <c r="X203" s="330"/>
      <c r="Y203" s="333"/>
      <c r="Z203"/>
      <c r="AA203"/>
      <c r="AB203"/>
    </row>
    <row r="204" spans="1:28" x14ac:dyDescent="0.25">
      <c r="A204" s="330"/>
      <c r="B204" s="332"/>
      <c r="C204" s="332">
        <v>-11.623976045074281</v>
      </c>
      <c r="D204" s="332">
        <v>5.6001037348244731</v>
      </c>
      <c r="E204" s="332">
        <v>0.38567410747844338</v>
      </c>
      <c r="F204" s="332"/>
      <c r="G204" s="330"/>
      <c r="H204" s="331">
        <f t="shared" si="15"/>
        <v>-15499.416905777576</v>
      </c>
      <c r="I204" s="330"/>
      <c r="J204" s="1"/>
      <c r="K204" s="330"/>
      <c r="L204" s="1"/>
      <c r="M204" s="330"/>
      <c r="N204" s="330"/>
      <c r="O204" s="330"/>
      <c r="P204" s="330"/>
      <c r="Q204" s="329"/>
      <c r="R204" s="331">
        <f t="shared" si="16"/>
        <v>-15446.93263322888</v>
      </c>
      <c r="S204" s="331">
        <f t="shared" si="17"/>
        <v>-15393.923517954692</v>
      </c>
      <c r="T204" s="331">
        <f t="shared" si="18"/>
        <v>-15340.384311527767</v>
      </c>
      <c r="U204" s="331">
        <f t="shared" si="19"/>
        <v>-15286.309713036571</v>
      </c>
      <c r="V204" s="330"/>
      <c r="W204" s="330"/>
      <c r="X204" s="330"/>
      <c r="Y204" s="333"/>
      <c r="Z204"/>
      <c r="AA204"/>
      <c r="AB204"/>
    </row>
    <row r="205" spans="1:28" x14ac:dyDescent="0.25">
      <c r="A205" s="330"/>
      <c r="B205" s="332">
        <v>2.3837210838746452E-3</v>
      </c>
      <c r="C205" s="332">
        <v>-0.34508722311769557</v>
      </c>
      <c r="D205" s="332">
        <v>2.2208358603188794</v>
      </c>
      <c r="E205" s="332">
        <v>6.6948274989028431E-2</v>
      </c>
      <c r="F205" s="332">
        <v>5.4622740001763315E-2</v>
      </c>
      <c r="G205" s="330"/>
      <c r="H205" s="331">
        <f t="shared" si="15"/>
        <v>2929.1089182242272</v>
      </c>
      <c r="I205" s="330"/>
      <c r="J205" s="1"/>
      <c r="K205" s="330"/>
      <c r="L205" s="1"/>
      <c r="M205" s="330"/>
      <c r="N205" s="330"/>
      <c r="O205" s="330"/>
      <c r="P205" s="330"/>
      <c r="Q205" s="329"/>
      <c r="R205" s="331">
        <f t="shared" si="16"/>
        <v>2970.6235458905658</v>
      </c>
      <c r="S205" s="331">
        <f t="shared" si="17"/>
        <v>3012.5533198335684</v>
      </c>
      <c r="T205" s="331">
        <f t="shared" si="18"/>
        <v>3054.9023915160005</v>
      </c>
      <c r="U205" s="331">
        <f t="shared" si="19"/>
        <v>3097.674953915257</v>
      </c>
      <c r="V205" s="330"/>
      <c r="W205" s="330"/>
      <c r="X205" s="330"/>
      <c r="Y205" s="333"/>
      <c r="Z205"/>
      <c r="AA205"/>
      <c r="AB205"/>
    </row>
    <row r="206" spans="1:28" x14ac:dyDescent="0.25">
      <c r="A206" s="330"/>
      <c r="B206" s="332"/>
      <c r="C206" s="332">
        <v>-3.2248128761866522E-2</v>
      </c>
      <c r="D206" s="332"/>
      <c r="E206" s="332"/>
      <c r="F206" s="332">
        <v>7.2228250904845734E-2</v>
      </c>
      <c r="G206" s="330"/>
      <c r="H206" s="331">
        <f t="shared" si="15"/>
        <v>3270.3585052739545</v>
      </c>
      <c r="I206" s="330"/>
      <c r="J206" s="1"/>
      <c r="K206" s="330"/>
      <c r="L206" s="1"/>
      <c r="M206" s="330"/>
      <c r="N206" s="330"/>
      <c r="O206" s="330"/>
      <c r="P206" s="330"/>
      <c r="Q206" s="329"/>
      <c r="R206" s="331">
        <f t="shared" si="16"/>
        <v>3303.6376929840194</v>
      </c>
      <c r="S206" s="331">
        <f t="shared" si="17"/>
        <v>3337.2496725711858</v>
      </c>
      <c r="T206" s="331">
        <f t="shared" si="18"/>
        <v>3371.1977719542238</v>
      </c>
      <c r="U206" s="331">
        <f t="shared" si="19"/>
        <v>3405.4853523310921</v>
      </c>
      <c r="V206" s="330"/>
      <c r="W206" s="330"/>
      <c r="X206" s="330"/>
      <c r="Y206" s="333"/>
      <c r="Z206"/>
      <c r="AA206"/>
      <c r="AB206"/>
    </row>
    <row r="207" spans="1:28" x14ac:dyDescent="0.25">
      <c r="A207" s="330"/>
      <c r="B207" s="332"/>
      <c r="C207" s="332">
        <v>-4.3419362030646245E-2</v>
      </c>
      <c r="D207" s="332"/>
      <c r="E207" s="332">
        <v>5.4312995530205388E-3</v>
      </c>
      <c r="F207" s="332">
        <v>7.2118006894394376E-2</v>
      </c>
      <c r="G207" s="330"/>
      <c r="H207" s="331">
        <f t="shared" si="15"/>
        <v>3273.5479096628915</v>
      </c>
      <c r="I207" s="330"/>
      <c r="J207" s="1"/>
      <c r="K207" s="330"/>
      <c r="L207" s="1"/>
      <c r="M207" s="330"/>
      <c r="N207" s="330"/>
      <c r="O207" s="330"/>
      <c r="P207" s="330"/>
      <c r="Q207" s="329"/>
      <c r="R207" s="331">
        <f t="shared" si="16"/>
        <v>3307.0583887711114</v>
      </c>
      <c r="S207" s="331">
        <f t="shared" si="17"/>
        <v>3340.9039726704136</v>
      </c>
      <c r="T207" s="331">
        <f t="shared" si="18"/>
        <v>3375.0880124087089</v>
      </c>
      <c r="U207" s="331">
        <f t="shared" si="19"/>
        <v>3409.6138925443875</v>
      </c>
      <c r="V207" s="330"/>
      <c r="W207" s="330"/>
      <c r="X207" s="330"/>
      <c r="Y207" s="333"/>
      <c r="Z207"/>
      <c r="AA207"/>
      <c r="AB207"/>
    </row>
    <row r="208" spans="1:28" x14ac:dyDescent="0.25">
      <c r="A208" s="330"/>
      <c r="B208" s="332"/>
      <c r="C208" s="332">
        <v>-524.38018283812323</v>
      </c>
      <c r="D208" s="332">
        <v>10.799999923018547</v>
      </c>
      <c r="E208" s="332">
        <v>3.2844257997202293</v>
      </c>
      <c r="F208" s="332">
        <v>2.6815912380225974E-3</v>
      </c>
      <c r="G208" s="330"/>
      <c r="H208" s="331">
        <f t="shared" si="15"/>
        <v>-912534.93334560015</v>
      </c>
      <c r="I208" s="330"/>
      <c r="J208" s="1"/>
      <c r="K208" s="330"/>
      <c r="L208" s="1"/>
      <c r="M208" s="330"/>
      <c r="N208" s="330"/>
      <c r="O208" s="330"/>
      <c r="P208" s="330"/>
      <c r="Q208" s="329"/>
      <c r="R208" s="331">
        <f t="shared" si="16"/>
        <v>-912300.52636824758</v>
      </c>
      <c r="S208" s="331">
        <f t="shared" si="17"/>
        <v>-912063.77532112156</v>
      </c>
      <c r="T208" s="331">
        <f t="shared" si="18"/>
        <v>-911824.65676352428</v>
      </c>
      <c r="U208" s="331">
        <f t="shared" si="19"/>
        <v>-911583.14702035103</v>
      </c>
      <c r="V208" s="330"/>
      <c r="W208" s="330"/>
      <c r="X208" s="330"/>
      <c r="Y208" s="333"/>
      <c r="Z208"/>
      <c r="AA208"/>
      <c r="AB208"/>
    </row>
    <row r="209" spans="1:28" x14ac:dyDescent="0.25">
      <c r="A209" s="330"/>
      <c r="B209" s="332">
        <v>1.0621300487701029E-2</v>
      </c>
      <c r="C209" s="332">
        <v>-1.899865421477908</v>
      </c>
      <c r="D209" s="332">
        <v>3.5197602090034623</v>
      </c>
      <c r="E209" s="332">
        <v>0.40888425154278918</v>
      </c>
      <c r="F209" s="332">
        <v>5.9851930597527178E-2</v>
      </c>
      <c r="G209" s="330"/>
      <c r="H209" s="331">
        <f t="shared" si="15"/>
        <v>827.97684474965126</v>
      </c>
      <c r="I209" s="330"/>
      <c r="J209" s="1"/>
      <c r="K209" s="330"/>
      <c r="L209" s="1"/>
      <c r="M209" s="330"/>
      <c r="N209" s="330"/>
      <c r="O209" s="330"/>
      <c r="P209" s="330"/>
      <c r="Q209" s="329"/>
      <c r="R209" s="331">
        <f t="shared" si="16"/>
        <v>897.18747553829508</v>
      </c>
      <c r="S209" s="331">
        <f t="shared" si="17"/>
        <v>967.090212634826</v>
      </c>
      <c r="T209" s="331">
        <f t="shared" si="18"/>
        <v>1037.6919771023227</v>
      </c>
      <c r="U209" s="331">
        <f t="shared" si="19"/>
        <v>1108.9997592144932</v>
      </c>
      <c r="V209" s="330"/>
      <c r="W209" s="330"/>
      <c r="X209" s="330"/>
      <c r="Y209" s="333"/>
      <c r="Z209"/>
      <c r="AA209"/>
      <c r="AB209"/>
    </row>
    <row r="210" spans="1:28" x14ac:dyDescent="0.25">
      <c r="A210" s="330"/>
      <c r="B210" s="332">
        <v>7.5517086025218852E-2</v>
      </c>
      <c r="C210" s="332">
        <v>-36.522458709106289</v>
      </c>
      <c r="D210" s="332">
        <v>5.3733808187407437</v>
      </c>
      <c r="E210" s="332">
        <v>2.8095515128022726</v>
      </c>
      <c r="F210" s="332">
        <v>0.21397676143662858</v>
      </c>
      <c r="G210" s="330"/>
      <c r="H210" s="331">
        <f t="shared" si="15"/>
        <v>-56835.638145106059</v>
      </c>
      <c r="I210" s="330"/>
      <c r="J210" s="1"/>
      <c r="K210" s="330"/>
      <c r="L210" s="1"/>
      <c r="M210" s="330"/>
      <c r="N210" s="330"/>
      <c r="O210" s="330"/>
      <c r="P210" s="330"/>
      <c r="Q210" s="329"/>
      <c r="R210" s="331">
        <f t="shared" si="16"/>
        <v>-56559.988564575622</v>
      </c>
      <c r="S210" s="331">
        <f t="shared" si="17"/>
        <v>-56281.582488239881</v>
      </c>
      <c r="T210" s="331">
        <f t="shared" si="18"/>
        <v>-56000.392351140792</v>
      </c>
      <c r="U210" s="331">
        <f t="shared" si="19"/>
        <v>-55716.390312670701</v>
      </c>
      <c r="V210" s="330"/>
      <c r="W210" s="330"/>
      <c r="X210" s="330"/>
      <c r="Y210" s="333"/>
      <c r="Z210"/>
      <c r="AA210"/>
      <c r="AB210"/>
    </row>
    <row r="211" spans="1:28" x14ac:dyDescent="0.25">
      <c r="A211" s="330"/>
      <c r="B211" s="332">
        <v>1.7617880683864072E-2</v>
      </c>
      <c r="C211" s="332">
        <v>-7.2681739202600255</v>
      </c>
      <c r="D211" s="332">
        <v>1.8913537707178067</v>
      </c>
      <c r="E211" s="332">
        <v>0.80536728738658137</v>
      </c>
      <c r="F211" s="332">
        <v>9.9036851338493284E-2</v>
      </c>
      <c r="G211" s="330"/>
      <c r="H211" s="331">
        <f t="shared" si="15"/>
        <v>-7612.912105950174</v>
      </c>
      <c r="I211" s="330"/>
      <c r="J211" s="1"/>
      <c r="K211" s="330"/>
      <c r="L211" s="1"/>
      <c r="M211" s="330"/>
      <c r="N211" s="330"/>
      <c r="O211" s="330"/>
      <c r="P211" s="330"/>
      <c r="Q211" s="329"/>
      <c r="R211" s="331">
        <f t="shared" si="16"/>
        <v>-7514.4916642307817</v>
      </c>
      <c r="S211" s="331">
        <f t="shared" si="17"/>
        <v>-7415.0870180941984</v>
      </c>
      <c r="T211" s="331">
        <f t="shared" si="18"/>
        <v>-7314.6883254962477</v>
      </c>
      <c r="U211" s="331">
        <f t="shared" si="19"/>
        <v>-7213.2856459723198</v>
      </c>
      <c r="V211" s="330"/>
      <c r="W211" s="330"/>
      <c r="X211" s="330"/>
      <c r="Y211" s="333"/>
      <c r="Z211"/>
      <c r="AA211"/>
      <c r="AB211"/>
    </row>
    <row r="212" spans="1:28" x14ac:dyDescent="0.25">
      <c r="A212" s="330"/>
      <c r="B212" s="332">
        <v>8.1727718977093588E-3</v>
      </c>
      <c r="C212" s="332">
        <v>-1.4677633626523081</v>
      </c>
      <c r="D212" s="332">
        <v>3.5440198195071</v>
      </c>
      <c r="E212" s="332">
        <v>0.28496784289522459</v>
      </c>
      <c r="F212" s="332">
        <v>5.5514441371870671E-2</v>
      </c>
      <c r="G212" s="330"/>
      <c r="H212" s="331">
        <f t="shared" si="15"/>
        <v>1392.7536444994291</v>
      </c>
      <c r="I212" s="330"/>
      <c r="J212" s="1"/>
      <c r="K212" s="330"/>
      <c r="L212" s="1"/>
      <c r="M212" s="330"/>
      <c r="N212" s="330"/>
      <c r="O212" s="330"/>
      <c r="P212" s="330"/>
      <c r="Q212" s="329"/>
      <c r="R212" s="331">
        <f t="shared" si="16"/>
        <v>1453.6704957088625</v>
      </c>
      <c r="S212" s="331">
        <f t="shared" si="17"/>
        <v>1515.1965154303907</v>
      </c>
      <c r="T212" s="331">
        <f t="shared" si="18"/>
        <v>1577.3377953491347</v>
      </c>
      <c r="U212" s="331">
        <f t="shared" si="19"/>
        <v>1640.100488067065</v>
      </c>
      <c r="V212" s="330"/>
      <c r="W212" s="330"/>
      <c r="X212" s="330"/>
      <c r="Y212" s="333"/>
      <c r="Z212"/>
      <c r="AA212"/>
      <c r="AB212"/>
    </row>
    <row r="213" spans="1:28" x14ac:dyDescent="0.25">
      <c r="A213" s="330"/>
      <c r="B213" s="332">
        <v>1.7826596156989852E-2</v>
      </c>
      <c r="C213" s="332">
        <v>-7.3329643921908181</v>
      </c>
      <c r="D213" s="332">
        <v>1.9079453338435139</v>
      </c>
      <c r="E213" s="332">
        <v>0.81226225976758948</v>
      </c>
      <c r="F213" s="332">
        <v>9.9385727068347973E-2</v>
      </c>
      <c r="G213" s="330"/>
      <c r="H213" s="331">
        <f t="shared" si="15"/>
        <v>-7720.153436415344</v>
      </c>
      <c r="I213" s="330"/>
      <c r="J213" s="1"/>
      <c r="K213" s="330"/>
      <c r="L213" s="1"/>
      <c r="M213" s="330"/>
      <c r="N213" s="330"/>
      <c r="O213" s="330"/>
      <c r="P213" s="330"/>
      <c r="Q213" s="329"/>
      <c r="R213" s="331">
        <f t="shared" si="16"/>
        <v>-7621.117994091228</v>
      </c>
      <c r="S213" s="331">
        <f t="shared" si="17"/>
        <v>-7521.0921973438735</v>
      </c>
      <c r="T213" s="331">
        <f t="shared" si="18"/>
        <v>-7420.0661426290462</v>
      </c>
      <c r="U213" s="331">
        <f t="shared" si="19"/>
        <v>-7318.0298273670696</v>
      </c>
      <c r="V213" s="330"/>
      <c r="W213" s="330"/>
      <c r="X213" s="330"/>
      <c r="Y213" s="333"/>
      <c r="Z213"/>
      <c r="AA213"/>
      <c r="AB213"/>
    </row>
    <row r="214" spans="1:28" x14ac:dyDescent="0.25">
      <c r="A214" s="330"/>
      <c r="B214" s="332"/>
      <c r="C214" s="332">
        <v>-3.2248128761867417E-2</v>
      </c>
      <c r="D214" s="332"/>
      <c r="E214" s="332"/>
      <c r="F214" s="332">
        <v>7.2228250904845748E-2</v>
      </c>
      <c r="G214" s="330"/>
      <c r="H214" s="331">
        <f t="shared" si="15"/>
        <v>3270.3585052739531</v>
      </c>
      <c r="I214" s="330"/>
      <c r="J214" s="1"/>
      <c r="K214" s="330"/>
      <c r="L214" s="1"/>
      <c r="M214" s="330"/>
      <c r="N214" s="330"/>
      <c r="O214" s="330"/>
      <c r="P214" s="330"/>
      <c r="Q214" s="329"/>
      <c r="R214" s="331">
        <f t="shared" si="16"/>
        <v>3303.6376929840185</v>
      </c>
      <c r="S214" s="331">
        <f t="shared" si="17"/>
        <v>3337.2496725711844</v>
      </c>
      <c r="T214" s="331">
        <f t="shared" si="18"/>
        <v>3371.1977719542224</v>
      </c>
      <c r="U214" s="331">
        <f t="shared" si="19"/>
        <v>3405.4853523310908</v>
      </c>
      <c r="V214" s="330"/>
      <c r="W214" s="330"/>
      <c r="X214" s="330"/>
      <c r="Y214" s="333"/>
      <c r="Z214"/>
      <c r="AA214"/>
      <c r="AB214"/>
    </row>
    <row r="215" spans="1:28" x14ac:dyDescent="0.25">
      <c r="A215" s="330"/>
      <c r="B215" s="332">
        <v>9.0276012526404172E-4</v>
      </c>
      <c r="C215" s="332">
        <v>-0.33739884549864391</v>
      </c>
      <c r="D215" s="332">
        <v>2.43446498858789</v>
      </c>
      <c r="E215" s="332">
        <v>2.5666838618186364E-2</v>
      </c>
      <c r="F215" s="332">
        <v>4.8467516321520396E-2</v>
      </c>
      <c r="G215" s="330"/>
      <c r="H215" s="331">
        <f t="shared" si="15"/>
        <v>2945.372909040746</v>
      </c>
      <c r="I215" s="330"/>
      <c r="J215" s="1"/>
      <c r="K215" s="330"/>
      <c r="L215" s="1"/>
      <c r="M215" s="330"/>
      <c r="N215" s="330"/>
      <c r="O215" s="330"/>
      <c r="P215" s="330"/>
      <c r="Q215" s="329"/>
      <c r="R215" s="331">
        <f t="shared" si="16"/>
        <v>2983.1454875230279</v>
      </c>
      <c r="S215" s="331">
        <f t="shared" si="17"/>
        <v>3021.2957917901326</v>
      </c>
      <c r="T215" s="331">
        <f t="shared" si="18"/>
        <v>3059.8275990999086</v>
      </c>
      <c r="U215" s="331">
        <f t="shared" si="19"/>
        <v>3098.7447244827817</v>
      </c>
      <c r="V215" s="330"/>
      <c r="W215" s="330"/>
      <c r="X215" s="330"/>
      <c r="Y215" s="333"/>
      <c r="Z215"/>
      <c r="AA215"/>
      <c r="AB215"/>
    </row>
    <row r="216" spans="1:28" x14ac:dyDescent="0.25">
      <c r="A216" s="330"/>
      <c r="B216" s="332">
        <v>1.7617880683863933E-2</v>
      </c>
      <c r="C216" s="332">
        <v>-7.2681739202599829</v>
      </c>
      <c r="D216" s="332">
        <v>1.8913537707178043</v>
      </c>
      <c r="E216" s="332">
        <v>0.80536728738657681</v>
      </c>
      <c r="F216" s="332">
        <v>9.9036851338492979E-2</v>
      </c>
      <c r="G216" s="330"/>
      <c r="H216" s="331">
        <f t="shared" si="15"/>
        <v>-7612.9121059501003</v>
      </c>
      <c r="I216" s="330"/>
      <c r="J216" s="1"/>
      <c r="K216" s="330"/>
      <c r="L216" s="1"/>
      <c r="M216" s="330"/>
      <c r="N216" s="330"/>
      <c r="O216" s="330"/>
      <c r="P216" s="330"/>
      <c r="Q216" s="329"/>
      <c r="R216" s="331">
        <f t="shared" si="16"/>
        <v>-7514.4916642307107</v>
      </c>
      <c r="S216" s="331">
        <f t="shared" si="17"/>
        <v>-7415.0870180941274</v>
      </c>
      <c r="T216" s="331">
        <f t="shared" si="18"/>
        <v>-7314.6883254961767</v>
      </c>
      <c r="U216" s="331">
        <f t="shared" si="19"/>
        <v>-7213.285645972247</v>
      </c>
      <c r="V216" s="330"/>
      <c r="W216" s="330"/>
      <c r="X216" s="330"/>
      <c r="Y216" s="333"/>
      <c r="Z216"/>
      <c r="AA216"/>
      <c r="AB216"/>
    </row>
    <row r="217" spans="1:28" x14ac:dyDescent="0.25">
      <c r="A217" s="330"/>
      <c r="B217" s="332">
        <v>4.1726196166117912E-4</v>
      </c>
      <c r="C217" s="332">
        <v>-0.35106064100141826</v>
      </c>
      <c r="D217" s="332">
        <v>2.7773220512285777</v>
      </c>
      <c r="E217" s="332">
        <v>2.4708878370364246E-2</v>
      </c>
      <c r="F217" s="332">
        <v>4.179504641198846E-2</v>
      </c>
      <c r="G217" s="330"/>
      <c r="H217" s="331">
        <f t="shared" si="15"/>
        <v>2930.7761911434372</v>
      </c>
      <c r="I217" s="330"/>
      <c r="J217" s="1"/>
      <c r="K217" s="330"/>
      <c r="L217" s="1"/>
      <c r="M217" s="330"/>
      <c r="N217" s="330"/>
      <c r="O217" s="330"/>
      <c r="P217" s="330"/>
      <c r="Q217" s="329"/>
      <c r="R217" s="331">
        <f t="shared" si="16"/>
        <v>2967.4115819860372</v>
      </c>
      <c r="S217" s="331">
        <f t="shared" si="17"/>
        <v>3004.4133267370635</v>
      </c>
      <c r="T217" s="331">
        <f t="shared" si="18"/>
        <v>3041.7850889356</v>
      </c>
      <c r="U217" s="331">
        <f t="shared" si="19"/>
        <v>3079.5305687561217</v>
      </c>
      <c r="V217" s="330"/>
      <c r="W217" s="330"/>
      <c r="X217" s="330"/>
      <c r="Y217" s="333"/>
      <c r="Z217"/>
      <c r="AA217"/>
      <c r="AB217"/>
    </row>
    <row r="218" spans="1:28" x14ac:dyDescent="0.25">
      <c r="A218" s="330"/>
      <c r="B218" s="332">
        <v>4.172619616611737E-4</v>
      </c>
      <c r="C218" s="332">
        <v>-0.35106064100139972</v>
      </c>
      <c r="D218" s="332">
        <v>2.7773220512285093</v>
      </c>
      <c r="E218" s="332">
        <v>2.4708878370366442E-2</v>
      </c>
      <c r="F218" s="332">
        <v>4.1795046411988904E-2</v>
      </c>
      <c r="G218" s="330"/>
      <c r="H218" s="331">
        <f t="shared" si="15"/>
        <v>2930.7761911434636</v>
      </c>
      <c r="I218" s="330"/>
      <c r="J218" s="1"/>
      <c r="K218" s="330"/>
      <c r="L218" s="1"/>
      <c r="M218" s="330"/>
      <c r="N218" s="330"/>
      <c r="O218" s="330"/>
      <c r="P218" s="330"/>
      <c r="Q218" s="329"/>
      <c r="R218" s="331">
        <f t="shared" si="16"/>
        <v>2967.4115819860635</v>
      </c>
      <c r="S218" s="331">
        <f t="shared" si="17"/>
        <v>3004.4133267370898</v>
      </c>
      <c r="T218" s="331">
        <f t="shared" si="18"/>
        <v>3041.7850889356268</v>
      </c>
      <c r="U218" s="331">
        <f t="shared" si="19"/>
        <v>3079.5305687561486</v>
      </c>
      <c r="V218" s="330"/>
      <c r="W218" s="330"/>
      <c r="X218" s="330"/>
      <c r="Y218" s="333"/>
      <c r="Z218"/>
      <c r="AA218"/>
      <c r="AB218"/>
    </row>
    <row r="219" spans="1:28" x14ac:dyDescent="0.25">
      <c r="A219" s="330"/>
      <c r="B219" s="332"/>
      <c r="C219" s="332">
        <v>-4.3419362030646322E-2</v>
      </c>
      <c r="D219" s="332"/>
      <c r="E219" s="332">
        <v>5.4312995530206472E-3</v>
      </c>
      <c r="F219" s="332">
        <v>7.211800689439439E-2</v>
      </c>
      <c r="G219" s="330"/>
      <c r="H219" s="331">
        <f t="shared" si="15"/>
        <v>3273.5479096628928</v>
      </c>
      <c r="I219" s="330"/>
      <c r="J219" s="1"/>
      <c r="K219" s="330"/>
      <c r="L219" s="1"/>
      <c r="M219" s="330"/>
      <c r="N219" s="330"/>
      <c r="O219" s="330"/>
      <c r="P219" s="330"/>
      <c r="Q219" s="329"/>
      <c r="R219" s="331">
        <f t="shared" si="16"/>
        <v>3307.0583887711127</v>
      </c>
      <c r="S219" s="331">
        <f t="shared" si="17"/>
        <v>3340.903972670415</v>
      </c>
      <c r="T219" s="331">
        <f t="shared" si="18"/>
        <v>3375.0880124087098</v>
      </c>
      <c r="U219" s="331">
        <f t="shared" si="19"/>
        <v>3409.6138925443884</v>
      </c>
      <c r="V219" s="330"/>
      <c r="W219" s="330"/>
      <c r="X219" s="330"/>
      <c r="Y219" s="333"/>
      <c r="Z219"/>
      <c r="AA219"/>
      <c r="AB219"/>
    </row>
    <row r="220" spans="1:28" x14ac:dyDescent="0.25">
      <c r="A220" s="330"/>
      <c r="B220" s="332"/>
      <c r="C220" s="332">
        <v>-3.224812876186782E-2</v>
      </c>
      <c r="D220" s="332"/>
      <c r="E220" s="332"/>
      <c r="F220" s="332">
        <v>7.2228250904845734E-2</v>
      </c>
      <c r="G220" s="330"/>
      <c r="H220" s="331">
        <f t="shared" si="15"/>
        <v>3270.3585052739522</v>
      </c>
      <c r="I220" s="330"/>
      <c r="J220" s="1"/>
      <c r="K220" s="330"/>
      <c r="L220" s="1"/>
      <c r="M220" s="330"/>
      <c r="N220" s="330"/>
      <c r="O220" s="330"/>
      <c r="P220" s="330"/>
      <c r="Q220" s="329"/>
      <c r="R220" s="331">
        <f t="shared" si="16"/>
        <v>3303.6376929840171</v>
      </c>
      <c r="S220" s="331">
        <f t="shared" si="17"/>
        <v>3337.2496725711835</v>
      </c>
      <c r="T220" s="331">
        <f t="shared" si="18"/>
        <v>3371.1977719542215</v>
      </c>
      <c r="U220" s="331">
        <f t="shared" si="19"/>
        <v>3405.4853523310899</v>
      </c>
      <c r="V220" s="330"/>
      <c r="W220" s="330"/>
      <c r="X220" s="330"/>
      <c r="Y220" s="333"/>
      <c r="Z220"/>
      <c r="AA220"/>
      <c r="AB220"/>
    </row>
    <row r="221" spans="1:28" x14ac:dyDescent="0.25">
      <c r="A221" s="330"/>
      <c r="B221" s="332">
        <v>4.1726196166119137E-4</v>
      </c>
      <c r="C221" s="332">
        <v>-0.35106064100140022</v>
      </c>
      <c r="D221" s="332">
        <v>2.7773220512285177</v>
      </c>
      <c r="E221" s="332">
        <v>2.4708878370366633E-2</v>
      </c>
      <c r="F221" s="332">
        <v>4.1795046411988848E-2</v>
      </c>
      <c r="G221" s="330"/>
      <c r="H221" s="331">
        <f t="shared" si="15"/>
        <v>2930.7761911434618</v>
      </c>
      <c r="I221" s="330"/>
      <c r="J221" s="1"/>
      <c r="K221" s="330"/>
      <c r="L221" s="1"/>
      <c r="M221" s="330"/>
      <c r="N221" s="330"/>
      <c r="O221" s="330"/>
      <c r="P221" s="330"/>
      <c r="Q221" s="329"/>
      <c r="R221" s="331">
        <f t="shared" si="16"/>
        <v>2967.4115819860617</v>
      </c>
      <c r="S221" s="331">
        <f t="shared" si="17"/>
        <v>3004.413326737088</v>
      </c>
      <c r="T221" s="331">
        <f t="shared" si="18"/>
        <v>3041.785088935625</v>
      </c>
      <c r="U221" s="331">
        <f t="shared" si="19"/>
        <v>3079.5305687561463</v>
      </c>
      <c r="V221" s="330"/>
      <c r="W221" s="330"/>
      <c r="X221" s="330"/>
      <c r="Y221" s="333"/>
      <c r="Z221"/>
      <c r="AA221"/>
      <c r="AB221"/>
    </row>
    <row r="222" spans="1:28" x14ac:dyDescent="0.25">
      <c r="A222" s="330"/>
      <c r="B222" s="332">
        <v>1.3066067155540324E-2</v>
      </c>
      <c r="C222" s="332">
        <v>-3.1529662836791839</v>
      </c>
      <c r="D222" s="332">
        <v>4.00442997137191</v>
      </c>
      <c r="E222" s="332">
        <v>0.50054682360829572</v>
      </c>
      <c r="F222" s="332">
        <v>6.3157838178868567E-2</v>
      </c>
      <c r="G222" s="330"/>
      <c r="H222" s="331">
        <f t="shared" si="15"/>
        <v>-1121.3736945595583</v>
      </c>
      <c r="I222" s="330"/>
      <c r="J222" s="1"/>
      <c r="K222" s="330"/>
      <c r="L222" s="1"/>
      <c r="M222" s="330"/>
      <c r="N222" s="330"/>
      <c r="O222" s="330"/>
      <c r="P222" s="330"/>
      <c r="Q222" s="329"/>
      <c r="R222" s="331">
        <f t="shared" si="16"/>
        <v>-1043.070436163765</v>
      </c>
      <c r="S222" s="331">
        <f t="shared" si="17"/>
        <v>-963.9841451840125</v>
      </c>
      <c r="T222" s="331">
        <f t="shared" si="18"/>
        <v>-884.10699129446402</v>
      </c>
      <c r="U222" s="331">
        <f t="shared" si="19"/>
        <v>-803.43106586601925</v>
      </c>
      <c r="V222" s="330"/>
      <c r="W222" s="330"/>
      <c r="X222" s="330"/>
      <c r="Y222" s="333"/>
      <c r="Z222"/>
      <c r="AA222"/>
      <c r="AB222"/>
    </row>
    <row r="223" spans="1:28" x14ac:dyDescent="0.25">
      <c r="A223" s="330"/>
      <c r="B223" s="332">
        <v>1.8032181521232375E-3</v>
      </c>
      <c r="C223" s="332">
        <v>-0.54844932333236363</v>
      </c>
      <c r="D223" s="332">
        <v>2.1347226140729219</v>
      </c>
      <c r="E223" s="332">
        <v>7.7906486267530495E-2</v>
      </c>
      <c r="F223" s="332">
        <v>5.5328228565708772E-2</v>
      </c>
      <c r="G223" s="330"/>
      <c r="H223" s="331">
        <f t="shared" si="15"/>
        <v>2753.3153330462624</v>
      </c>
      <c r="I223" s="330"/>
      <c r="J223" s="1"/>
      <c r="K223" s="330"/>
      <c r="L223" s="1"/>
      <c r="M223" s="330"/>
      <c r="N223" s="330"/>
      <c r="O223" s="330"/>
      <c r="P223" s="330"/>
      <c r="Q223" s="329"/>
      <c r="R223" s="331">
        <f t="shared" si="16"/>
        <v>2795.2251140216545</v>
      </c>
      <c r="S223" s="331">
        <f t="shared" si="17"/>
        <v>2837.5539928067997</v>
      </c>
      <c r="T223" s="331">
        <f t="shared" si="18"/>
        <v>2880.3061603797978</v>
      </c>
      <c r="U223" s="331">
        <f t="shared" si="19"/>
        <v>2923.4858496285251</v>
      </c>
      <c r="V223" s="330"/>
      <c r="W223" s="330"/>
      <c r="X223" s="330"/>
      <c r="Y223" s="333"/>
      <c r="Z223"/>
      <c r="AA223"/>
      <c r="AB223"/>
    </row>
    <row r="224" spans="1:28" x14ac:dyDescent="0.25">
      <c r="A224" s="330"/>
      <c r="B224" s="332">
        <v>4.1726196166116773E-4</v>
      </c>
      <c r="C224" s="332">
        <v>-0.35106064100140016</v>
      </c>
      <c r="D224" s="332">
        <v>2.7773220512285182</v>
      </c>
      <c r="E224" s="332">
        <v>2.4708878370365894E-2</v>
      </c>
      <c r="F224" s="332">
        <v>4.1795046411988772E-2</v>
      </c>
      <c r="G224" s="330"/>
      <c r="H224" s="331">
        <f t="shared" si="15"/>
        <v>2930.7761911434609</v>
      </c>
      <c r="I224" s="330"/>
      <c r="J224" s="1"/>
      <c r="K224" s="330"/>
      <c r="L224" s="1"/>
      <c r="M224" s="330"/>
      <c r="N224" s="330"/>
      <c r="O224" s="330"/>
      <c r="P224" s="330"/>
      <c r="Q224" s="329"/>
      <c r="R224" s="331">
        <f t="shared" si="16"/>
        <v>2967.4115819860608</v>
      </c>
      <c r="S224" s="331">
        <f t="shared" si="17"/>
        <v>3004.4133267370871</v>
      </c>
      <c r="T224" s="331">
        <f t="shared" si="18"/>
        <v>3041.7850889356232</v>
      </c>
      <c r="U224" s="331">
        <f t="shared" si="19"/>
        <v>3079.5305687561449</v>
      </c>
      <c r="V224" s="330"/>
      <c r="W224" s="330"/>
      <c r="X224" s="330"/>
      <c r="Y224" s="333"/>
      <c r="Z224"/>
      <c r="AA224"/>
      <c r="AB224"/>
    </row>
    <row r="225" spans="1:28" x14ac:dyDescent="0.25">
      <c r="A225" s="330"/>
      <c r="B225" s="332">
        <v>2.6577967473143914E-3</v>
      </c>
      <c r="C225" s="332">
        <v>0.13510774096279862</v>
      </c>
      <c r="D225" s="332">
        <v>2.9339357692457435</v>
      </c>
      <c r="E225" s="332">
        <v>0.18708669760458449</v>
      </c>
      <c r="F225" s="332"/>
      <c r="G225" s="330"/>
      <c r="H225" s="331">
        <f t="shared" si="15"/>
        <v>2236.9675675357412</v>
      </c>
      <c r="I225" s="330"/>
      <c r="J225" s="1"/>
      <c r="K225" s="330"/>
      <c r="L225" s="1"/>
      <c r="M225" s="330"/>
      <c r="N225" s="330"/>
      <c r="O225" s="330"/>
      <c r="P225" s="330"/>
      <c r="Q225" s="329"/>
      <c r="R225" s="331">
        <f t="shared" si="16"/>
        <v>2263.686924029068</v>
      </c>
      <c r="S225" s="331">
        <f t="shared" si="17"/>
        <v>2290.6734740873285</v>
      </c>
      <c r="T225" s="331">
        <f t="shared" si="18"/>
        <v>2317.9298896461714</v>
      </c>
      <c r="U225" s="331">
        <f t="shared" si="19"/>
        <v>2345.4588693606024</v>
      </c>
      <c r="V225" s="330"/>
      <c r="W225" s="330"/>
      <c r="X225" s="330"/>
      <c r="Y225" s="333"/>
      <c r="Z225"/>
      <c r="AA225"/>
      <c r="AB225"/>
    </row>
    <row r="226" spans="1:28" x14ac:dyDescent="0.25">
      <c r="A226" s="330"/>
      <c r="B226" s="332">
        <v>1.1933939432497028E-3</v>
      </c>
      <c r="C226" s="332">
        <v>-0.46223894837675816</v>
      </c>
      <c r="D226" s="332">
        <v>2.4049899995505428</v>
      </c>
      <c r="E226" s="332">
        <v>4.6990378898723088E-2</v>
      </c>
      <c r="F226" s="332">
        <v>5.0300317884589975E-2</v>
      </c>
      <c r="G226" s="330"/>
      <c r="H226" s="331">
        <f t="shared" si="15"/>
        <v>2826.7220431781129</v>
      </c>
      <c r="I226" s="330"/>
      <c r="J226" s="1"/>
      <c r="K226" s="330"/>
      <c r="L226" s="1"/>
      <c r="M226" s="330"/>
      <c r="N226" s="330"/>
      <c r="O226" s="330"/>
      <c r="P226" s="330"/>
      <c r="Q226" s="329"/>
      <c r="R226" s="331">
        <f t="shared" si="16"/>
        <v>2866.2757579477884</v>
      </c>
      <c r="S226" s="331">
        <f t="shared" si="17"/>
        <v>2906.2250098651602</v>
      </c>
      <c r="T226" s="331">
        <f t="shared" si="18"/>
        <v>2946.5737543017062</v>
      </c>
      <c r="U226" s="331">
        <f t="shared" si="19"/>
        <v>2987.3259861826173</v>
      </c>
      <c r="V226" s="330"/>
      <c r="W226" s="330"/>
      <c r="X226" s="330"/>
      <c r="Y226" s="333"/>
      <c r="Z226"/>
      <c r="AA226"/>
      <c r="AB226"/>
    </row>
    <row r="227" spans="1:28" x14ac:dyDescent="0.25">
      <c r="A227" s="330"/>
      <c r="B227" s="332">
        <v>2.080322138276264E-4</v>
      </c>
      <c r="C227" s="332">
        <v>-0.61242470933788706</v>
      </c>
      <c r="D227" s="332">
        <v>3.2109122542622841</v>
      </c>
      <c r="E227" s="332">
        <v>2.0569774230713669E-2</v>
      </c>
      <c r="F227" s="332">
        <v>3.8692402552793229E-2</v>
      </c>
      <c r="G227" s="330"/>
      <c r="H227" s="331">
        <f t="shared" si="15"/>
        <v>2604.3096386111347</v>
      </c>
      <c r="I227" s="330"/>
      <c r="J227" s="1"/>
      <c r="K227" s="330"/>
      <c r="L227" s="1"/>
      <c r="M227" s="330"/>
      <c r="N227" s="330"/>
      <c r="O227" s="330"/>
      <c r="P227" s="330"/>
      <c r="Q227" s="329"/>
      <c r="R227" s="331">
        <f t="shared" si="16"/>
        <v>2641.8132328625165</v>
      </c>
      <c r="S227" s="331">
        <f t="shared" si="17"/>
        <v>2679.6918630564119</v>
      </c>
      <c r="T227" s="331">
        <f t="shared" si="18"/>
        <v>2717.9492795522465</v>
      </c>
      <c r="U227" s="331">
        <f t="shared" si="19"/>
        <v>2756.5892702130386</v>
      </c>
      <c r="V227" s="330"/>
      <c r="W227" s="330"/>
      <c r="X227" s="330"/>
      <c r="Y227" s="333"/>
      <c r="Z227"/>
      <c r="AA227"/>
      <c r="AB227"/>
    </row>
    <row r="228" spans="1:28" x14ac:dyDescent="0.25">
      <c r="A228" s="330"/>
      <c r="B228" s="332"/>
      <c r="C228" s="332">
        <v>-0.25557541240004178</v>
      </c>
      <c r="D228" s="332">
        <v>1.6121937030188234</v>
      </c>
      <c r="E228" s="332">
        <v>3.1099668764357498E-2</v>
      </c>
      <c r="F228" s="332">
        <v>5.3288959239654703E-2</v>
      </c>
      <c r="G228" s="330"/>
      <c r="H228" s="331">
        <f t="shared" si="15"/>
        <v>3094.9227457063971</v>
      </c>
      <c r="I228" s="330"/>
      <c r="J228" s="1"/>
      <c r="K228" s="330"/>
      <c r="L228" s="1"/>
      <c r="M228" s="330"/>
      <c r="N228" s="330"/>
      <c r="O228" s="330"/>
      <c r="P228" s="330"/>
      <c r="Q228" s="329"/>
      <c r="R228" s="331">
        <f t="shared" si="16"/>
        <v>3130.4337847219213</v>
      </c>
      <c r="S228" s="331">
        <f t="shared" si="17"/>
        <v>3166.2999341276018</v>
      </c>
      <c r="T228" s="331">
        <f t="shared" si="18"/>
        <v>3202.5247450273391</v>
      </c>
      <c r="U228" s="331">
        <f t="shared" si="19"/>
        <v>3239.1118040360734</v>
      </c>
      <c r="V228" s="330"/>
      <c r="W228" s="330"/>
      <c r="X228" s="330"/>
      <c r="Y228" s="333"/>
      <c r="Z228"/>
      <c r="AA228"/>
      <c r="AB228"/>
    </row>
    <row r="229" spans="1:28" x14ac:dyDescent="0.25">
      <c r="A229" s="330"/>
      <c r="B229" s="332">
        <v>1.1518314197504083E-3</v>
      </c>
      <c r="C229" s="332">
        <v>-0.5639530474582638</v>
      </c>
      <c r="D229" s="332">
        <v>2.5073007811005272</v>
      </c>
      <c r="E229" s="332">
        <v>5.1211545943284982E-2</v>
      </c>
      <c r="F229" s="332">
        <v>4.9786195139647604E-2</v>
      </c>
      <c r="G229" s="330"/>
      <c r="H229" s="331">
        <f t="shared" si="15"/>
        <v>2713.2698975875037</v>
      </c>
      <c r="I229" s="330"/>
      <c r="J229" s="1"/>
      <c r="K229" s="330"/>
      <c r="L229" s="1"/>
      <c r="M229" s="330"/>
      <c r="N229" s="330"/>
      <c r="O229" s="330"/>
      <c r="P229" s="330"/>
      <c r="Q229" s="329"/>
      <c r="R229" s="331">
        <f t="shared" si="16"/>
        <v>2753.3988721100222</v>
      </c>
      <c r="S229" s="331">
        <f t="shared" si="17"/>
        <v>2793.9291363777666</v>
      </c>
      <c r="T229" s="331">
        <f t="shared" si="18"/>
        <v>2834.8647032881886</v>
      </c>
      <c r="U229" s="331">
        <f t="shared" si="19"/>
        <v>2876.2096258677143</v>
      </c>
      <c r="V229" s="330"/>
      <c r="W229" s="330"/>
      <c r="X229" s="330"/>
      <c r="Y229" s="333"/>
      <c r="Z229"/>
      <c r="AA229"/>
      <c r="AB229"/>
    </row>
    <row r="230" spans="1:28" x14ac:dyDescent="0.25">
      <c r="A230" s="330"/>
      <c r="B230" s="332"/>
      <c r="C230" s="332">
        <v>-1.9434322159354227</v>
      </c>
      <c r="D230" s="332">
        <v>0.87278412317442833</v>
      </c>
      <c r="E230" s="332">
        <v>0.2093383222214304</v>
      </c>
      <c r="F230" s="332">
        <v>6.1940148098812736E-2</v>
      </c>
      <c r="G230" s="330"/>
      <c r="H230" s="331">
        <f t="shared" si="15"/>
        <v>978.06270281053048</v>
      </c>
      <c r="I230" s="330"/>
      <c r="J230" s="1"/>
      <c r="K230" s="330"/>
      <c r="L230" s="1"/>
      <c r="M230" s="330"/>
      <c r="N230" s="330"/>
      <c r="O230" s="330"/>
      <c r="P230" s="330"/>
      <c r="Q230" s="329"/>
      <c r="R230" s="331">
        <f t="shared" si="16"/>
        <v>1022.5320014228275</v>
      </c>
      <c r="S230" s="331">
        <f t="shared" si="17"/>
        <v>1067.4459930212481</v>
      </c>
      <c r="T230" s="331">
        <f t="shared" si="18"/>
        <v>1112.8091245356525</v>
      </c>
      <c r="U230" s="331">
        <f t="shared" si="19"/>
        <v>1158.6258873652014</v>
      </c>
      <c r="V230" s="330"/>
      <c r="W230" s="330"/>
      <c r="X230" s="330"/>
      <c r="Y230" s="333"/>
      <c r="Z230"/>
      <c r="AA230"/>
      <c r="AB230"/>
    </row>
    <row r="231" spans="1:28" x14ac:dyDescent="0.25">
      <c r="A231" s="330"/>
      <c r="B231" s="332"/>
      <c r="C231" s="332">
        <v>0.1099598056503983</v>
      </c>
      <c r="D231" s="332">
        <v>3.220366196974366</v>
      </c>
      <c r="E231" s="332"/>
      <c r="F231" s="332"/>
      <c r="G231" s="330"/>
      <c r="H231" s="331">
        <f t="shared" si="15"/>
        <v>2062.5201895217651</v>
      </c>
      <c r="I231" s="330"/>
      <c r="J231" s="1"/>
      <c r="K231" s="330"/>
      <c r="L231" s="1"/>
      <c r="M231" s="330"/>
      <c r="N231" s="330"/>
      <c r="O231" s="330"/>
      <c r="P231" s="330"/>
      <c r="Q231" s="329"/>
      <c r="R231" s="331">
        <f t="shared" si="16"/>
        <v>2081.1826990450068</v>
      </c>
      <c r="S231" s="331">
        <f t="shared" si="17"/>
        <v>2100.0318336634814</v>
      </c>
      <c r="T231" s="331">
        <f t="shared" si="18"/>
        <v>2119.069459628141</v>
      </c>
      <c r="U231" s="331">
        <f t="shared" si="19"/>
        <v>2138.2974618524463</v>
      </c>
      <c r="V231" s="330"/>
      <c r="W231" s="330"/>
      <c r="X231" s="330"/>
      <c r="Y231" s="333"/>
      <c r="Z231"/>
      <c r="AA231"/>
      <c r="AB231"/>
    </row>
    <row r="232" spans="1:28" x14ac:dyDescent="0.25">
      <c r="A232" s="330"/>
      <c r="B232" s="332"/>
      <c r="C232" s="332">
        <v>-0.49167400461451327</v>
      </c>
      <c r="D232" s="332">
        <v>3.288607034944365</v>
      </c>
      <c r="E232" s="332">
        <v>0.23834664131230049</v>
      </c>
      <c r="F232" s="332"/>
      <c r="G232" s="330"/>
      <c r="H232" s="331">
        <f t="shared" si="15"/>
        <v>2266.1049005885607</v>
      </c>
      <c r="I232" s="330"/>
      <c r="J232" s="1"/>
      <c r="K232" s="330"/>
      <c r="L232" s="1"/>
      <c r="M232" s="330"/>
      <c r="N232" s="330"/>
      <c r="O232" s="330"/>
      <c r="P232" s="330"/>
      <c r="Q232" s="329"/>
      <c r="R232" s="331">
        <f t="shared" si="16"/>
        <v>2297.5419274406031</v>
      </c>
      <c r="S232" s="331">
        <f t="shared" si="17"/>
        <v>2329.2933245611666</v>
      </c>
      <c r="T232" s="331">
        <f t="shared" si="18"/>
        <v>2361.3622356529359</v>
      </c>
      <c r="U232" s="331">
        <f t="shared" si="19"/>
        <v>2393.7518358556222</v>
      </c>
      <c r="V232" s="330"/>
      <c r="W232" s="330"/>
      <c r="X232" s="330"/>
      <c r="Y232" s="333"/>
      <c r="Z232"/>
      <c r="AA232"/>
      <c r="AB232"/>
    </row>
    <row r="233" spans="1:28" x14ac:dyDescent="0.25">
      <c r="A233" s="330"/>
      <c r="B233" s="332">
        <v>4.1726196166118009E-4</v>
      </c>
      <c r="C233" s="332">
        <v>-0.35106064100140216</v>
      </c>
      <c r="D233" s="332">
        <v>2.7773220512285186</v>
      </c>
      <c r="E233" s="332">
        <v>2.4708878370366193E-2</v>
      </c>
      <c r="F233" s="332">
        <v>4.1795046411988834E-2</v>
      </c>
      <c r="G233" s="330"/>
      <c r="H233" s="331">
        <f t="shared" si="15"/>
        <v>2930.7761911434582</v>
      </c>
      <c r="I233" s="330"/>
      <c r="J233" s="1"/>
      <c r="K233" s="330"/>
      <c r="L233" s="1"/>
      <c r="M233" s="330"/>
      <c r="N233" s="330"/>
      <c r="O233" s="330"/>
      <c r="P233" s="330"/>
      <c r="Q233" s="329"/>
      <c r="R233" s="331">
        <f t="shared" si="16"/>
        <v>2967.4115819860585</v>
      </c>
      <c r="S233" s="331">
        <f t="shared" si="17"/>
        <v>3004.4133267370848</v>
      </c>
      <c r="T233" s="331">
        <f t="shared" si="18"/>
        <v>3041.7850889356214</v>
      </c>
      <c r="U233" s="331">
        <f t="shared" si="19"/>
        <v>3079.5305687561431</v>
      </c>
      <c r="V233" s="330"/>
      <c r="W233" s="330"/>
      <c r="X233" s="330"/>
      <c r="Y233" s="333"/>
      <c r="Z233"/>
      <c r="AA233"/>
      <c r="AB233"/>
    </row>
    <row r="234" spans="1:28" x14ac:dyDescent="0.25">
      <c r="A234" s="330"/>
      <c r="B234" s="332">
        <v>0.10587958055254455</v>
      </c>
      <c r="C234" s="332">
        <v>0.53926361656505961</v>
      </c>
      <c r="D234" s="332">
        <v>3.5891176250252825</v>
      </c>
      <c r="E234" s="332">
        <v>1.6427977990981941</v>
      </c>
      <c r="F234" s="332">
        <v>0.25865554918135858</v>
      </c>
      <c r="G234" s="330"/>
      <c r="H234" s="331">
        <f t="shared" si="15"/>
        <v>-3442.7224972413987</v>
      </c>
      <c r="I234" s="330"/>
      <c r="J234" s="1"/>
      <c r="K234" s="330"/>
      <c r="L234" s="1"/>
      <c r="M234" s="330"/>
      <c r="N234" s="330"/>
      <c r="O234" s="330"/>
      <c r="P234" s="330"/>
      <c r="Q234" s="329"/>
      <c r="R234" s="331">
        <f t="shared" si="16"/>
        <v>-3217.4251198797447</v>
      </c>
      <c r="S234" s="331">
        <f t="shared" si="17"/>
        <v>-2989.8747687444757</v>
      </c>
      <c r="T234" s="331">
        <f t="shared" si="18"/>
        <v>-2760.0489140978516</v>
      </c>
      <c r="U234" s="331">
        <f t="shared" si="19"/>
        <v>-2527.9248009047606</v>
      </c>
      <c r="V234" s="330"/>
      <c r="W234" s="330"/>
      <c r="X234" s="330"/>
      <c r="Y234" s="333"/>
      <c r="Z234"/>
      <c r="AA234"/>
      <c r="AB234"/>
    </row>
    <row r="235" spans="1:28" x14ac:dyDescent="0.25">
      <c r="A235" s="330"/>
      <c r="B235" s="332"/>
      <c r="C235" s="332">
        <v>-4.4150975465112809</v>
      </c>
      <c r="D235" s="332">
        <v>5.5649691510659505</v>
      </c>
      <c r="E235" s="332">
        <v>0.18468295010484814</v>
      </c>
      <c r="F235" s="332"/>
      <c r="G235" s="330"/>
      <c r="H235" s="331">
        <f t="shared" si="15"/>
        <v>-3696.4121853026109</v>
      </c>
      <c r="I235" s="330"/>
      <c r="J235" s="1"/>
      <c r="K235" s="330"/>
      <c r="L235" s="1"/>
      <c r="M235" s="330"/>
      <c r="N235" s="330"/>
      <c r="O235" s="330"/>
      <c r="P235" s="330"/>
      <c r="Q235" s="329"/>
      <c r="R235" s="331">
        <f t="shared" si="16"/>
        <v>-3654.5704360028926</v>
      </c>
      <c r="S235" s="331">
        <f t="shared" si="17"/>
        <v>-3612.3102692101747</v>
      </c>
      <c r="T235" s="331">
        <f t="shared" si="18"/>
        <v>-3569.627500749531</v>
      </c>
      <c r="U235" s="331">
        <f t="shared" si="19"/>
        <v>-3526.5179046042813</v>
      </c>
      <c r="V235" s="330"/>
      <c r="W235" s="330"/>
      <c r="X235" s="330"/>
      <c r="Y235" s="333"/>
      <c r="Z235"/>
      <c r="AA235"/>
      <c r="AB235"/>
    </row>
    <row r="236" spans="1:28" x14ac:dyDescent="0.25">
      <c r="A236" s="330"/>
      <c r="B236" s="332"/>
      <c r="C236" s="332">
        <v>-4.3419362030660623E-2</v>
      </c>
      <c r="D236" s="332"/>
      <c r="E236" s="332">
        <v>5.4312995530263128E-3</v>
      </c>
      <c r="F236" s="332">
        <v>7.2118006894394251E-2</v>
      </c>
      <c r="G236" s="330"/>
      <c r="H236" s="331">
        <f t="shared" si="15"/>
        <v>3273.5479096628901</v>
      </c>
      <c r="I236" s="330"/>
      <c r="J236" s="1"/>
      <c r="K236" s="330"/>
      <c r="L236" s="1"/>
      <c r="M236" s="330"/>
      <c r="N236" s="330"/>
      <c r="O236" s="330"/>
      <c r="P236" s="330"/>
      <c r="Q236" s="329"/>
      <c r="R236" s="331">
        <f t="shared" si="16"/>
        <v>3307.05838877111</v>
      </c>
      <c r="S236" s="331">
        <f t="shared" si="17"/>
        <v>3340.9039726704127</v>
      </c>
      <c r="T236" s="331">
        <f t="shared" si="18"/>
        <v>3375.0880124087084</v>
      </c>
      <c r="U236" s="331">
        <f t="shared" si="19"/>
        <v>3409.6138925443865</v>
      </c>
      <c r="V236" s="330"/>
      <c r="W236" s="330"/>
      <c r="X236" s="330"/>
      <c r="Y236" s="333"/>
      <c r="Z236"/>
      <c r="AA236"/>
      <c r="AB236"/>
    </row>
    <row r="237" spans="1:28" x14ac:dyDescent="0.25">
      <c r="A237" s="330"/>
      <c r="B237" s="332"/>
      <c r="C237" s="332">
        <v>-0.1560210542150427</v>
      </c>
      <c r="D237" s="332">
        <v>2.0646911892662669</v>
      </c>
      <c r="E237" s="332">
        <v>0.21364938841290751</v>
      </c>
      <c r="F237" s="332">
        <v>2.213165277642137E-2</v>
      </c>
      <c r="G237" s="330"/>
      <c r="H237" s="331">
        <f t="shared" si="15"/>
        <v>3047.3861316166021</v>
      </c>
      <c r="I237" s="330"/>
      <c r="J237" s="1"/>
      <c r="K237" s="330"/>
      <c r="L237" s="1"/>
      <c r="M237" s="330"/>
      <c r="N237" s="330"/>
      <c r="O237" s="330"/>
      <c r="P237" s="330"/>
      <c r="Q237" s="329"/>
      <c r="R237" s="331">
        <f t="shared" si="16"/>
        <v>3080.6448408248161</v>
      </c>
      <c r="S237" s="331">
        <f t="shared" si="17"/>
        <v>3114.2361371251113</v>
      </c>
      <c r="T237" s="331">
        <f t="shared" si="18"/>
        <v>3148.1633463884104</v>
      </c>
      <c r="U237" s="331">
        <f t="shared" si="19"/>
        <v>3182.4298277443422</v>
      </c>
      <c r="V237" s="330"/>
      <c r="W237" s="330"/>
      <c r="X237" s="330"/>
      <c r="Y237" s="333"/>
      <c r="Z237"/>
      <c r="AA237"/>
      <c r="AB237"/>
    </row>
    <row r="238" spans="1:28" x14ac:dyDescent="0.25">
      <c r="A238" s="330"/>
      <c r="B238" s="332">
        <v>3.9126898830104423E-2</v>
      </c>
      <c r="C238" s="332">
        <v>-0.33669722879410002</v>
      </c>
      <c r="D238" s="332">
        <v>5.8561568874797221</v>
      </c>
      <c r="E238" s="332">
        <v>1.1108641418698282</v>
      </c>
      <c r="F238" s="332"/>
      <c r="G238" s="330"/>
      <c r="H238" s="331">
        <f t="shared" si="15"/>
        <v>-1391.331640771793</v>
      </c>
      <c r="I238" s="330"/>
      <c r="J238" s="1"/>
      <c r="K238" s="330"/>
      <c r="L238" s="1"/>
      <c r="M238" s="330"/>
      <c r="N238" s="330"/>
      <c r="O238" s="330"/>
      <c r="P238" s="330"/>
      <c r="Q238" s="329"/>
      <c r="R238" s="331">
        <f t="shared" si="16"/>
        <v>-1299.6991793479074</v>
      </c>
      <c r="S238" s="331">
        <f t="shared" si="17"/>
        <v>-1207.1503933097829</v>
      </c>
      <c r="T238" s="331">
        <f t="shared" si="18"/>
        <v>-1113.6761194112751</v>
      </c>
      <c r="U238" s="331">
        <f t="shared" si="19"/>
        <v>-1019.2671027737842</v>
      </c>
      <c r="V238" s="330"/>
      <c r="W238" s="330"/>
      <c r="X238" s="330"/>
      <c r="Y238" s="333"/>
      <c r="Z238"/>
      <c r="AA238"/>
      <c r="AB238"/>
    </row>
    <row r="239" spans="1:28" x14ac:dyDescent="0.25">
      <c r="A239" s="330"/>
      <c r="B239" s="332"/>
      <c r="C239" s="332">
        <v>-0.74009616949352408</v>
      </c>
      <c r="D239" s="332">
        <v>3.2794040930378707</v>
      </c>
      <c r="E239" s="332">
        <v>9.1524559385481874E-3</v>
      </c>
      <c r="F239" s="332">
        <v>3.8918228931436205E-2</v>
      </c>
      <c r="G239" s="330"/>
      <c r="H239" s="331">
        <f t="shared" si="15"/>
        <v>2420.1471327870718</v>
      </c>
      <c r="I239" s="330"/>
      <c r="J239" s="1"/>
      <c r="K239" s="330"/>
      <c r="L239" s="1"/>
      <c r="M239" s="330"/>
      <c r="N239" s="330"/>
      <c r="O239" s="330"/>
      <c r="P239" s="330"/>
      <c r="Q239" s="329"/>
      <c r="R239" s="331">
        <f t="shared" si="16"/>
        <v>2457.5587139164422</v>
      </c>
      <c r="S239" s="331">
        <f t="shared" si="17"/>
        <v>2495.3444108571071</v>
      </c>
      <c r="T239" s="331">
        <f t="shared" si="18"/>
        <v>2533.5079647671782</v>
      </c>
      <c r="U239" s="331">
        <f t="shared" si="19"/>
        <v>2572.0531542163499</v>
      </c>
      <c r="V239" s="330"/>
      <c r="W239" s="330"/>
      <c r="X239" s="330"/>
      <c r="Y239" s="333"/>
      <c r="Z239"/>
      <c r="AA239"/>
      <c r="AB239"/>
    </row>
    <row r="240" spans="1:28" x14ac:dyDescent="0.25">
      <c r="A240" s="330"/>
      <c r="B240" s="332">
        <v>5.7345956223787825E-2</v>
      </c>
      <c r="C240" s="332">
        <v>-1.4219371403581316</v>
      </c>
      <c r="D240" s="332">
        <v>7.5681736889095248</v>
      </c>
      <c r="E240" s="332">
        <v>1.3325224498371588</v>
      </c>
      <c r="F240" s="332">
        <v>0.10694743241736321</v>
      </c>
      <c r="G240" s="330"/>
      <c r="H240" s="331">
        <f t="shared" si="15"/>
        <v>-892.21631985549448</v>
      </c>
      <c r="I240" s="330"/>
      <c r="J240" s="1"/>
      <c r="K240" s="330"/>
      <c r="L240" s="1"/>
      <c r="M240" s="330"/>
      <c r="N240" s="330"/>
      <c r="O240" s="330"/>
      <c r="P240" s="330"/>
      <c r="Q240" s="329"/>
      <c r="R240" s="331">
        <f t="shared" si="16"/>
        <v>-729.87409476518587</v>
      </c>
      <c r="S240" s="331">
        <f t="shared" si="17"/>
        <v>-565.90844742397167</v>
      </c>
      <c r="T240" s="331">
        <f t="shared" si="18"/>
        <v>-400.30314360934699</v>
      </c>
      <c r="U240" s="331">
        <f t="shared" si="19"/>
        <v>-233.04178675657658</v>
      </c>
      <c r="V240" s="330"/>
      <c r="W240" s="330"/>
      <c r="X240" s="330"/>
      <c r="Y240" s="333"/>
      <c r="Z240"/>
      <c r="AA240"/>
      <c r="AB240"/>
    </row>
    <row r="241" spans="1:28" x14ac:dyDescent="0.25">
      <c r="A241" s="330"/>
      <c r="B241" s="332">
        <v>1.541891248069307E-2</v>
      </c>
      <c r="C241" s="332">
        <v>-0.96319407198522344</v>
      </c>
      <c r="D241" s="332">
        <v>8.3234729926861544</v>
      </c>
      <c r="E241" s="332">
        <v>0.14067367866037506</v>
      </c>
      <c r="F241" s="332"/>
      <c r="G241" s="330"/>
      <c r="H241" s="331">
        <f t="shared" si="15"/>
        <v>-87.484629373035659</v>
      </c>
      <c r="I241" s="330"/>
      <c r="J241" s="1"/>
      <c r="K241" s="330"/>
      <c r="L241" s="1"/>
      <c r="M241" s="330"/>
      <c r="N241" s="330"/>
      <c r="O241" s="330"/>
      <c r="P241" s="330"/>
      <c r="Q241" s="329"/>
      <c r="R241" s="331">
        <f t="shared" si="16"/>
        <v>-31.942650059057087</v>
      </c>
      <c r="S241" s="331">
        <f t="shared" si="17"/>
        <v>24.154749048062286</v>
      </c>
      <c r="T241" s="331">
        <f t="shared" si="18"/>
        <v>80.813122146253477</v>
      </c>
      <c r="U241" s="331">
        <f t="shared" si="19"/>
        <v>138.0380789754247</v>
      </c>
      <c r="V241" s="330"/>
      <c r="W241" s="330"/>
      <c r="X241" s="330"/>
      <c r="Y241" s="333"/>
      <c r="Z241"/>
      <c r="AA241"/>
      <c r="AB241"/>
    </row>
    <row r="242" spans="1:28" x14ac:dyDescent="0.25">
      <c r="A242" s="330"/>
      <c r="B242" s="332">
        <v>4.104461968583463E-2</v>
      </c>
      <c r="C242" s="332">
        <v>-1.5824286562247853</v>
      </c>
      <c r="D242" s="332">
        <v>7.3476658891794342</v>
      </c>
      <c r="E242" s="332">
        <v>1.0024112613078184</v>
      </c>
      <c r="F242" s="332">
        <v>7.7137062324449196E-2</v>
      </c>
      <c r="G242" s="330"/>
      <c r="H242" s="331">
        <f t="shared" si="15"/>
        <v>-247.54363882239113</v>
      </c>
      <c r="I242" s="330"/>
      <c r="J242" s="1"/>
      <c r="K242" s="330"/>
      <c r="L242" s="1"/>
      <c r="M242" s="330"/>
      <c r="N242" s="330"/>
      <c r="O242" s="330"/>
      <c r="P242" s="330"/>
      <c r="Q242" s="329"/>
      <c r="R242" s="331">
        <f t="shared" si="16"/>
        <v>-117.35946927673967</v>
      </c>
      <c r="S242" s="331">
        <f t="shared" si="17"/>
        <v>14.126541964371427</v>
      </c>
      <c r="T242" s="331">
        <f t="shared" si="18"/>
        <v>146.92741331789284</v>
      </c>
      <c r="U242" s="331">
        <f t="shared" si="19"/>
        <v>281.05629338494782</v>
      </c>
      <c r="V242" s="330"/>
      <c r="W242" s="330"/>
      <c r="X242" s="330"/>
      <c r="Y242" s="333"/>
      <c r="Z242"/>
      <c r="AA242"/>
      <c r="AB242"/>
    </row>
    <row r="243" spans="1:28" x14ac:dyDescent="0.25">
      <c r="A243" s="330"/>
      <c r="B243" s="332"/>
      <c r="C243" s="332">
        <v>-4.3419362030650992E-2</v>
      </c>
      <c r="D243" s="332"/>
      <c r="E243" s="332">
        <v>5.431299553021165E-3</v>
      </c>
      <c r="F243" s="332">
        <v>7.2118006894394404E-2</v>
      </c>
      <c r="G243" s="330"/>
      <c r="H243" s="331">
        <f t="shared" si="15"/>
        <v>3273.5479096628878</v>
      </c>
      <c r="I243" s="330"/>
      <c r="J243" s="1"/>
      <c r="K243" s="330"/>
      <c r="L243" s="1"/>
      <c r="M243" s="330"/>
      <c r="N243" s="330"/>
      <c r="O243" s="330"/>
      <c r="P243" s="330"/>
      <c r="Q243" s="329"/>
      <c r="R243" s="331">
        <f t="shared" si="16"/>
        <v>3307.0583887711073</v>
      </c>
      <c r="S243" s="331">
        <f t="shared" si="17"/>
        <v>3340.9039726704095</v>
      </c>
      <c r="T243" s="331">
        <f t="shared" si="18"/>
        <v>3375.0880124087053</v>
      </c>
      <c r="U243" s="331">
        <f t="shared" si="19"/>
        <v>3409.6138925443834</v>
      </c>
      <c r="V243" s="330"/>
      <c r="W243" s="330"/>
      <c r="X243" s="330"/>
      <c r="Y243" s="333"/>
      <c r="Z243"/>
      <c r="AA243"/>
      <c r="AB243"/>
    </row>
    <row r="244" spans="1:28" x14ac:dyDescent="0.25">
      <c r="A244" s="330"/>
      <c r="B244" s="332">
        <v>7.7512230752299861E-3</v>
      </c>
      <c r="C244" s="332">
        <v>0.12459333074709637</v>
      </c>
      <c r="D244" s="332">
        <v>2.0101112960294154</v>
      </c>
      <c r="E244" s="332">
        <v>0.21362371351755774</v>
      </c>
      <c r="F244" s="332">
        <v>5.1263382420730932E-2</v>
      </c>
      <c r="G244" s="330"/>
      <c r="H244" s="331">
        <f t="shared" si="15"/>
        <v>2886.8866326720272</v>
      </c>
      <c r="I244" s="330"/>
      <c r="J244" s="1"/>
      <c r="K244" s="330"/>
      <c r="L244" s="1"/>
      <c r="M244" s="330"/>
      <c r="N244" s="330"/>
      <c r="O244" s="330"/>
      <c r="P244" s="330"/>
      <c r="Q244" s="329"/>
      <c r="R244" s="331">
        <f t="shared" si="16"/>
        <v>2933.2501626026951</v>
      </c>
      <c r="S244" s="331">
        <f t="shared" si="17"/>
        <v>2980.077327832671</v>
      </c>
      <c r="T244" s="331">
        <f t="shared" si="18"/>
        <v>3027.3727647149462</v>
      </c>
      <c r="U244" s="331">
        <f t="shared" si="19"/>
        <v>3075.1411559660437</v>
      </c>
      <c r="V244" s="330"/>
      <c r="W244" s="330"/>
      <c r="X244" s="330"/>
      <c r="Y244" s="333"/>
      <c r="Z244"/>
      <c r="AA244"/>
      <c r="AB244"/>
    </row>
    <row r="245" spans="1:28" x14ac:dyDescent="0.25">
      <c r="A245" s="330"/>
      <c r="B245" s="332"/>
      <c r="C245" s="332">
        <v>-20.8336628569336</v>
      </c>
      <c r="D245" s="332">
        <v>3.3442548023253353</v>
      </c>
      <c r="E245" s="332">
        <v>0.38457581692146436</v>
      </c>
      <c r="F245" s="332">
        <v>4.9784555449228912E-2</v>
      </c>
      <c r="G245" s="330"/>
      <c r="H245" s="331">
        <f t="shared" si="15"/>
        <v>-30957.130702132461</v>
      </c>
      <c r="I245" s="330"/>
      <c r="J245" s="1"/>
      <c r="K245" s="330"/>
      <c r="L245" s="1"/>
      <c r="M245" s="330"/>
      <c r="N245" s="330"/>
      <c r="O245" s="330"/>
      <c r="P245" s="330"/>
      <c r="Q245" s="329"/>
      <c r="R245" s="331">
        <f t="shared" si="16"/>
        <v>-30894.838209215643</v>
      </c>
      <c r="S245" s="331">
        <f t="shared" si="17"/>
        <v>-30831.922791369656</v>
      </c>
      <c r="T245" s="331">
        <f t="shared" si="18"/>
        <v>-30768.378219345213</v>
      </c>
      <c r="U245" s="331">
        <f t="shared" si="19"/>
        <v>-30704.198201600528</v>
      </c>
      <c r="V245" s="330"/>
      <c r="W245" s="330"/>
      <c r="X245" s="330"/>
      <c r="Y245" s="333"/>
      <c r="Z245"/>
      <c r="AA245"/>
      <c r="AB245"/>
    </row>
    <row r="246" spans="1:28" x14ac:dyDescent="0.25">
      <c r="A246" s="330"/>
      <c r="B246" s="332">
        <v>2.6158062159991658E-2</v>
      </c>
      <c r="C246" s="332">
        <v>-9.6551881801943198E-2</v>
      </c>
      <c r="D246" s="332"/>
      <c r="E246" s="332">
        <v>0.61813052453215633</v>
      </c>
      <c r="F246" s="332">
        <v>0.12132437378532548</v>
      </c>
      <c r="G246" s="330"/>
      <c r="H246" s="331">
        <f t="shared" si="15"/>
        <v>1973.6598965508374</v>
      </c>
      <c r="I246" s="330"/>
      <c r="J246" s="1"/>
      <c r="K246" s="330"/>
      <c r="L246" s="1"/>
      <c r="M246" s="330"/>
      <c r="N246" s="330"/>
      <c r="O246" s="330"/>
      <c r="P246" s="330"/>
      <c r="Q246" s="329"/>
      <c r="R246" s="331">
        <f t="shared" si="16"/>
        <v>2061.6640907709279</v>
      </c>
      <c r="S246" s="331">
        <f t="shared" si="17"/>
        <v>2150.5483269332212</v>
      </c>
      <c r="T246" s="331">
        <f t="shared" si="18"/>
        <v>2240.3214054571367</v>
      </c>
      <c r="U246" s="331">
        <f t="shared" si="19"/>
        <v>2330.9922147662905</v>
      </c>
      <c r="V246" s="330"/>
      <c r="W246" s="330"/>
      <c r="X246" s="330"/>
      <c r="Y246" s="333"/>
      <c r="Z246"/>
      <c r="AA246"/>
      <c r="AB246"/>
    </row>
    <row r="247" spans="1:28" x14ac:dyDescent="0.25">
      <c r="A247" s="330"/>
      <c r="B247" s="332"/>
      <c r="C247" s="332">
        <v>-0.20300589354120022</v>
      </c>
      <c r="D247" s="332">
        <v>1.2967714221204414</v>
      </c>
      <c r="E247" s="332">
        <v>5.6148243072724396E-2</v>
      </c>
      <c r="F247" s="332">
        <v>5.3787072108435606E-2</v>
      </c>
      <c r="G247" s="330"/>
      <c r="H247" s="331">
        <f t="shared" si="15"/>
        <v>3159.0088257913749</v>
      </c>
      <c r="I247" s="330"/>
      <c r="J247" s="1"/>
      <c r="K247" s="330"/>
      <c r="L247" s="1"/>
      <c r="M247" s="330"/>
      <c r="N247" s="330"/>
      <c r="O247" s="330"/>
      <c r="P247" s="330"/>
      <c r="Q247" s="329"/>
      <c r="R247" s="331">
        <f t="shared" si="16"/>
        <v>3194.2224027992252</v>
      </c>
      <c r="S247" s="331">
        <f t="shared" si="17"/>
        <v>3229.7881155771543</v>
      </c>
      <c r="T247" s="331">
        <f t="shared" si="18"/>
        <v>3265.7094854828624</v>
      </c>
      <c r="U247" s="331">
        <f t="shared" si="19"/>
        <v>3301.9900690876275</v>
      </c>
      <c r="V247" s="330"/>
      <c r="W247" s="330"/>
      <c r="X247" s="330"/>
      <c r="Y247" s="333"/>
      <c r="Z247"/>
      <c r="AA247"/>
      <c r="AB247"/>
    </row>
    <row r="248" spans="1:28" x14ac:dyDescent="0.25">
      <c r="A248" s="330"/>
      <c r="B248" s="332"/>
      <c r="C248" s="332">
        <v>4.7458394329474582E-3</v>
      </c>
      <c r="D248" s="332">
        <v>0.45711212231998583</v>
      </c>
      <c r="E248" s="332">
        <v>2.9422149162641478E-2</v>
      </c>
      <c r="F248" s="332">
        <v>6.1399400376212644E-2</v>
      </c>
      <c r="G248" s="330"/>
      <c r="H248" s="331">
        <f t="shared" si="15"/>
        <v>3255.1638266676905</v>
      </c>
      <c r="I248" s="330"/>
      <c r="J248" s="1"/>
      <c r="K248" s="330"/>
      <c r="L248" s="1"/>
      <c r="M248" s="330"/>
      <c r="N248" s="330"/>
      <c r="O248" s="330"/>
      <c r="P248" s="330"/>
      <c r="Q248" s="329"/>
      <c r="R248" s="331">
        <f t="shared" si="16"/>
        <v>3287.630755591726</v>
      </c>
      <c r="S248" s="331">
        <f t="shared" si="17"/>
        <v>3320.4223538050014</v>
      </c>
      <c r="T248" s="331">
        <f t="shared" si="18"/>
        <v>3353.5418680004095</v>
      </c>
      <c r="U248" s="331">
        <f t="shared" si="19"/>
        <v>3386.9925773377722</v>
      </c>
      <c r="V248" s="330"/>
      <c r="W248" s="330"/>
      <c r="X248" s="330"/>
      <c r="Y248" s="333"/>
      <c r="Z248"/>
      <c r="AA248"/>
      <c r="AB248"/>
    </row>
    <row r="249" spans="1:28" x14ac:dyDescent="0.25">
      <c r="A249" s="330"/>
      <c r="B249" s="332"/>
      <c r="C249" s="332">
        <v>-4.3419362030645392E-2</v>
      </c>
      <c r="D249" s="332"/>
      <c r="E249" s="332">
        <v>5.4312995530208588E-3</v>
      </c>
      <c r="F249" s="332">
        <v>7.211800689439439E-2</v>
      </c>
      <c r="G249" s="330"/>
      <c r="H249" s="331">
        <f t="shared" si="15"/>
        <v>3273.5479096628956</v>
      </c>
      <c r="I249" s="330"/>
      <c r="J249" s="1"/>
      <c r="K249" s="330"/>
      <c r="L249" s="1"/>
      <c r="M249" s="330"/>
      <c r="N249" s="330"/>
      <c r="O249" s="330"/>
      <c r="P249" s="330"/>
      <c r="Q249" s="329"/>
      <c r="R249" s="331">
        <f t="shared" si="16"/>
        <v>3307.0583887711155</v>
      </c>
      <c r="S249" s="331">
        <f t="shared" si="17"/>
        <v>3340.9039726704177</v>
      </c>
      <c r="T249" s="331">
        <f t="shared" si="18"/>
        <v>3375.0880124087125</v>
      </c>
      <c r="U249" s="331">
        <f t="shared" si="19"/>
        <v>3409.6138925443911</v>
      </c>
      <c r="V249" s="330"/>
      <c r="W249" s="330"/>
      <c r="X249" s="330"/>
      <c r="Y249" s="333"/>
      <c r="Z249"/>
      <c r="AA249"/>
      <c r="AB249"/>
    </row>
    <row r="250" spans="1:28" x14ac:dyDescent="0.25">
      <c r="A250" s="330"/>
      <c r="B250" s="332"/>
      <c r="C250" s="332">
        <v>-4.6313258495356745E-2</v>
      </c>
      <c r="D250" s="332">
        <v>1.9693396117504056</v>
      </c>
      <c r="E250" s="332">
        <v>0.10913293237116653</v>
      </c>
      <c r="F250" s="332">
        <v>3.3341559876841613E-2</v>
      </c>
      <c r="G250" s="330"/>
      <c r="H250" s="331">
        <f t="shared" si="15"/>
        <v>3161.6157144092231</v>
      </c>
      <c r="I250" s="330"/>
      <c r="J250" s="1"/>
      <c r="K250" s="330"/>
      <c r="L250" s="1"/>
      <c r="M250" s="330"/>
      <c r="N250" s="330"/>
      <c r="O250" s="330"/>
      <c r="P250" s="330"/>
      <c r="Q250" s="329"/>
      <c r="R250" s="331">
        <f t="shared" si="16"/>
        <v>3194.0585252440205</v>
      </c>
      <c r="S250" s="331">
        <f t="shared" si="17"/>
        <v>3226.8257641871669</v>
      </c>
      <c r="T250" s="331">
        <f t="shared" si="18"/>
        <v>3259.9206755197442</v>
      </c>
      <c r="U250" s="331">
        <f t="shared" si="19"/>
        <v>3293.346535965647</v>
      </c>
      <c r="V250" s="330"/>
      <c r="W250" s="330"/>
      <c r="X250" s="330"/>
      <c r="Y250"/>
      <c r="Z250"/>
      <c r="AA250"/>
      <c r="AB250"/>
    </row>
    <row r="251" spans="1:28" x14ac:dyDescent="0.25">
      <c r="A251" s="330"/>
      <c r="B251" s="332">
        <v>3.2152964633848986E-2</v>
      </c>
      <c r="C251" s="332">
        <v>-1.3146780785131897</v>
      </c>
      <c r="D251" s="332">
        <v>3.1875222378461685</v>
      </c>
      <c r="E251" s="332">
        <v>0.87416521070938447</v>
      </c>
      <c r="F251" s="332">
        <v>0.10541564826510072</v>
      </c>
      <c r="G251" s="330"/>
      <c r="H251" s="331">
        <f t="shared" si="15"/>
        <v>718.3387963732448</v>
      </c>
      <c r="I251" s="330"/>
      <c r="J251" s="1"/>
      <c r="K251" s="330"/>
      <c r="L251" s="1"/>
      <c r="M251" s="330"/>
      <c r="N251" s="330"/>
      <c r="O251" s="330"/>
      <c r="P251" s="330"/>
      <c r="Q251" s="329"/>
      <c r="R251" s="331">
        <f t="shared" si="16"/>
        <v>830.78293290536567</v>
      </c>
      <c r="S251" s="331">
        <f t="shared" si="17"/>
        <v>944.35151080281048</v>
      </c>
      <c r="T251" s="331">
        <f t="shared" si="18"/>
        <v>1059.0557744792286</v>
      </c>
      <c r="U251" s="331">
        <f t="shared" si="19"/>
        <v>1174.907080792409</v>
      </c>
      <c r="V251" s="330"/>
      <c r="W251" s="330"/>
      <c r="X251" s="330"/>
      <c r="Y251" s="333"/>
      <c r="Z251"/>
      <c r="AA251"/>
      <c r="AB251"/>
    </row>
    <row r="252" spans="1:28" x14ac:dyDescent="0.25">
      <c r="A252" s="330"/>
      <c r="B252" s="332">
        <v>4.0678181645589541E-2</v>
      </c>
      <c r="C252" s="332">
        <v>0.21656444040298997</v>
      </c>
      <c r="D252" s="332">
        <v>2.0314606981881838</v>
      </c>
      <c r="E252" s="332">
        <v>0.79335729168721325</v>
      </c>
      <c r="F252" s="332">
        <v>0.12176949777821498</v>
      </c>
      <c r="G252" s="330"/>
      <c r="H252" s="331">
        <f t="shared" ref="H252:H315" si="20">SUMPRODUCT(B252:F252,B$56:F$56)</f>
        <v>946.58285477095524</v>
      </c>
      <c r="I252" s="330"/>
      <c r="J252" s="1"/>
      <c r="K252" s="330"/>
      <c r="L252" s="1"/>
      <c r="M252" s="330"/>
      <c r="N252" s="330"/>
      <c r="O252" s="330"/>
      <c r="P252" s="330"/>
      <c r="Q252" s="329"/>
      <c r="R252" s="331">
        <f t="shared" ref="R252:R315" si="21">SUMPRODUCT($B252:$F252,$K$59:$O$59)</f>
        <v>1055.6655455757573</v>
      </c>
      <c r="S252" s="331">
        <f t="shared" ref="S252:S315" si="22">SUMPRODUCT($B252:$F252,$K$60:$O$60)</f>
        <v>1165.8390632886112</v>
      </c>
      <c r="T252" s="331">
        <f t="shared" ref="T252:T315" si="23">SUMPRODUCT($B252:$F252,$K$61:$O$61)</f>
        <v>1277.1143161785894</v>
      </c>
      <c r="U252" s="331">
        <f t="shared" ref="U252:U315" si="24">SUMPRODUCT($B252:$F252,$K$62:$O$62)</f>
        <v>1389.5023215974707</v>
      </c>
      <c r="V252" s="330"/>
      <c r="W252" s="330"/>
      <c r="X252" s="330"/>
      <c r="Y252" s="333"/>
      <c r="Z252"/>
      <c r="AA252"/>
      <c r="AB252"/>
    </row>
    <row r="253" spans="1:28" x14ac:dyDescent="0.25">
      <c r="A253" s="330"/>
      <c r="B253" s="332">
        <v>3.5094879100599818E-4</v>
      </c>
      <c r="C253" s="332">
        <v>-0.69764148389624758</v>
      </c>
      <c r="D253" s="332">
        <v>3.2086543455545775</v>
      </c>
      <c r="E253" s="332">
        <v>2.3015506496782131E-2</v>
      </c>
      <c r="F253" s="332">
        <v>4.0319517361748283E-2</v>
      </c>
      <c r="G253" s="330"/>
      <c r="H253" s="331">
        <f t="shared" si="20"/>
        <v>2502.2110494997519</v>
      </c>
      <c r="I253" s="330"/>
      <c r="J253" s="1"/>
      <c r="K253" s="330"/>
      <c r="L253" s="1"/>
      <c r="M253" s="330"/>
      <c r="N253" s="330"/>
      <c r="O253" s="330"/>
      <c r="P253" s="330"/>
      <c r="Q253" s="329"/>
      <c r="R253" s="331">
        <f t="shared" si="21"/>
        <v>2540.5782768780891</v>
      </c>
      <c r="S253" s="331">
        <f t="shared" si="22"/>
        <v>2579.3291765302101</v>
      </c>
      <c r="T253" s="331">
        <f t="shared" si="23"/>
        <v>2618.4675851788525</v>
      </c>
      <c r="U253" s="331">
        <f t="shared" si="24"/>
        <v>2657.9973779139809</v>
      </c>
      <c r="V253" s="330"/>
      <c r="W253" s="330"/>
      <c r="X253" s="330"/>
      <c r="Y253" s="333"/>
      <c r="Z253"/>
      <c r="AA253"/>
      <c r="AB253"/>
    </row>
    <row r="254" spans="1:28" x14ac:dyDescent="0.25">
      <c r="A254" s="330"/>
      <c r="B254" s="332"/>
      <c r="C254" s="332">
        <v>-0.23042815624232474</v>
      </c>
      <c r="D254" s="332">
        <v>3.1451010203829579</v>
      </c>
      <c r="E254" s="332">
        <v>4.4188286968031313E-3</v>
      </c>
      <c r="F254" s="332">
        <v>3.0475442017113E-2</v>
      </c>
      <c r="G254" s="330"/>
      <c r="H254" s="331">
        <f t="shared" si="20"/>
        <v>2838.4453074524263</v>
      </c>
      <c r="I254" s="330"/>
      <c r="J254" s="1"/>
      <c r="K254" s="330"/>
      <c r="L254" s="1"/>
      <c r="M254" s="330"/>
      <c r="N254" s="330"/>
      <c r="O254" s="330"/>
      <c r="P254" s="330"/>
      <c r="Q254" s="329"/>
      <c r="R254" s="331">
        <f t="shared" si="21"/>
        <v>2870.9427141818805</v>
      </c>
      <c r="S254" s="331">
        <f t="shared" si="22"/>
        <v>2903.7650949786303</v>
      </c>
      <c r="T254" s="331">
        <f t="shared" si="23"/>
        <v>2936.9156995833473</v>
      </c>
      <c r="U254" s="331">
        <f t="shared" si="24"/>
        <v>2970.3978102341107</v>
      </c>
      <c r="V254" s="330"/>
      <c r="W254" s="330"/>
      <c r="X254" s="330"/>
      <c r="Y254" s="333"/>
      <c r="Z254"/>
      <c r="AA254"/>
      <c r="AB254"/>
    </row>
    <row r="255" spans="1:28" x14ac:dyDescent="0.25">
      <c r="A255" s="330"/>
      <c r="B255" s="332">
        <v>4.1726196166109986E-4</v>
      </c>
      <c r="C255" s="332">
        <v>-0.35106064100140383</v>
      </c>
      <c r="D255" s="332">
        <v>2.7773220512285359</v>
      </c>
      <c r="E255" s="332">
        <v>2.4708878370364663E-2</v>
      </c>
      <c r="F255" s="332">
        <v>4.1795046411988369E-2</v>
      </c>
      <c r="G255" s="330"/>
      <c r="H255" s="331">
        <f t="shared" si="20"/>
        <v>2930.7761911434563</v>
      </c>
      <c r="I255" s="330"/>
      <c r="J255" s="1"/>
      <c r="K255" s="330"/>
      <c r="L255" s="1"/>
      <c r="M255" s="330"/>
      <c r="N255" s="330"/>
      <c r="O255" s="330"/>
      <c r="P255" s="330"/>
      <c r="Q255" s="329"/>
      <c r="R255" s="331">
        <f t="shared" si="21"/>
        <v>2967.4115819860567</v>
      </c>
      <c r="S255" s="331">
        <f t="shared" si="22"/>
        <v>3004.4133267370826</v>
      </c>
      <c r="T255" s="331">
        <f t="shared" si="23"/>
        <v>3041.7850889356196</v>
      </c>
      <c r="U255" s="331">
        <f t="shared" si="24"/>
        <v>3079.5305687561404</v>
      </c>
      <c r="V255" s="330"/>
      <c r="W255" s="330"/>
      <c r="X255" s="330"/>
      <c r="Y255" s="333"/>
      <c r="Z255"/>
      <c r="AA255"/>
      <c r="AB255"/>
    </row>
    <row r="256" spans="1:28" x14ac:dyDescent="0.25">
      <c r="A256" s="330"/>
      <c r="B256" s="332">
        <v>5.3962457747257862E-3</v>
      </c>
      <c r="C256" s="332">
        <v>-1.6731542100569936</v>
      </c>
      <c r="D256" s="332">
        <v>3.0944575155060638</v>
      </c>
      <c r="E256" s="332">
        <v>0.2687447911794153</v>
      </c>
      <c r="F256" s="332">
        <v>5.2039758691359454E-2</v>
      </c>
      <c r="G256" s="330"/>
      <c r="H256" s="331">
        <f t="shared" si="20"/>
        <v>1227.5938268505854</v>
      </c>
      <c r="I256" s="330"/>
      <c r="J256" s="1"/>
      <c r="K256" s="330"/>
      <c r="L256" s="1"/>
      <c r="M256" s="330"/>
      <c r="N256" s="330"/>
      <c r="O256" s="330"/>
      <c r="P256" s="330"/>
      <c r="Q256" s="329"/>
      <c r="R256" s="331">
        <f t="shared" si="21"/>
        <v>1283.4618559209723</v>
      </c>
      <c r="S256" s="331">
        <f t="shared" si="22"/>
        <v>1339.8885652820632</v>
      </c>
      <c r="T256" s="331">
        <f t="shared" si="23"/>
        <v>1396.8795417367653</v>
      </c>
      <c r="U256" s="331">
        <f t="shared" si="24"/>
        <v>1454.4404279560142</v>
      </c>
      <c r="V256" s="330"/>
      <c r="W256" s="330"/>
      <c r="X256" s="330"/>
      <c r="Y256" s="333"/>
      <c r="Z256"/>
      <c r="AA256"/>
      <c r="AB256"/>
    </row>
    <row r="257" spans="1:28" x14ac:dyDescent="0.25">
      <c r="A257" s="330"/>
      <c r="B257" s="332">
        <v>4.8190681938590678E-3</v>
      </c>
      <c r="C257" s="332">
        <v>-0.41349895387882452</v>
      </c>
      <c r="D257" s="332">
        <v>3.9659916043090542</v>
      </c>
      <c r="E257" s="332">
        <v>0.14377927552286443</v>
      </c>
      <c r="F257" s="332">
        <v>3.2763257736963376E-2</v>
      </c>
      <c r="G257" s="330"/>
      <c r="H257" s="331">
        <f t="shared" si="20"/>
        <v>2590.6712486598171</v>
      </c>
      <c r="I257" s="330"/>
      <c r="J257" s="1"/>
      <c r="K257" s="330"/>
      <c r="L257" s="1"/>
      <c r="M257" s="330"/>
      <c r="N257" s="330"/>
      <c r="O257" s="330"/>
      <c r="P257" s="330"/>
      <c r="Q257" s="329"/>
      <c r="R257" s="331">
        <f t="shared" si="21"/>
        <v>2636.2179403160139</v>
      </c>
      <c r="S257" s="331">
        <f t="shared" si="22"/>
        <v>2682.2200988887726</v>
      </c>
      <c r="T257" s="331">
        <f t="shared" si="23"/>
        <v>2728.6822790472597</v>
      </c>
      <c r="U257" s="331">
        <f t="shared" si="24"/>
        <v>2775.609081007331</v>
      </c>
      <c r="V257" s="330"/>
      <c r="W257" s="330"/>
      <c r="X257" s="330"/>
      <c r="Y257" s="333"/>
      <c r="Z257"/>
      <c r="AA257"/>
      <c r="AB257"/>
    </row>
    <row r="258" spans="1:28" x14ac:dyDescent="0.25">
      <c r="A258" s="330"/>
      <c r="B258" s="332"/>
      <c r="C258" s="332">
        <v>-0.46460806347408196</v>
      </c>
      <c r="D258" s="332">
        <v>3.7953815073500392</v>
      </c>
      <c r="E258" s="332"/>
      <c r="F258" s="332">
        <v>2.5359209870365627E-2</v>
      </c>
      <c r="G258" s="330"/>
      <c r="H258" s="331">
        <f t="shared" si="20"/>
        <v>2538.6200646171264</v>
      </c>
      <c r="I258" s="330"/>
      <c r="J258" s="1"/>
      <c r="K258" s="330"/>
      <c r="L258" s="1"/>
      <c r="M258" s="330"/>
      <c r="N258" s="330"/>
      <c r="O258" s="330"/>
      <c r="P258" s="330"/>
      <c r="Q258" s="329"/>
      <c r="R258" s="331">
        <f t="shared" si="21"/>
        <v>2572.2991382521623</v>
      </c>
      <c r="S258" s="331">
        <f t="shared" si="22"/>
        <v>2606.3150026235485</v>
      </c>
      <c r="T258" s="331">
        <f t="shared" si="23"/>
        <v>2640.6710256386486</v>
      </c>
      <c r="U258" s="331">
        <f t="shared" si="24"/>
        <v>2675.3706088838999</v>
      </c>
      <c r="V258" s="330"/>
      <c r="W258" s="330"/>
      <c r="X258" s="330"/>
      <c r="Y258" s="333"/>
      <c r="Z258"/>
      <c r="AA258"/>
      <c r="AB258"/>
    </row>
    <row r="259" spans="1:28" x14ac:dyDescent="0.25">
      <c r="A259" s="330"/>
      <c r="B259" s="332"/>
      <c r="C259" s="332">
        <v>-127.6545564866604</v>
      </c>
      <c r="D259" s="332"/>
      <c r="E259" s="332">
        <v>0.4001178666761791</v>
      </c>
      <c r="F259" s="332">
        <v>0.13844897122220665</v>
      </c>
      <c r="G259" s="330"/>
      <c r="H259" s="331">
        <f t="shared" si="20"/>
        <v>-219395.77702033045</v>
      </c>
      <c r="I259" s="330"/>
      <c r="J259" s="1"/>
      <c r="K259" s="330"/>
      <c r="L259" s="1"/>
      <c r="M259" s="330"/>
      <c r="N259" s="330"/>
      <c r="O259" s="330"/>
      <c r="P259" s="330"/>
      <c r="Q259" s="329"/>
      <c r="R259" s="331">
        <f t="shared" si="21"/>
        <v>-219311.20562451391</v>
      </c>
      <c r="S259" s="331">
        <f t="shared" si="22"/>
        <v>-219225.78851473919</v>
      </c>
      <c r="T259" s="331">
        <f t="shared" si="23"/>
        <v>-219139.51723386676</v>
      </c>
      <c r="U259" s="331">
        <f t="shared" si="24"/>
        <v>-219052.38324018559</v>
      </c>
      <c r="V259" s="330"/>
      <c r="W259" s="330"/>
      <c r="X259" s="330"/>
      <c r="Y259"/>
      <c r="Z259"/>
      <c r="AA259"/>
      <c r="AB259"/>
    </row>
    <row r="260" spans="1:28" x14ac:dyDescent="0.25">
      <c r="A260" s="330"/>
      <c r="B260" s="332">
        <v>4.1726196166125414E-4</v>
      </c>
      <c r="C260" s="332">
        <v>-0.35106064100140399</v>
      </c>
      <c r="D260" s="332">
        <v>2.7773220512284471</v>
      </c>
      <c r="E260" s="332">
        <v>2.4708878370368077E-2</v>
      </c>
      <c r="F260" s="332">
        <v>4.179504641199009E-2</v>
      </c>
      <c r="G260" s="330"/>
      <c r="H260" s="331">
        <f t="shared" si="20"/>
        <v>2930.7761911434627</v>
      </c>
      <c r="I260" s="330"/>
      <c r="J260" s="1"/>
      <c r="K260" s="330"/>
      <c r="L260" s="1"/>
      <c r="M260" s="330"/>
      <c r="N260" s="330"/>
      <c r="O260" s="330"/>
      <c r="P260" s="330"/>
      <c r="Q260" s="329"/>
      <c r="R260" s="331">
        <f t="shared" si="21"/>
        <v>2967.4115819860631</v>
      </c>
      <c r="S260" s="331">
        <f t="shared" si="22"/>
        <v>3004.4133267370898</v>
      </c>
      <c r="T260" s="331">
        <f t="shared" si="23"/>
        <v>3041.7850889356259</v>
      </c>
      <c r="U260" s="331">
        <f t="shared" si="24"/>
        <v>3079.5305687561486</v>
      </c>
      <c r="V260" s="330"/>
      <c r="W260" s="330"/>
      <c r="X260" s="330"/>
      <c r="Y260" s="333"/>
      <c r="Z260"/>
      <c r="AA260"/>
      <c r="AB260"/>
    </row>
    <row r="261" spans="1:28" x14ac:dyDescent="0.25">
      <c r="A261" s="330"/>
      <c r="B261" s="332">
        <v>3.1786111282034891E-3</v>
      </c>
      <c r="C261" s="332">
        <v>2.689414604971152E-2</v>
      </c>
      <c r="D261" s="332">
        <v>1.9686589636838321</v>
      </c>
      <c r="E261" s="332">
        <v>0.3503428522226994</v>
      </c>
      <c r="F261" s="332">
        <v>1.1138474461566881E-2</v>
      </c>
      <c r="G261" s="330"/>
      <c r="H261" s="331">
        <f t="shared" si="20"/>
        <v>2713.0431249394237</v>
      </c>
      <c r="I261" s="330"/>
      <c r="J261" s="1"/>
      <c r="K261" s="330"/>
      <c r="L261" s="1"/>
      <c r="M261" s="330"/>
      <c r="N261" s="330"/>
      <c r="O261" s="330"/>
      <c r="P261" s="330"/>
      <c r="Q261" s="329"/>
      <c r="R261" s="331">
        <f t="shared" si="21"/>
        <v>2747.7796751670239</v>
      </c>
      <c r="S261" s="331">
        <f t="shared" si="22"/>
        <v>2782.8635908969009</v>
      </c>
      <c r="T261" s="331">
        <f t="shared" si="23"/>
        <v>2818.2983457840764</v>
      </c>
      <c r="U261" s="331">
        <f t="shared" si="24"/>
        <v>2854.0874482201234</v>
      </c>
      <c r="V261" s="330"/>
      <c r="W261" s="330"/>
      <c r="X261" s="330"/>
      <c r="Y261" s="333"/>
      <c r="Z261"/>
      <c r="AA261"/>
      <c r="AB261"/>
    </row>
    <row r="262" spans="1:28" x14ac:dyDescent="0.25">
      <c r="A262" s="330"/>
      <c r="B262" s="332">
        <v>1.564143379443421E-3</v>
      </c>
      <c r="C262" s="332">
        <v>-0.55321499977881416</v>
      </c>
      <c r="D262" s="332">
        <v>2.7173027785267134</v>
      </c>
      <c r="E262" s="332">
        <v>5.0530383901467371E-2</v>
      </c>
      <c r="F262" s="332">
        <v>4.8710654055725992E-2</v>
      </c>
      <c r="G262" s="330"/>
      <c r="H262" s="331">
        <f t="shared" si="20"/>
        <v>2696.1532295810089</v>
      </c>
      <c r="I262" s="330"/>
      <c r="J262" s="1"/>
      <c r="K262" s="330"/>
      <c r="L262" s="1"/>
      <c r="M262" s="330"/>
      <c r="N262" s="330"/>
      <c r="O262" s="330"/>
      <c r="P262" s="330"/>
      <c r="Q262" s="329"/>
      <c r="R262" s="331">
        <f t="shared" si="21"/>
        <v>2736.9682639618031</v>
      </c>
      <c r="S262" s="331">
        <f t="shared" si="22"/>
        <v>2778.1914486864052</v>
      </c>
      <c r="T262" s="331">
        <f t="shared" si="23"/>
        <v>2819.8268652582542</v>
      </c>
      <c r="U262" s="331">
        <f t="shared" si="24"/>
        <v>2861.8786359958212</v>
      </c>
      <c r="V262" s="330"/>
      <c r="W262" s="330"/>
      <c r="X262" s="330"/>
      <c r="Y262" s="333"/>
      <c r="Z262"/>
      <c r="AA262"/>
      <c r="AB262"/>
    </row>
    <row r="263" spans="1:28" x14ac:dyDescent="0.25">
      <c r="A263" s="330"/>
      <c r="B263" s="332">
        <v>8.5782870876611808E-3</v>
      </c>
      <c r="C263" s="332">
        <v>-1.9632380641597038</v>
      </c>
      <c r="D263" s="332">
        <v>3.2498276787102145</v>
      </c>
      <c r="E263" s="332">
        <v>0.37963888335511331</v>
      </c>
      <c r="F263" s="332">
        <v>5.7554973070190564E-2</v>
      </c>
      <c r="G263" s="330"/>
      <c r="H263" s="331">
        <f t="shared" si="20"/>
        <v>820.43519210215231</v>
      </c>
      <c r="I263" s="330"/>
      <c r="J263" s="1"/>
      <c r="K263" s="330"/>
      <c r="L263" s="1"/>
      <c r="M263" s="330"/>
      <c r="N263" s="330"/>
      <c r="O263" s="330"/>
      <c r="P263" s="330"/>
      <c r="Q263" s="329"/>
      <c r="R263" s="331">
        <f t="shared" si="21"/>
        <v>885.50427735006974</v>
      </c>
      <c r="S263" s="331">
        <f t="shared" si="22"/>
        <v>951.22405345046741</v>
      </c>
      <c r="T263" s="331">
        <f t="shared" si="23"/>
        <v>1017.6010273118693</v>
      </c>
      <c r="U263" s="331">
        <f t="shared" si="24"/>
        <v>1084.6417709118841</v>
      </c>
      <c r="V263" s="330"/>
      <c r="W263" s="330"/>
      <c r="X263" s="330"/>
      <c r="Y263" s="333"/>
      <c r="Z263"/>
      <c r="AA263"/>
      <c r="AB263"/>
    </row>
    <row r="264" spans="1:28" x14ac:dyDescent="0.25">
      <c r="A264" s="330"/>
      <c r="B264" s="332">
        <v>3.0721994621583141E-3</v>
      </c>
      <c r="C264" s="332">
        <v>-1.1507950822844519</v>
      </c>
      <c r="D264" s="332">
        <v>1.6786495938293653</v>
      </c>
      <c r="E264" s="332">
        <v>0.21625257367671052</v>
      </c>
      <c r="F264" s="332">
        <v>6.0597363975876124E-2</v>
      </c>
      <c r="G264" s="330"/>
      <c r="H264" s="331">
        <f t="shared" si="20"/>
        <v>2052.3627015908887</v>
      </c>
      <c r="I264" s="330"/>
      <c r="J264" s="1"/>
      <c r="K264" s="330"/>
      <c r="L264" s="1"/>
      <c r="M264" s="330"/>
      <c r="N264" s="330"/>
      <c r="O264" s="330"/>
      <c r="P264" s="330"/>
      <c r="Q264" s="329"/>
      <c r="R264" s="331">
        <f t="shared" si="21"/>
        <v>2101.242531090114</v>
      </c>
      <c r="S264" s="331">
        <f t="shared" si="22"/>
        <v>2150.6111588843319</v>
      </c>
      <c r="T264" s="331">
        <f t="shared" si="23"/>
        <v>2200.4734729564916</v>
      </c>
      <c r="U264" s="331">
        <f t="shared" si="24"/>
        <v>2250.8344101693733</v>
      </c>
      <c r="V264" s="330"/>
      <c r="W264" s="330"/>
      <c r="X264" s="330"/>
      <c r="Y264" s="333"/>
      <c r="Z264"/>
      <c r="AA264"/>
      <c r="AB264"/>
    </row>
    <row r="265" spans="1:28" x14ac:dyDescent="0.25">
      <c r="A265" s="330"/>
      <c r="B265" s="332">
        <v>1.3989014706390367E-2</v>
      </c>
      <c r="C265" s="332">
        <v>-0.71175607904895311</v>
      </c>
      <c r="D265" s="332">
        <v>2.0690412306451207</v>
      </c>
      <c r="E265" s="332">
        <v>0.41153981614247553</v>
      </c>
      <c r="F265" s="332">
        <v>8.0417364329141913E-2</v>
      </c>
      <c r="G265" s="330"/>
      <c r="H265" s="331">
        <f t="shared" si="20"/>
        <v>2212.5640068143248</v>
      </c>
      <c r="I265" s="330"/>
      <c r="J265" s="1"/>
      <c r="K265" s="330"/>
      <c r="L265" s="1"/>
      <c r="M265" s="330"/>
      <c r="N265" s="330"/>
      <c r="O265" s="330"/>
      <c r="P265" s="330"/>
      <c r="Q265" s="329"/>
      <c r="R265" s="331">
        <f t="shared" si="21"/>
        <v>2282.9809536787907</v>
      </c>
      <c r="S265" s="331">
        <f t="shared" si="22"/>
        <v>2354.102070011902</v>
      </c>
      <c r="T265" s="331">
        <f t="shared" si="23"/>
        <v>2425.9343975083443</v>
      </c>
      <c r="U265" s="331">
        <f t="shared" si="24"/>
        <v>2498.4850482797506</v>
      </c>
      <c r="V265" s="330"/>
      <c r="W265" s="330"/>
      <c r="X265" s="330"/>
      <c r="Y265" s="333"/>
      <c r="Z265"/>
      <c r="AA265"/>
      <c r="AB265"/>
    </row>
    <row r="266" spans="1:28" x14ac:dyDescent="0.25">
      <c r="A266" s="330"/>
      <c r="B266" s="332"/>
      <c r="C266" s="332">
        <v>-3.2248128761866834E-2</v>
      </c>
      <c r="D266" s="332"/>
      <c r="E266" s="332"/>
      <c r="F266" s="332">
        <v>7.2228250904845692E-2</v>
      </c>
      <c r="G266" s="330"/>
      <c r="H266" s="331">
        <f t="shared" si="20"/>
        <v>3270.3585052739513</v>
      </c>
      <c r="I266" s="330"/>
      <c r="J266" s="1"/>
      <c r="K266" s="330"/>
      <c r="L266" s="1"/>
      <c r="M266" s="330"/>
      <c r="N266" s="330"/>
      <c r="O266" s="330"/>
      <c r="P266" s="330"/>
      <c r="Q266" s="329"/>
      <c r="R266" s="331">
        <f t="shared" si="21"/>
        <v>3303.6376929840167</v>
      </c>
      <c r="S266" s="331">
        <f t="shared" si="22"/>
        <v>3337.2496725711831</v>
      </c>
      <c r="T266" s="331">
        <f t="shared" si="23"/>
        <v>3371.197771954221</v>
      </c>
      <c r="U266" s="331">
        <f t="shared" si="24"/>
        <v>3405.485352331089</v>
      </c>
      <c r="V266" s="330"/>
      <c r="W266" s="330"/>
      <c r="X266" s="330"/>
      <c r="Y266" s="333"/>
      <c r="Z266"/>
      <c r="AA266"/>
      <c r="AB266"/>
    </row>
    <row r="267" spans="1:28" x14ac:dyDescent="0.25">
      <c r="A267" s="330"/>
      <c r="B267" s="332"/>
      <c r="C267" s="332">
        <v>-4.3419362030655904E-2</v>
      </c>
      <c r="D267" s="332"/>
      <c r="E267" s="332">
        <v>5.4312995530249345E-3</v>
      </c>
      <c r="F267" s="332">
        <v>7.2118006894394238E-2</v>
      </c>
      <c r="G267" s="330"/>
      <c r="H267" s="331">
        <f t="shared" si="20"/>
        <v>3273.5479096628906</v>
      </c>
      <c r="I267" s="330"/>
      <c r="J267" s="1"/>
      <c r="K267" s="330"/>
      <c r="L267" s="1"/>
      <c r="M267" s="330"/>
      <c r="N267" s="330"/>
      <c r="O267" s="330"/>
      <c r="P267" s="330"/>
      <c r="Q267" s="329"/>
      <c r="R267" s="331">
        <f t="shared" si="21"/>
        <v>3307.0583887711109</v>
      </c>
      <c r="S267" s="331">
        <f t="shared" si="22"/>
        <v>3340.9039726704132</v>
      </c>
      <c r="T267" s="331">
        <f t="shared" si="23"/>
        <v>3375.0880124087084</v>
      </c>
      <c r="U267" s="331">
        <f t="shared" si="24"/>
        <v>3409.613892544387</v>
      </c>
      <c r="V267" s="330"/>
      <c r="W267" s="330"/>
      <c r="X267" s="330"/>
      <c r="Y267" s="333"/>
      <c r="Z267"/>
      <c r="AA267"/>
      <c r="AB267"/>
    </row>
    <row r="268" spans="1:28" x14ac:dyDescent="0.25">
      <c r="A268" s="330"/>
      <c r="B268" s="332">
        <v>3.8620514160286629E-3</v>
      </c>
      <c r="C268" s="332">
        <v>-0.83948206329075048</v>
      </c>
      <c r="D268" s="332">
        <v>1.5159205730357201</v>
      </c>
      <c r="E268" s="332">
        <v>0.20831155094507522</v>
      </c>
      <c r="F268" s="332">
        <v>6.3857211480265977E-2</v>
      </c>
      <c r="G268" s="330"/>
      <c r="H268" s="331">
        <f t="shared" si="20"/>
        <v>2421.7484847243936</v>
      </c>
      <c r="I268" s="330"/>
      <c r="J268" s="1"/>
      <c r="K268" s="330"/>
      <c r="L268" s="1"/>
      <c r="M268" s="330"/>
      <c r="N268" s="330"/>
      <c r="O268" s="330"/>
      <c r="P268" s="330"/>
      <c r="Q268" s="329"/>
      <c r="R268" s="331">
        <f t="shared" si="21"/>
        <v>2470.7748163173937</v>
      </c>
      <c r="S268" s="331">
        <f t="shared" si="22"/>
        <v>2520.2914112263234</v>
      </c>
      <c r="T268" s="331">
        <f t="shared" si="23"/>
        <v>2570.3031720843428</v>
      </c>
      <c r="U268" s="331">
        <f t="shared" si="24"/>
        <v>2620.815050550942</v>
      </c>
      <c r="V268" s="330"/>
      <c r="W268" s="330"/>
      <c r="X268" s="330"/>
      <c r="Y268" s="333"/>
      <c r="Z268"/>
      <c r="AA268"/>
      <c r="AB268"/>
    </row>
    <row r="269" spans="1:28" x14ac:dyDescent="0.25">
      <c r="A269" s="330"/>
      <c r="B269" s="332">
        <v>1.7359650592178931E-3</v>
      </c>
      <c r="C269" s="332">
        <v>5.192051091341926E-2</v>
      </c>
      <c r="D269" s="332">
        <v>1.5955985250789482</v>
      </c>
      <c r="E269" s="332">
        <v>0.26633526297182447</v>
      </c>
      <c r="F269" s="332">
        <v>2.6732810525870693E-2</v>
      </c>
      <c r="G269" s="330"/>
      <c r="H269" s="331">
        <f t="shared" si="20"/>
        <v>3190.715516757999</v>
      </c>
      <c r="I269" s="330"/>
      <c r="J269" s="1"/>
      <c r="K269" s="330"/>
      <c r="L269" s="1"/>
      <c r="M269" s="330"/>
      <c r="N269" s="330"/>
      <c r="O269" s="330"/>
      <c r="P269" s="330"/>
      <c r="Q269" s="329"/>
      <c r="R269" s="331">
        <f t="shared" si="21"/>
        <v>3226.1121032706269</v>
      </c>
      <c r="S269" s="331">
        <f t="shared" si="22"/>
        <v>3261.8626556483814</v>
      </c>
      <c r="T269" s="331">
        <f t="shared" si="23"/>
        <v>3297.9707135499129</v>
      </c>
      <c r="U269" s="331">
        <f t="shared" si="24"/>
        <v>3334.4398520304603</v>
      </c>
      <c r="V269" s="330"/>
      <c r="W269" s="330"/>
      <c r="X269" s="330"/>
      <c r="Y269" s="333"/>
      <c r="Z269"/>
      <c r="AA269"/>
      <c r="AB269"/>
    </row>
    <row r="270" spans="1:28" x14ac:dyDescent="0.25">
      <c r="A270" s="330"/>
      <c r="B270" s="332"/>
      <c r="C270" s="332">
        <v>8.6593012878636938E-2</v>
      </c>
      <c r="D270" s="332"/>
      <c r="E270" s="332">
        <v>0.14519034698079003</v>
      </c>
      <c r="F270" s="332">
        <v>5.3827679353674912E-2</v>
      </c>
      <c r="G270" s="330"/>
      <c r="H270" s="331">
        <f t="shared" si="20"/>
        <v>3388.7509805985114</v>
      </c>
      <c r="I270" s="330"/>
      <c r="J270" s="1"/>
      <c r="K270" s="330"/>
      <c r="L270" s="1"/>
      <c r="M270" s="330"/>
      <c r="N270" s="330"/>
      <c r="O270" s="330"/>
      <c r="P270" s="330"/>
      <c r="Q270" s="329"/>
      <c r="R270" s="331">
        <f t="shared" si="21"/>
        <v>3421.09287612446</v>
      </c>
      <c r="S270" s="331">
        <f t="shared" si="22"/>
        <v>3453.7581906056685</v>
      </c>
      <c r="T270" s="331">
        <f t="shared" si="23"/>
        <v>3486.7501582316891</v>
      </c>
      <c r="U270" s="331">
        <f t="shared" si="24"/>
        <v>3520.0720455339697</v>
      </c>
      <c r="V270" s="330"/>
      <c r="W270" s="330"/>
      <c r="X270" s="330"/>
      <c r="Y270" s="333"/>
      <c r="Z270"/>
      <c r="AA270"/>
      <c r="AB270"/>
    </row>
    <row r="271" spans="1:28" x14ac:dyDescent="0.25">
      <c r="A271" s="330"/>
      <c r="B271" s="332"/>
      <c r="C271" s="332">
        <v>0.12969628355240567</v>
      </c>
      <c r="D271" s="332">
        <v>2.4582643963472199E-2</v>
      </c>
      <c r="E271" s="332">
        <v>3.3579876428263725E-2</v>
      </c>
      <c r="F271" s="332">
        <v>6.095621824436543E-2</v>
      </c>
      <c r="G271" s="330"/>
      <c r="H271" s="331">
        <f t="shared" si="20"/>
        <v>3228.7071766452054</v>
      </c>
      <c r="I271" s="330"/>
      <c r="J271" s="1"/>
      <c r="K271" s="330"/>
      <c r="L271" s="1"/>
      <c r="M271" s="330"/>
      <c r="N271" s="330"/>
      <c r="O271" s="330"/>
      <c r="P271" s="330"/>
      <c r="Q271" s="329"/>
      <c r="R271" s="331">
        <f t="shared" si="21"/>
        <v>3258.6792760915791</v>
      </c>
      <c r="S271" s="331">
        <f t="shared" si="22"/>
        <v>3288.9510965324162</v>
      </c>
      <c r="T271" s="331">
        <f t="shared" si="23"/>
        <v>3319.525635177662</v>
      </c>
      <c r="U271" s="331">
        <f t="shared" si="24"/>
        <v>3350.40591920936</v>
      </c>
      <c r="V271" s="330"/>
      <c r="W271" s="330"/>
      <c r="X271" s="330"/>
      <c r="Y271" s="333"/>
      <c r="Z271"/>
      <c r="AA271"/>
      <c r="AB271"/>
    </row>
    <row r="272" spans="1:28" x14ac:dyDescent="0.25">
      <c r="A272" s="330"/>
      <c r="B272" s="332">
        <v>2.7764620838962827E-2</v>
      </c>
      <c r="C272" s="332">
        <v>-0.44176994765026001</v>
      </c>
      <c r="D272" s="332"/>
      <c r="E272" s="332">
        <v>0.68371944129877515</v>
      </c>
      <c r="F272" s="332">
        <v>0.13068592532690049</v>
      </c>
      <c r="G272" s="330"/>
      <c r="H272" s="331">
        <f t="shared" si="20"/>
        <v>1720.7610837122402</v>
      </c>
      <c r="I272" s="330"/>
      <c r="J272" s="1"/>
      <c r="K272" s="330"/>
      <c r="L272" s="1"/>
      <c r="M272" s="330"/>
      <c r="N272" s="330"/>
      <c r="O272" s="330"/>
      <c r="P272" s="330"/>
      <c r="Q272" s="329"/>
      <c r="R272" s="331">
        <f t="shared" si="21"/>
        <v>1816.4851186228716</v>
      </c>
      <c r="S272" s="331">
        <f t="shared" si="22"/>
        <v>1913.1663938826086</v>
      </c>
      <c r="T272" s="331">
        <f t="shared" si="23"/>
        <v>2010.8144818949431</v>
      </c>
      <c r="U272" s="331">
        <f t="shared" si="24"/>
        <v>2109.4390507874014</v>
      </c>
      <c r="V272" s="330"/>
      <c r="W272" s="330"/>
      <c r="X272" s="330"/>
      <c r="Y272" s="333"/>
      <c r="Z272"/>
      <c r="AA272"/>
      <c r="AB272"/>
    </row>
    <row r="273" spans="1:28" x14ac:dyDescent="0.25">
      <c r="A273" s="330"/>
      <c r="B273" s="332">
        <v>4.2842566772613375E-3</v>
      </c>
      <c r="C273" s="332">
        <v>-0.45025528326428776</v>
      </c>
      <c r="D273" s="332">
        <v>4.260528941951736</v>
      </c>
      <c r="E273" s="332">
        <v>0.1106303286535453</v>
      </c>
      <c r="F273" s="332">
        <v>2.8161681877882809E-2</v>
      </c>
      <c r="G273" s="330"/>
      <c r="H273" s="331">
        <f t="shared" si="20"/>
        <v>2447.6212423501684</v>
      </c>
      <c r="I273" s="330"/>
      <c r="J273" s="1"/>
      <c r="K273" s="330"/>
      <c r="L273" s="1"/>
      <c r="M273" s="330"/>
      <c r="N273" s="330"/>
      <c r="O273" s="330"/>
      <c r="P273" s="330"/>
      <c r="Q273" s="329"/>
      <c r="R273" s="331">
        <f t="shared" si="21"/>
        <v>2491.0329823635602</v>
      </c>
      <c r="S273" s="331">
        <f t="shared" si="22"/>
        <v>2534.8788397770868</v>
      </c>
      <c r="T273" s="331">
        <f t="shared" si="23"/>
        <v>2579.1631557647488</v>
      </c>
      <c r="U273" s="331">
        <f t="shared" si="24"/>
        <v>2623.8903149122871</v>
      </c>
      <c r="V273" s="330"/>
      <c r="W273" s="330"/>
      <c r="X273" s="330"/>
      <c r="Y273" s="333"/>
      <c r="Z273"/>
      <c r="AA273"/>
      <c r="AB273"/>
    </row>
    <row r="274" spans="1:28" x14ac:dyDescent="0.25">
      <c r="A274" s="330"/>
      <c r="B274" s="332">
        <v>1.7858889101775507E-2</v>
      </c>
      <c r="C274" s="332">
        <v>0.34893197840977513</v>
      </c>
      <c r="D274" s="332"/>
      <c r="E274" s="332"/>
      <c r="F274" s="332">
        <v>0.11797623927625754</v>
      </c>
      <c r="G274" s="330"/>
      <c r="H274" s="331">
        <f t="shared" si="20"/>
        <v>1515.4010739660998</v>
      </c>
      <c r="I274" s="330"/>
      <c r="J274" s="1"/>
      <c r="K274" s="330"/>
      <c r="L274" s="1"/>
      <c r="M274" s="330"/>
      <c r="N274" s="330"/>
      <c r="O274" s="330"/>
      <c r="P274" s="330"/>
      <c r="Q274" s="329"/>
      <c r="R274" s="331">
        <f t="shared" si="21"/>
        <v>1569.7586606862114</v>
      </c>
      <c r="S274" s="331">
        <f t="shared" si="22"/>
        <v>1624.659823273525</v>
      </c>
      <c r="T274" s="331">
        <f t="shared" si="23"/>
        <v>1680.109997486712</v>
      </c>
      <c r="U274" s="331">
        <f t="shared" si="24"/>
        <v>1736.1146734420299</v>
      </c>
      <c r="V274" s="330"/>
      <c r="W274" s="330"/>
      <c r="X274" s="330"/>
      <c r="Y274" s="333"/>
      <c r="Z274"/>
      <c r="AA274"/>
      <c r="AB274"/>
    </row>
    <row r="275" spans="1:28" x14ac:dyDescent="0.25">
      <c r="A275" s="330"/>
      <c r="B275" s="332">
        <v>6.353493317383184E-3</v>
      </c>
      <c r="C275" s="332">
        <v>9.4447241474740512E-2</v>
      </c>
      <c r="D275" s="332">
        <v>0.13946038794120164</v>
      </c>
      <c r="E275" s="332">
        <v>0.1590358771264864</v>
      </c>
      <c r="F275" s="332">
        <v>7.6133764003187027E-2</v>
      </c>
      <c r="G275" s="330"/>
      <c r="H275" s="331">
        <f t="shared" si="20"/>
        <v>2966.969943593353</v>
      </c>
      <c r="I275" s="330"/>
      <c r="J275" s="1"/>
      <c r="K275" s="330"/>
      <c r="L275" s="1"/>
      <c r="M275" s="330"/>
      <c r="N275" s="330"/>
      <c r="O275" s="330"/>
      <c r="P275" s="330"/>
      <c r="Q275" s="329"/>
      <c r="R275" s="331">
        <f t="shared" si="21"/>
        <v>3011.1166659247669</v>
      </c>
      <c r="S275" s="331">
        <f t="shared" si="22"/>
        <v>3055.7048554794956</v>
      </c>
      <c r="T275" s="331">
        <f t="shared" si="23"/>
        <v>3100.7389269297714</v>
      </c>
      <c r="U275" s="331">
        <f t="shared" si="24"/>
        <v>3146.2233390945503</v>
      </c>
      <c r="V275" s="330"/>
      <c r="W275" s="330"/>
      <c r="X275" s="330"/>
      <c r="Y275" s="333"/>
      <c r="Z275"/>
      <c r="AA275"/>
      <c r="AB275"/>
    </row>
    <row r="276" spans="1:28" x14ac:dyDescent="0.25">
      <c r="A276" s="330"/>
      <c r="B276" s="332">
        <v>4.5330594147529627E-3</v>
      </c>
      <c r="C276" s="332">
        <v>-0.68972953561912964</v>
      </c>
      <c r="D276" s="332">
        <v>1.0978955971276367</v>
      </c>
      <c r="E276" s="332">
        <v>0.21422516912468514</v>
      </c>
      <c r="F276" s="332">
        <v>6.9181590897412187E-2</v>
      </c>
      <c r="G276" s="330"/>
      <c r="H276" s="331">
        <f t="shared" si="20"/>
        <v>2552.1276724834679</v>
      </c>
      <c r="I276" s="330"/>
      <c r="J276" s="1"/>
      <c r="K276" s="330"/>
      <c r="L276" s="1"/>
      <c r="M276" s="330"/>
      <c r="N276" s="330"/>
      <c r="O276" s="330"/>
      <c r="P276" s="330"/>
      <c r="Q276" s="329"/>
      <c r="R276" s="331">
        <f t="shared" si="21"/>
        <v>2601.491832069411</v>
      </c>
      <c r="S276" s="331">
        <f t="shared" si="22"/>
        <v>2651.3496332512141</v>
      </c>
      <c r="T276" s="331">
        <f t="shared" si="23"/>
        <v>2701.7060124448344</v>
      </c>
      <c r="U276" s="331">
        <f t="shared" si="24"/>
        <v>2752.565955430392</v>
      </c>
      <c r="V276" s="330"/>
      <c r="W276" s="330"/>
      <c r="X276" s="330"/>
      <c r="Y276" s="333"/>
      <c r="Z276"/>
      <c r="AA276"/>
      <c r="AB276"/>
    </row>
    <row r="277" spans="1:28" x14ac:dyDescent="0.25">
      <c r="A277" s="330"/>
      <c r="B277" s="332">
        <v>5.6821763633246886E-3</v>
      </c>
      <c r="C277" s="332">
        <v>0.2182431291555133</v>
      </c>
      <c r="D277" s="332"/>
      <c r="E277" s="332"/>
      <c r="F277" s="332">
        <v>7.9898021588096155E-2</v>
      </c>
      <c r="G277" s="330"/>
      <c r="H277" s="331">
        <f t="shared" si="20"/>
        <v>2625.3450898127885</v>
      </c>
      <c r="I277" s="330"/>
      <c r="J277" s="1"/>
      <c r="K277" s="330"/>
      <c r="L277" s="1"/>
      <c r="M277" s="330"/>
      <c r="N277" s="330"/>
      <c r="O277" s="330"/>
      <c r="P277" s="330"/>
      <c r="Q277" s="329"/>
      <c r="R277" s="331">
        <f t="shared" si="21"/>
        <v>2662.1581266063276</v>
      </c>
      <c r="S277" s="331">
        <f t="shared" si="22"/>
        <v>2699.3392937678036</v>
      </c>
      <c r="T277" s="331">
        <f t="shared" si="23"/>
        <v>2736.8922726008932</v>
      </c>
      <c r="U277" s="331">
        <f t="shared" si="24"/>
        <v>2774.8207812223145</v>
      </c>
      <c r="V277" s="330"/>
      <c r="W277" s="330"/>
      <c r="X277" s="330"/>
      <c r="Y277" s="333"/>
      <c r="Z277"/>
      <c r="AA277"/>
      <c r="AB277"/>
    </row>
    <row r="278" spans="1:28" x14ac:dyDescent="0.25">
      <c r="A278" s="330"/>
      <c r="B278" s="332">
        <v>1.7071659823214508E-3</v>
      </c>
      <c r="C278" s="332">
        <v>-3.4338279881157723E-2</v>
      </c>
      <c r="D278" s="332"/>
      <c r="E278" s="332">
        <v>9.5267163895477971E-2</v>
      </c>
      <c r="F278" s="332">
        <v>7.0776726256362305E-2</v>
      </c>
      <c r="G278" s="330"/>
      <c r="H278" s="331">
        <f t="shared" si="20"/>
        <v>3260.2487456011718</v>
      </c>
      <c r="I278" s="330"/>
      <c r="J278" s="1"/>
      <c r="K278" s="330"/>
      <c r="L278" s="1"/>
      <c r="M278" s="330"/>
      <c r="N278" s="330"/>
      <c r="O278" s="330"/>
      <c r="P278" s="330"/>
      <c r="Q278" s="329"/>
      <c r="R278" s="331">
        <f t="shared" si="21"/>
        <v>3297.8070503177842</v>
      </c>
      <c r="S278" s="331">
        <f t="shared" si="22"/>
        <v>3335.7409380815629</v>
      </c>
      <c r="T278" s="331">
        <f t="shared" si="23"/>
        <v>3374.0541647229793</v>
      </c>
      <c r="U278" s="331">
        <f t="shared" si="24"/>
        <v>3412.7505236308098</v>
      </c>
      <c r="V278" s="330"/>
      <c r="W278" s="330"/>
      <c r="X278" s="330"/>
      <c r="Y278" s="333"/>
      <c r="Z278"/>
      <c r="AA278"/>
      <c r="AB278"/>
    </row>
    <row r="279" spans="1:28" x14ac:dyDescent="0.25">
      <c r="A279" s="330"/>
      <c r="B279" s="332"/>
      <c r="C279" s="332">
        <v>-0.53463925327922568</v>
      </c>
      <c r="D279" s="332">
        <v>3.302624419152433</v>
      </c>
      <c r="E279" s="332">
        <v>0.24031205942023603</v>
      </c>
      <c r="F279" s="332"/>
      <c r="G279" s="330"/>
      <c r="H279" s="331">
        <f t="shared" si="20"/>
        <v>2207.7465673835854</v>
      </c>
      <c r="I279" s="330"/>
      <c r="J279" s="1"/>
      <c r="K279" s="330"/>
      <c r="L279" s="1"/>
      <c r="M279" s="330"/>
      <c r="N279" s="330"/>
      <c r="O279" s="330"/>
      <c r="P279" s="330"/>
      <c r="Q279" s="329"/>
      <c r="R279" s="331">
        <f t="shared" si="21"/>
        <v>2239.3669053639264</v>
      </c>
      <c r="S279" s="331">
        <f t="shared" si="22"/>
        <v>2271.3034467240714</v>
      </c>
      <c r="T279" s="331">
        <f t="shared" si="23"/>
        <v>2303.5593534978179</v>
      </c>
      <c r="U279" s="331">
        <f t="shared" si="24"/>
        <v>2336.1378193393016</v>
      </c>
      <c r="V279" s="330"/>
      <c r="W279" s="330"/>
      <c r="X279" s="330"/>
      <c r="Y279" s="333"/>
      <c r="Z279"/>
      <c r="AA279"/>
      <c r="AB279"/>
    </row>
    <row r="280" spans="1:28" x14ac:dyDescent="0.25">
      <c r="A280" s="330"/>
      <c r="B280" s="332">
        <v>2.4433879958697374E-3</v>
      </c>
      <c r="C280" s="332">
        <v>-0.32811282915772944</v>
      </c>
      <c r="D280" s="332">
        <v>1.3533232326367857</v>
      </c>
      <c r="E280" s="332">
        <v>0.10622817478038785</v>
      </c>
      <c r="F280" s="332">
        <v>6.1887657765194656E-2</v>
      </c>
      <c r="G280" s="330"/>
      <c r="H280" s="331">
        <f t="shared" si="20"/>
        <v>2980.2312930642711</v>
      </c>
      <c r="I280" s="330"/>
      <c r="J280" s="1"/>
      <c r="K280" s="330"/>
      <c r="L280" s="1"/>
      <c r="M280" s="330"/>
      <c r="N280" s="330"/>
      <c r="O280" s="330"/>
      <c r="P280" s="330"/>
      <c r="Q280" s="329"/>
      <c r="R280" s="331">
        <f t="shared" si="21"/>
        <v>3022.1059537848546</v>
      </c>
      <c r="S280" s="331">
        <f t="shared" si="22"/>
        <v>3064.3993611126443</v>
      </c>
      <c r="T280" s="331">
        <f t="shared" si="23"/>
        <v>3107.1157025137118</v>
      </c>
      <c r="U280" s="331">
        <f t="shared" si="24"/>
        <v>3150.2592073287901</v>
      </c>
      <c r="V280" s="330"/>
      <c r="W280" s="330"/>
      <c r="X280" s="330"/>
      <c r="Y280" s="333"/>
      <c r="Z280"/>
      <c r="AA280"/>
      <c r="AB280"/>
    </row>
    <row r="281" spans="1:28" x14ac:dyDescent="0.25">
      <c r="A281" s="330"/>
      <c r="B281" s="332">
        <v>1.2174862010174469E-3</v>
      </c>
      <c r="C281" s="332">
        <v>-6.8487494960098275E-2</v>
      </c>
      <c r="D281" s="332">
        <v>0.14131419931353112</v>
      </c>
      <c r="E281" s="332">
        <v>3.4885531678670249E-2</v>
      </c>
      <c r="F281" s="332">
        <v>7.331715282909039E-2</v>
      </c>
      <c r="G281" s="330"/>
      <c r="H281" s="331">
        <f t="shared" si="20"/>
        <v>3209.2050037713839</v>
      </c>
      <c r="I281" s="330"/>
      <c r="J281" s="1"/>
      <c r="K281" s="330"/>
      <c r="L281" s="1"/>
      <c r="M281" s="330"/>
      <c r="N281" s="330"/>
      <c r="O281" s="330"/>
      <c r="P281" s="330"/>
      <c r="Q281" s="329"/>
      <c r="R281" s="331">
        <f t="shared" si="21"/>
        <v>3245.6166965164525</v>
      </c>
      <c r="S281" s="331">
        <f t="shared" si="22"/>
        <v>3282.3925061889713</v>
      </c>
      <c r="T281" s="331">
        <f t="shared" si="23"/>
        <v>3319.5360739582165</v>
      </c>
      <c r="U281" s="331">
        <f t="shared" si="24"/>
        <v>3357.0510774051536</v>
      </c>
      <c r="V281" s="330"/>
      <c r="W281" s="330"/>
      <c r="X281" s="330"/>
      <c r="Y281"/>
      <c r="Z281"/>
      <c r="AA281"/>
      <c r="AB281"/>
    </row>
    <row r="282" spans="1:28" x14ac:dyDescent="0.25">
      <c r="A282" s="330"/>
      <c r="B282" s="332">
        <v>1.4315590190386036E-4</v>
      </c>
      <c r="C282" s="332">
        <v>0.10702749656993894</v>
      </c>
      <c r="D282" s="332"/>
      <c r="E282" s="332">
        <v>4.1912056285512075E-2</v>
      </c>
      <c r="F282" s="332">
        <v>6.2779730509587225E-2</v>
      </c>
      <c r="G282" s="330"/>
      <c r="H282" s="331">
        <f t="shared" si="20"/>
        <v>3264.8747771391359</v>
      </c>
      <c r="I282" s="330"/>
      <c r="J282" s="1"/>
      <c r="K282" s="330"/>
      <c r="L282" s="1"/>
      <c r="M282" s="330"/>
      <c r="N282" s="330"/>
      <c r="O282" s="330"/>
      <c r="P282" s="330"/>
      <c r="Q282" s="329"/>
      <c r="R282" s="331">
        <f t="shared" si="21"/>
        <v>3295.9773501398377</v>
      </c>
      <c r="S282" s="331">
        <f t="shared" si="22"/>
        <v>3327.3909488705467</v>
      </c>
      <c r="T282" s="331">
        <f t="shared" si="23"/>
        <v>3359.1186835885624</v>
      </c>
      <c r="U282" s="331">
        <f t="shared" si="24"/>
        <v>3391.1636956537586</v>
      </c>
      <c r="V282" s="330"/>
      <c r="W282" s="330"/>
      <c r="X282" s="330"/>
      <c r="Y282" s="333"/>
      <c r="Z282"/>
      <c r="AA282"/>
      <c r="AB282"/>
    </row>
    <row r="283" spans="1:28" x14ac:dyDescent="0.25">
      <c r="A283" s="330"/>
      <c r="B283" s="332"/>
      <c r="C283" s="332">
        <v>-5.0583247058845648</v>
      </c>
      <c r="D283" s="332">
        <v>4.9035266850970789</v>
      </c>
      <c r="E283" s="332">
        <v>0.3439342741411246</v>
      </c>
      <c r="F283" s="332"/>
      <c r="G283" s="330"/>
      <c r="H283" s="331">
        <f t="shared" si="20"/>
        <v>-4400.7294482628276</v>
      </c>
      <c r="I283" s="330"/>
      <c r="J283" s="1"/>
      <c r="K283" s="330"/>
      <c r="L283" s="1"/>
      <c r="M283" s="330"/>
      <c r="N283" s="330"/>
      <c r="O283" s="330"/>
      <c r="P283" s="330"/>
      <c r="Q283" s="329"/>
      <c r="R283" s="331">
        <f t="shared" si="21"/>
        <v>-4354.4497941964555</v>
      </c>
      <c r="S283" s="331">
        <f t="shared" si="22"/>
        <v>-4307.7073435894172</v>
      </c>
      <c r="T283" s="331">
        <f t="shared" si="23"/>
        <v>-4260.4974684763092</v>
      </c>
      <c r="U283" s="331">
        <f t="shared" si="24"/>
        <v>-4212.8154946120712</v>
      </c>
      <c r="V283" s="330"/>
      <c r="W283" s="330"/>
      <c r="X283" s="330"/>
      <c r="Y283" s="333"/>
      <c r="Z283"/>
      <c r="AA283"/>
      <c r="AB283"/>
    </row>
    <row r="284" spans="1:28" x14ac:dyDescent="0.25">
      <c r="A284" s="330"/>
      <c r="B284" s="332"/>
      <c r="C284" s="332">
        <v>-2.8669194133543918</v>
      </c>
      <c r="D284" s="332">
        <v>2.1141872771502146</v>
      </c>
      <c r="E284" s="332">
        <v>0.24828163852748972</v>
      </c>
      <c r="F284" s="332">
        <v>4.767837383132334E-2</v>
      </c>
      <c r="G284" s="330"/>
      <c r="H284" s="331">
        <f t="shared" si="20"/>
        <v>-405.72538944115968</v>
      </c>
      <c r="I284" s="330"/>
      <c r="J284" s="1"/>
      <c r="K284" s="330"/>
      <c r="L284" s="1"/>
      <c r="M284" s="330"/>
      <c r="N284" s="330"/>
      <c r="O284" s="330"/>
      <c r="P284" s="330"/>
      <c r="Q284" s="329"/>
      <c r="R284" s="331">
        <f t="shared" si="21"/>
        <v>-358.6104824684503</v>
      </c>
      <c r="S284" s="331">
        <f t="shared" si="22"/>
        <v>-311.02442642601227</v>
      </c>
      <c r="T284" s="331">
        <f t="shared" si="23"/>
        <v>-262.96250982315087</v>
      </c>
      <c r="U284" s="331">
        <f t="shared" si="24"/>
        <v>-214.41997405425991</v>
      </c>
      <c r="V284" s="330"/>
      <c r="W284" s="330"/>
      <c r="X284" s="330"/>
      <c r="Y284" s="333"/>
      <c r="Z284"/>
      <c r="AA284"/>
      <c r="AB284"/>
    </row>
    <row r="285" spans="1:28" x14ac:dyDescent="0.25">
      <c r="A285" s="330"/>
      <c r="B285" s="332">
        <v>1.9627785829079156E-3</v>
      </c>
      <c r="C285" s="332">
        <v>-0.15903728793282054</v>
      </c>
      <c r="D285" s="332">
        <v>0.71098877704904018</v>
      </c>
      <c r="E285" s="332">
        <v>5.8049886500406156E-2</v>
      </c>
      <c r="F285" s="332">
        <v>6.9434138429466385E-2</v>
      </c>
      <c r="G285" s="330"/>
      <c r="H285" s="331">
        <f t="shared" si="20"/>
        <v>3129.5181959140732</v>
      </c>
      <c r="I285" s="330"/>
      <c r="J285" s="1"/>
      <c r="K285" s="330"/>
      <c r="L285" s="1"/>
      <c r="M285" s="330"/>
      <c r="N285" s="330"/>
      <c r="O285" s="330"/>
      <c r="P285" s="330"/>
      <c r="Q285" s="329"/>
      <c r="R285" s="331">
        <f t="shared" si="21"/>
        <v>3168.6452302019184</v>
      </c>
      <c r="S285" s="331">
        <f t="shared" si="22"/>
        <v>3208.1635348326427</v>
      </c>
      <c r="T285" s="331">
        <f t="shared" si="23"/>
        <v>3248.0770225096744</v>
      </c>
      <c r="U285" s="331">
        <f t="shared" si="24"/>
        <v>3288.3896450634761</v>
      </c>
      <c r="V285" s="330"/>
      <c r="W285" s="330"/>
      <c r="X285" s="330"/>
      <c r="Y285" s="333"/>
      <c r="Z285"/>
      <c r="AA285"/>
      <c r="AB285"/>
    </row>
    <row r="286" spans="1:28" x14ac:dyDescent="0.25">
      <c r="A286" s="330"/>
      <c r="B286" s="332">
        <v>2.3022017910780089E-2</v>
      </c>
      <c r="C286" s="332">
        <v>-0.25393551915812951</v>
      </c>
      <c r="D286" s="332">
        <v>2.6340490439304132</v>
      </c>
      <c r="E286" s="332">
        <v>0.65595641640345315</v>
      </c>
      <c r="F286" s="332">
        <v>7.5924751707495838E-2</v>
      </c>
      <c r="G286" s="330"/>
      <c r="H286" s="331">
        <f t="shared" si="20"/>
        <v>2121.6694173195897</v>
      </c>
      <c r="I286" s="330"/>
      <c r="J286" s="1"/>
      <c r="K286" s="330"/>
      <c r="L286" s="1"/>
      <c r="M286" s="330"/>
      <c r="N286" s="330"/>
      <c r="O286" s="330"/>
      <c r="P286" s="330"/>
      <c r="Q286" s="329"/>
      <c r="R286" s="331">
        <f t="shared" si="21"/>
        <v>2205.9850052670467</v>
      </c>
      <c r="S286" s="331">
        <f t="shared" si="22"/>
        <v>2291.1437490939788</v>
      </c>
      <c r="T286" s="331">
        <f t="shared" si="23"/>
        <v>2377.1540803591793</v>
      </c>
      <c r="U286" s="331">
        <f t="shared" si="24"/>
        <v>2464.024514937033</v>
      </c>
      <c r="V286" s="330"/>
      <c r="W286" s="330"/>
      <c r="X286" s="330"/>
      <c r="Y286" s="333"/>
      <c r="Z286"/>
      <c r="AA286"/>
      <c r="AB286"/>
    </row>
    <row r="287" spans="1:28" x14ac:dyDescent="0.25">
      <c r="A287" s="330"/>
      <c r="B287" s="332">
        <v>1.7370328591457685E-3</v>
      </c>
      <c r="C287" s="332">
        <v>5.4987849467356194E-2</v>
      </c>
      <c r="D287" s="332">
        <v>1.5827937267744374</v>
      </c>
      <c r="E287" s="332">
        <v>0.26659330935015818</v>
      </c>
      <c r="F287" s="332">
        <v>2.6758949104816736E-2</v>
      </c>
      <c r="G287" s="330"/>
      <c r="H287" s="331">
        <f t="shared" si="20"/>
        <v>3191.0428053495489</v>
      </c>
      <c r="I287" s="330"/>
      <c r="J287" s="1"/>
      <c r="K287" s="330"/>
      <c r="L287" s="1"/>
      <c r="M287" s="330"/>
      <c r="N287" s="330"/>
      <c r="O287" s="330"/>
      <c r="P287" s="330"/>
      <c r="Q287" s="329"/>
      <c r="R287" s="331">
        <f t="shared" si="21"/>
        <v>3226.3906316758894</v>
      </c>
      <c r="S287" s="331">
        <f t="shared" si="22"/>
        <v>3262.091936265494</v>
      </c>
      <c r="T287" s="331">
        <f t="shared" si="23"/>
        <v>3298.1502539009939</v>
      </c>
      <c r="U287" s="331">
        <f t="shared" si="24"/>
        <v>3334.5691547128495</v>
      </c>
      <c r="V287" s="330"/>
      <c r="W287" s="330"/>
      <c r="X287" s="330"/>
      <c r="Y287" s="333"/>
      <c r="Z287"/>
      <c r="AA287"/>
      <c r="AB287"/>
    </row>
    <row r="288" spans="1:28" x14ac:dyDescent="0.25">
      <c r="A288" s="330"/>
      <c r="B288" s="332"/>
      <c r="C288" s="332">
        <v>-2.6213787302475668</v>
      </c>
      <c r="D288" s="332">
        <v>4.6803672645438104</v>
      </c>
      <c r="E288" s="332">
        <v>0.21319970035815092</v>
      </c>
      <c r="F288" s="332"/>
      <c r="G288" s="330"/>
      <c r="H288" s="331">
        <f t="shared" si="20"/>
        <v>-859.30340554011764</v>
      </c>
      <c r="I288" s="330"/>
      <c r="J288" s="1"/>
      <c r="K288" s="330"/>
      <c r="L288" s="1"/>
      <c r="M288" s="330"/>
      <c r="N288" s="330"/>
      <c r="O288" s="330"/>
      <c r="P288" s="330"/>
      <c r="Q288" s="329"/>
      <c r="R288" s="331">
        <f t="shared" si="21"/>
        <v>-821.10697859670745</v>
      </c>
      <c r="S288" s="331">
        <f t="shared" si="22"/>
        <v>-782.52858738386317</v>
      </c>
      <c r="T288" s="331">
        <f t="shared" si="23"/>
        <v>-743.56441225889034</v>
      </c>
      <c r="U288" s="331">
        <f t="shared" si="24"/>
        <v>-704.21059538266809</v>
      </c>
      <c r="V288" s="330"/>
      <c r="W288" s="330"/>
      <c r="X288" s="330"/>
      <c r="Y288" s="333"/>
      <c r="Z288"/>
      <c r="AA288"/>
      <c r="AB288"/>
    </row>
    <row r="289" spans="1:28" x14ac:dyDescent="0.25">
      <c r="A289" s="330"/>
      <c r="B289" s="332"/>
      <c r="C289" s="332">
        <v>-0.16034870042647884</v>
      </c>
      <c r="D289" s="332">
        <v>2.0045277845093383</v>
      </c>
      <c r="E289" s="332">
        <v>0.21371344293538821</v>
      </c>
      <c r="F289" s="332">
        <v>2.4285628013374624E-2</v>
      </c>
      <c r="G289" s="330"/>
      <c r="H289" s="331">
        <f t="shared" si="20"/>
        <v>3104.37318739798</v>
      </c>
      <c r="I289" s="330"/>
      <c r="J289" s="1"/>
      <c r="K289" s="330"/>
      <c r="L289" s="1"/>
      <c r="M289" s="330"/>
      <c r="N289" s="330"/>
      <c r="O289" s="330"/>
      <c r="P289" s="330"/>
      <c r="Q289" s="329"/>
      <c r="R289" s="331">
        <f t="shared" si="21"/>
        <v>3138.2790121005323</v>
      </c>
      <c r="S289" s="331">
        <f t="shared" si="22"/>
        <v>3172.5238950501107</v>
      </c>
      <c r="T289" s="331">
        <f t="shared" si="23"/>
        <v>3207.1112268291845</v>
      </c>
      <c r="U289" s="331">
        <f t="shared" si="24"/>
        <v>3242.0444319260491</v>
      </c>
      <c r="V289" s="330"/>
      <c r="W289" s="330"/>
      <c r="X289" s="330"/>
      <c r="Y289" s="333"/>
      <c r="Z289"/>
      <c r="AA289"/>
      <c r="AB289"/>
    </row>
    <row r="290" spans="1:28" x14ac:dyDescent="0.25">
      <c r="A290" s="330"/>
      <c r="B290" s="332">
        <v>7.484526343306951E-4</v>
      </c>
      <c r="C290" s="332">
        <v>-0.5857223840234812</v>
      </c>
      <c r="D290" s="332">
        <v>2.7830890885398283</v>
      </c>
      <c r="E290" s="332">
        <v>0.10963803423984488</v>
      </c>
      <c r="F290" s="332">
        <v>3.7080594839905244E-2</v>
      </c>
      <c r="G290" s="330"/>
      <c r="H290" s="331">
        <f t="shared" si="20"/>
        <v>2654.8933411285443</v>
      </c>
      <c r="I290" s="330"/>
      <c r="J290" s="1"/>
      <c r="K290" s="330"/>
      <c r="L290" s="1"/>
      <c r="M290" s="330"/>
      <c r="N290" s="330"/>
      <c r="O290" s="330"/>
      <c r="P290" s="330"/>
      <c r="Q290" s="329"/>
      <c r="R290" s="331">
        <f t="shared" si="21"/>
        <v>2693.8009483608985</v>
      </c>
      <c r="S290" s="331">
        <f t="shared" si="22"/>
        <v>2733.0976316655765</v>
      </c>
      <c r="T290" s="331">
        <f t="shared" si="23"/>
        <v>2772.787281803302</v>
      </c>
      <c r="U290" s="331">
        <f t="shared" si="24"/>
        <v>2812.8738284424035</v>
      </c>
      <c r="V290" s="330"/>
      <c r="W290" s="330"/>
      <c r="X290" s="330"/>
      <c r="Y290" s="333"/>
      <c r="Z290"/>
      <c r="AA290"/>
      <c r="AB290"/>
    </row>
    <row r="291" spans="1:28" x14ac:dyDescent="0.25">
      <c r="A291" s="330"/>
      <c r="B291" s="332">
        <v>4.626324811503311E-3</v>
      </c>
      <c r="C291" s="332">
        <v>-0.51685303660601134</v>
      </c>
      <c r="D291" s="332">
        <v>3.817372403425884</v>
      </c>
      <c r="E291" s="332">
        <v>0.14729016030305109</v>
      </c>
      <c r="F291" s="332">
        <v>3.6285826449685692E-2</v>
      </c>
      <c r="G291" s="330"/>
      <c r="H291" s="331">
        <f t="shared" si="20"/>
        <v>2549.635135425408</v>
      </c>
      <c r="I291" s="330"/>
      <c r="J291" s="1"/>
      <c r="K291" s="330"/>
      <c r="L291" s="1"/>
      <c r="M291" s="330"/>
      <c r="N291" s="330"/>
      <c r="O291" s="330"/>
      <c r="P291" s="330"/>
      <c r="Q291" s="329"/>
      <c r="R291" s="331">
        <f t="shared" si="21"/>
        <v>2596.1259263213046</v>
      </c>
      <c r="S291" s="331">
        <f t="shared" si="22"/>
        <v>2643.0816251261617</v>
      </c>
      <c r="T291" s="331">
        <f t="shared" si="23"/>
        <v>2690.506880919067</v>
      </c>
      <c r="U291" s="331">
        <f t="shared" si="24"/>
        <v>2738.406389269901</v>
      </c>
      <c r="V291" s="330"/>
      <c r="W291" s="330"/>
      <c r="X291" s="330"/>
      <c r="Y291" s="333"/>
      <c r="Z291"/>
      <c r="AA291"/>
      <c r="AB291"/>
    </row>
    <row r="292" spans="1:28" x14ac:dyDescent="0.25">
      <c r="A292" s="330"/>
      <c r="B292" s="332"/>
      <c r="C292" s="332">
        <v>-0.27533632121939172</v>
      </c>
      <c r="D292" s="332">
        <v>2.3279583298126654</v>
      </c>
      <c r="E292" s="332">
        <v>0.20908441017064847</v>
      </c>
      <c r="F292" s="332">
        <v>2.198229334733803E-2</v>
      </c>
      <c r="G292" s="330"/>
      <c r="H292" s="331">
        <f t="shared" si="20"/>
        <v>2956.3945078714305</v>
      </c>
      <c r="I292" s="330"/>
      <c r="J292" s="1"/>
      <c r="K292" s="330"/>
      <c r="L292" s="1"/>
      <c r="M292" s="330"/>
      <c r="N292" s="330"/>
      <c r="O292" s="330"/>
      <c r="P292" s="330"/>
      <c r="Q292" s="329"/>
      <c r="R292" s="331">
        <f t="shared" si="21"/>
        <v>2990.8729805285516</v>
      </c>
      <c r="S292" s="331">
        <f t="shared" si="22"/>
        <v>3025.6962379122442</v>
      </c>
      <c r="T292" s="331">
        <f t="shared" si="23"/>
        <v>3060.8677278697742</v>
      </c>
      <c r="U292" s="331">
        <f t="shared" si="24"/>
        <v>3096.3909327268784</v>
      </c>
      <c r="V292" s="330"/>
      <c r="W292" s="330"/>
      <c r="X292" s="330"/>
      <c r="Y292" s="333"/>
      <c r="Z292"/>
      <c r="AA292"/>
      <c r="AB292"/>
    </row>
    <row r="293" spans="1:28" x14ac:dyDescent="0.25">
      <c r="A293" s="330"/>
      <c r="B293" s="332">
        <v>1.7259293882122017E-3</v>
      </c>
      <c r="C293" s="332">
        <v>5.5254718506584311E-2</v>
      </c>
      <c r="D293" s="332">
        <v>1.5855292682442257</v>
      </c>
      <c r="E293" s="332">
        <v>0.26635337443397972</v>
      </c>
      <c r="F293" s="332">
        <v>2.6635914304472218E-2</v>
      </c>
      <c r="G293" s="330"/>
      <c r="H293" s="331">
        <f t="shared" si="20"/>
        <v>3189.0140890968551</v>
      </c>
      <c r="I293" s="330"/>
      <c r="J293" s="1"/>
      <c r="K293" s="330"/>
      <c r="L293" s="1"/>
      <c r="M293" s="330"/>
      <c r="N293" s="330"/>
      <c r="O293" s="330"/>
      <c r="P293" s="330"/>
      <c r="Q293" s="329"/>
      <c r="R293" s="331">
        <f t="shared" si="21"/>
        <v>3224.3086184379799</v>
      </c>
      <c r="S293" s="331">
        <f t="shared" si="22"/>
        <v>3259.9560930725165</v>
      </c>
      <c r="T293" s="331">
        <f t="shared" si="23"/>
        <v>3295.9600424533983</v>
      </c>
      <c r="U293" s="331">
        <f t="shared" si="24"/>
        <v>3332.3240313280885</v>
      </c>
      <c r="V293" s="330"/>
      <c r="W293" s="330"/>
      <c r="X293" s="330"/>
      <c r="Y293"/>
      <c r="Z293"/>
      <c r="AA293"/>
      <c r="AB293"/>
    </row>
    <row r="294" spans="1:28" x14ac:dyDescent="0.25">
      <c r="A294" s="330"/>
      <c r="B294" s="332">
        <v>1.8015750956796354E-2</v>
      </c>
      <c r="C294" s="332">
        <v>-0.95706976313219483</v>
      </c>
      <c r="D294" s="332">
        <v>3.0896754796115959</v>
      </c>
      <c r="E294" s="332">
        <v>0.53656429407880946</v>
      </c>
      <c r="F294" s="332">
        <v>7.693079495393193E-2</v>
      </c>
      <c r="G294" s="330"/>
      <c r="H294" s="331">
        <f t="shared" si="20"/>
        <v>1830.4975722557019</v>
      </c>
      <c r="I294" s="330"/>
      <c r="J294" s="1"/>
      <c r="K294" s="330"/>
      <c r="L294" s="1"/>
      <c r="M294" s="330"/>
      <c r="N294" s="330"/>
      <c r="O294" s="330"/>
      <c r="P294" s="330"/>
      <c r="Q294" s="329"/>
      <c r="R294" s="331">
        <f t="shared" si="21"/>
        <v>1911.7162294652653</v>
      </c>
      <c r="S294" s="331">
        <f t="shared" si="22"/>
        <v>1993.747073246926</v>
      </c>
      <c r="T294" s="331">
        <f t="shared" si="23"/>
        <v>2076.5982254664032</v>
      </c>
      <c r="U294" s="331">
        <f t="shared" si="24"/>
        <v>2160.2778892080742</v>
      </c>
      <c r="V294" s="330"/>
      <c r="W294" s="330"/>
      <c r="X294" s="330"/>
      <c r="Y294" s="333"/>
      <c r="Z294"/>
      <c r="AA294"/>
      <c r="AB294"/>
    </row>
    <row r="295" spans="1:28" x14ac:dyDescent="0.25">
      <c r="A295" s="330"/>
      <c r="B295" s="332">
        <v>3.7970439668180383E-3</v>
      </c>
      <c r="C295" s="332">
        <v>-0.25661577463661028</v>
      </c>
      <c r="D295" s="332">
        <v>2.8226618276590107</v>
      </c>
      <c r="E295" s="332">
        <v>0.32940249703394514</v>
      </c>
      <c r="F295" s="332">
        <v>1.8979269956745461E-2</v>
      </c>
      <c r="G295" s="330"/>
      <c r="H295" s="331">
        <f t="shared" si="20"/>
        <v>2797.0904854161217</v>
      </c>
      <c r="I295" s="330"/>
      <c r="J295" s="1"/>
      <c r="K295" s="330"/>
      <c r="L295" s="1"/>
      <c r="M295" s="330"/>
      <c r="N295" s="330"/>
      <c r="O295" s="330"/>
      <c r="P295" s="330"/>
      <c r="Q295" s="329"/>
      <c r="R295" s="331">
        <f t="shared" si="21"/>
        <v>2839.3011774089382</v>
      </c>
      <c r="S295" s="331">
        <f t="shared" si="22"/>
        <v>2881.9339763216831</v>
      </c>
      <c r="T295" s="331">
        <f t="shared" si="23"/>
        <v>2924.9931032235554</v>
      </c>
      <c r="U295" s="331">
        <f t="shared" si="24"/>
        <v>2968.4828213944456</v>
      </c>
      <c r="V295" s="330"/>
      <c r="W295" s="330"/>
      <c r="X295" s="330"/>
      <c r="Y295" s="333"/>
      <c r="Z295"/>
      <c r="AA295"/>
      <c r="AB295"/>
    </row>
    <row r="296" spans="1:28" x14ac:dyDescent="0.25">
      <c r="A296" s="330"/>
      <c r="B296" s="332">
        <v>1.6630582409079071E-3</v>
      </c>
      <c r="C296" s="332">
        <v>-7.7893298887789847E-3</v>
      </c>
      <c r="D296" s="332"/>
      <c r="E296" s="332">
        <v>0.13472369424383399</v>
      </c>
      <c r="F296" s="332">
        <v>6.5876417357383976E-2</v>
      </c>
      <c r="G296" s="330"/>
      <c r="H296" s="331">
        <f t="shared" si="20"/>
        <v>3298.0013342809489</v>
      </c>
      <c r="I296" s="330"/>
      <c r="J296" s="1"/>
      <c r="K296" s="330"/>
      <c r="L296" s="1"/>
      <c r="M296" s="330"/>
      <c r="N296" s="330"/>
      <c r="O296" s="330"/>
      <c r="P296" s="330"/>
      <c r="Q296" s="329"/>
      <c r="R296" s="331">
        <f t="shared" si="21"/>
        <v>3335.3510809825411</v>
      </c>
      <c r="S296" s="331">
        <f t="shared" si="22"/>
        <v>3373.0743251511494</v>
      </c>
      <c r="T296" s="331">
        <f t="shared" si="23"/>
        <v>3411.1748017614436</v>
      </c>
      <c r="U296" s="331">
        <f t="shared" si="24"/>
        <v>3449.6562831378405</v>
      </c>
      <c r="V296" s="330"/>
      <c r="W296" s="330"/>
      <c r="X296" s="330"/>
      <c r="Y296" s="333"/>
      <c r="Z296"/>
      <c r="AA296"/>
      <c r="AB296"/>
    </row>
    <row r="297" spans="1:28" x14ac:dyDescent="0.25">
      <c r="A297" s="330"/>
      <c r="B297" s="332"/>
      <c r="C297" s="332">
        <v>-0.26591018869564509</v>
      </c>
      <c r="D297" s="332">
        <v>2.3070524222448063</v>
      </c>
      <c r="E297" s="332">
        <v>0.20965560829698324</v>
      </c>
      <c r="F297" s="332">
        <v>2.2056077030953133E-2</v>
      </c>
      <c r="G297" s="330"/>
      <c r="H297" s="331">
        <f t="shared" si="20"/>
        <v>2967.4703188137846</v>
      </c>
      <c r="I297" s="330"/>
      <c r="J297" s="1"/>
      <c r="K297" s="330"/>
      <c r="L297" s="1"/>
      <c r="M297" s="330"/>
      <c r="N297" s="330"/>
      <c r="O297" s="330"/>
      <c r="P297" s="330"/>
      <c r="Q297" s="329"/>
      <c r="R297" s="331">
        <f t="shared" si="21"/>
        <v>3001.8913008435093</v>
      </c>
      <c r="S297" s="331">
        <f t="shared" si="22"/>
        <v>3036.6564926935325</v>
      </c>
      <c r="T297" s="331">
        <f t="shared" si="23"/>
        <v>3071.7693364620554</v>
      </c>
      <c r="U297" s="331">
        <f t="shared" si="24"/>
        <v>3107.2333086682638</v>
      </c>
      <c r="V297" s="330"/>
      <c r="W297" s="330"/>
      <c r="X297" s="330"/>
      <c r="Y297"/>
      <c r="Z297"/>
      <c r="AA297"/>
      <c r="AB297"/>
    </row>
    <row r="298" spans="1:28" x14ac:dyDescent="0.25">
      <c r="A298" s="330"/>
      <c r="B298" s="332">
        <v>1.0089283562523331E-3</v>
      </c>
      <c r="C298" s="332">
        <v>-0.22119685064868902</v>
      </c>
      <c r="D298" s="332">
        <v>0.24990361389539478</v>
      </c>
      <c r="E298" s="332">
        <v>0.10550190688910187</v>
      </c>
      <c r="F298" s="332">
        <v>6.675915190175126E-2</v>
      </c>
      <c r="G298" s="330"/>
      <c r="H298" s="331">
        <f t="shared" si="20"/>
        <v>3117.2175685736865</v>
      </c>
      <c r="I298" s="330"/>
      <c r="J298" s="1"/>
      <c r="K298" s="330"/>
      <c r="L298" s="1"/>
      <c r="M298" s="330"/>
      <c r="N298" s="330"/>
      <c r="O298" s="330"/>
      <c r="P298" s="330"/>
      <c r="Q298" s="329"/>
      <c r="R298" s="331">
        <f t="shared" si="21"/>
        <v>3154.9045676418637</v>
      </c>
      <c r="S298" s="331">
        <f t="shared" si="22"/>
        <v>3192.9684367007221</v>
      </c>
      <c r="T298" s="331">
        <f t="shared" si="23"/>
        <v>3231.41294445017</v>
      </c>
      <c r="U298" s="331">
        <f t="shared" si="24"/>
        <v>3270.241897277112</v>
      </c>
      <c r="V298" s="330"/>
      <c r="W298" s="330"/>
      <c r="X298" s="330"/>
      <c r="Y298"/>
      <c r="Z298"/>
      <c r="AA298"/>
      <c r="AB298"/>
    </row>
    <row r="299" spans="1:28" x14ac:dyDescent="0.25">
      <c r="A299" s="330"/>
      <c r="B299" s="332"/>
      <c r="C299" s="332">
        <v>-4.3419362030646731E-2</v>
      </c>
      <c r="D299" s="332"/>
      <c r="E299" s="332">
        <v>5.4312995530207825E-3</v>
      </c>
      <c r="F299" s="332">
        <v>7.2118006894394321E-2</v>
      </c>
      <c r="G299" s="330"/>
      <c r="H299" s="331">
        <f t="shared" si="20"/>
        <v>3273.5479096628897</v>
      </c>
      <c r="I299" s="330"/>
      <c r="J299" s="1"/>
      <c r="K299" s="330"/>
      <c r="L299" s="1"/>
      <c r="M299" s="330"/>
      <c r="N299" s="330"/>
      <c r="O299" s="330"/>
      <c r="P299" s="330"/>
      <c r="Q299" s="329"/>
      <c r="R299" s="331">
        <f t="shared" si="21"/>
        <v>3307.0583887711095</v>
      </c>
      <c r="S299" s="331">
        <f t="shared" si="22"/>
        <v>3340.9039726704113</v>
      </c>
      <c r="T299" s="331">
        <f t="shared" si="23"/>
        <v>3375.0880124087066</v>
      </c>
      <c r="U299" s="331">
        <f t="shared" si="24"/>
        <v>3409.6138925443852</v>
      </c>
      <c r="V299" s="330"/>
      <c r="W299" s="330"/>
      <c r="X299" s="330"/>
      <c r="Y299"/>
      <c r="Z299"/>
      <c r="AA299"/>
      <c r="AB299"/>
    </row>
    <row r="300" spans="1:28" x14ac:dyDescent="0.25">
      <c r="A300" s="330"/>
      <c r="B300" s="332"/>
      <c r="C300" s="332">
        <v>-0.27651804212338904</v>
      </c>
      <c r="D300" s="332">
        <v>2.3261802287877251</v>
      </c>
      <c r="E300" s="332">
        <v>0.20831129852056879</v>
      </c>
      <c r="F300" s="332">
        <v>2.2167974392219566E-2</v>
      </c>
      <c r="G300" s="330"/>
      <c r="H300" s="331">
        <f t="shared" si="20"/>
        <v>2957.7947325161426</v>
      </c>
      <c r="I300" s="330"/>
      <c r="J300" s="1"/>
      <c r="K300" s="330"/>
      <c r="L300" s="1"/>
      <c r="M300" s="330"/>
      <c r="N300" s="330"/>
      <c r="O300" s="330"/>
      <c r="P300" s="330"/>
      <c r="Q300" s="329"/>
      <c r="R300" s="331">
        <f t="shared" si="21"/>
        <v>2992.3083001689238</v>
      </c>
      <c r="S300" s="331">
        <f t="shared" si="22"/>
        <v>3027.167003498233</v>
      </c>
      <c r="T300" s="331">
        <f t="shared" si="23"/>
        <v>3062.3742938608357</v>
      </c>
      <c r="U300" s="331">
        <f t="shared" si="24"/>
        <v>3097.9336571270633</v>
      </c>
      <c r="V300" s="330"/>
      <c r="W300" s="330"/>
      <c r="X300" s="330"/>
      <c r="Y300" s="333"/>
      <c r="Z300"/>
      <c r="AA300"/>
      <c r="AB300"/>
    </row>
    <row r="301" spans="1:28" x14ac:dyDescent="0.25">
      <c r="A301" s="330"/>
      <c r="B301" s="332">
        <v>6.1355117698124427E-3</v>
      </c>
      <c r="C301" s="332">
        <v>5.7484114565295175E-2</v>
      </c>
      <c r="D301" s="332">
        <v>0.33760583886613921</v>
      </c>
      <c r="E301" s="332">
        <v>0.30243007380386761</v>
      </c>
      <c r="F301" s="332">
        <v>6.2095211353222518E-2</v>
      </c>
      <c r="G301" s="330"/>
      <c r="H301" s="331">
        <f t="shared" si="20"/>
        <v>3169.1972465093259</v>
      </c>
      <c r="I301" s="330"/>
      <c r="J301" s="1"/>
      <c r="K301" s="330"/>
      <c r="L301" s="1"/>
      <c r="M301" s="330"/>
      <c r="N301" s="330"/>
      <c r="O301" s="330"/>
      <c r="P301" s="330"/>
      <c r="Q301" s="329"/>
      <c r="R301" s="331">
        <f t="shared" si="21"/>
        <v>3215.4714740444019</v>
      </c>
      <c r="S301" s="331">
        <f t="shared" si="22"/>
        <v>3262.2084438548291</v>
      </c>
      <c r="T301" s="331">
        <f t="shared" si="23"/>
        <v>3309.4127833633611</v>
      </c>
      <c r="U301" s="331">
        <f t="shared" si="24"/>
        <v>3357.0891662669774</v>
      </c>
      <c r="V301" s="330"/>
      <c r="W301" s="330"/>
      <c r="X301" s="330"/>
      <c r="Y301" s="333"/>
      <c r="Z301"/>
      <c r="AA301"/>
      <c r="AB301"/>
    </row>
    <row r="302" spans="1:28" x14ac:dyDescent="0.25">
      <c r="A302" s="330"/>
      <c r="B302" s="332">
        <v>1.9122417665052668E-2</v>
      </c>
      <c r="C302" s="332">
        <v>-0.99400786970018407</v>
      </c>
      <c r="D302" s="332">
        <v>3.2135457476992428</v>
      </c>
      <c r="E302" s="332">
        <v>0.56882950989572378</v>
      </c>
      <c r="F302" s="332">
        <v>7.7560481198358941E-2</v>
      </c>
      <c r="G302" s="330"/>
      <c r="H302" s="331">
        <f t="shared" si="20"/>
        <v>1751.4119775783693</v>
      </c>
      <c r="I302" s="330"/>
      <c r="J302" s="1"/>
      <c r="K302" s="330"/>
      <c r="L302" s="1"/>
      <c r="M302" s="330"/>
      <c r="N302" s="330"/>
      <c r="O302" s="330"/>
      <c r="P302" s="330"/>
      <c r="Q302" s="329"/>
      <c r="R302" s="331">
        <f t="shared" si="21"/>
        <v>1835.3143740378023</v>
      </c>
      <c r="S302" s="331">
        <f t="shared" si="22"/>
        <v>1920.0557944618295</v>
      </c>
      <c r="T302" s="331">
        <f t="shared" si="23"/>
        <v>2005.6446290900976</v>
      </c>
      <c r="U302" s="331">
        <f t="shared" si="24"/>
        <v>2092.0893520646478</v>
      </c>
      <c r="V302" s="330"/>
      <c r="W302" s="330"/>
      <c r="X302" s="330"/>
      <c r="Y302"/>
      <c r="Z302"/>
      <c r="AA302"/>
      <c r="AB302"/>
    </row>
    <row r="303" spans="1:28" x14ac:dyDescent="0.25">
      <c r="A303" s="330"/>
      <c r="B303" s="332">
        <v>1.4432982253863186E-2</v>
      </c>
      <c r="C303" s="332">
        <v>-0.47142079020483285</v>
      </c>
      <c r="D303" s="332">
        <v>1.7472264720489106</v>
      </c>
      <c r="E303" s="332">
        <v>0.48648210340186726</v>
      </c>
      <c r="F303" s="332">
        <v>7.4288194052845077E-2</v>
      </c>
      <c r="G303" s="330"/>
      <c r="H303" s="331">
        <f t="shared" si="20"/>
        <v>2448.9314997684774</v>
      </c>
      <c r="I303" s="330"/>
      <c r="J303" s="1"/>
      <c r="K303" s="330"/>
      <c r="L303" s="1"/>
      <c r="M303" s="330"/>
      <c r="N303" s="330"/>
      <c r="O303" s="330"/>
      <c r="P303" s="330"/>
      <c r="Q303" s="329"/>
      <c r="R303" s="331">
        <f t="shared" si="21"/>
        <v>2518.551755130708</v>
      </c>
      <c r="S303" s="331">
        <f t="shared" si="22"/>
        <v>2588.8682130465604</v>
      </c>
      <c r="T303" s="331">
        <f t="shared" si="23"/>
        <v>2659.8878355415713</v>
      </c>
      <c r="U303" s="331">
        <f t="shared" si="24"/>
        <v>2731.6176542615331</v>
      </c>
      <c r="V303" s="330"/>
      <c r="W303" s="330"/>
      <c r="X303" s="330"/>
      <c r="Y303" s="333"/>
      <c r="Z303"/>
      <c r="AA303"/>
      <c r="AB303"/>
    </row>
    <row r="304" spans="1:28" x14ac:dyDescent="0.25">
      <c r="A304" s="330"/>
      <c r="B304" s="332"/>
      <c r="C304" s="332">
        <v>-1.0006262800656993</v>
      </c>
      <c r="D304" s="332">
        <v>0.8958718484764987</v>
      </c>
      <c r="E304" s="332">
        <v>0.14761637626041943</v>
      </c>
      <c r="F304" s="332">
        <v>5.8713161983943253E-2</v>
      </c>
      <c r="G304" s="330"/>
      <c r="H304" s="331">
        <f t="shared" si="20"/>
        <v>2205.023847881102</v>
      </c>
      <c r="I304" s="330"/>
      <c r="J304" s="1"/>
      <c r="K304" s="330"/>
      <c r="L304" s="1"/>
      <c r="M304" s="330"/>
      <c r="N304" s="330"/>
      <c r="O304" s="330"/>
      <c r="P304" s="330"/>
      <c r="Q304" s="329"/>
      <c r="R304" s="331">
        <f t="shared" si="21"/>
        <v>2244.9344450197614</v>
      </c>
      <c r="S304" s="331">
        <f t="shared" si="22"/>
        <v>2285.2441481298074</v>
      </c>
      <c r="T304" s="331">
        <f t="shared" si="23"/>
        <v>2325.9569482709544</v>
      </c>
      <c r="U304" s="331">
        <f t="shared" si="24"/>
        <v>2367.0768764135123</v>
      </c>
      <c r="V304" s="330"/>
      <c r="W304" s="330"/>
      <c r="X304" s="330"/>
      <c r="Y304" s="333"/>
      <c r="Z304"/>
      <c r="AA304"/>
      <c r="AB304"/>
    </row>
    <row r="305" spans="1:28" x14ac:dyDescent="0.25">
      <c r="A305" s="330"/>
      <c r="B305" s="332">
        <v>4.1309794633319585E-4</v>
      </c>
      <c r="C305" s="332">
        <v>3.8447941072000891E-2</v>
      </c>
      <c r="D305" s="332">
        <v>0.17494695245007591</v>
      </c>
      <c r="E305" s="332">
        <v>0.17343240485954245</v>
      </c>
      <c r="F305" s="332">
        <v>5.2839948134454355E-2</v>
      </c>
      <c r="G305" s="330"/>
      <c r="H305" s="331">
        <f t="shared" si="20"/>
        <v>3400.2827708668456</v>
      </c>
      <c r="I305" s="330"/>
      <c r="J305" s="1"/>
      <c r="K305" s="330"/>
      <c r="L305" s="1"/>
      <c r="M305" s="330"/>
      <c r="N305" s="330"/>
      <c r="O305" s="330"/>
      <c r="P305" s="330"/>
      <c r="Q305" s="329"/>
      <c r="R305" s="331">
        <f t="shared" si="21"/>
        <v>3434.6502257301736</v>
      </c>
      <c r="S305" s="331">
        <f t="shared" si="22"/>
        <v>3469.3613551421345</v>
      </c>
      <c r="T305" s="331">
        <f t="shared" si="23"/>
        <v>3504.4195958482151</v>
      </c>
      <c r="U305" s="331">
        <f t="shared" si="24"/>
        <v>3539.828418961356</v>
      </c>
      <c r="V305" s="330"/>
      <c r="W305" s="330"/>
      <c r="X305" s="330"/>
      <c r="Y305"/>
      <c r="Z305"/>
      <c r="AA305"/>
      <c r="AB305"/>
    </row>
    <row r="306" spans="1:28" x14ac:dyDescent="0.25">
      <c r="A306" s="330"/>
      <c r="B306" s="332">
        <v>6.1635189427868955E-5</v>
      </c>
      <c r="C306" s="332">
        <v>-0.27025719597001946</v>
      </c>
      <c r="D306" s="332">
        <v>2.3273575040781465</v>
      </c>
      <c r="E306" s="332">
        <v>0.21015467291187323</v>
      </c>
      <c r="F306" s="332">
        <v>2.2170756617074665E-2</v>
      </c>
      <c r="G306" s="330"/>
      <c r="H306" s="331">
        <f t="shared" si="20"/>
        <v>2963.6746878184667</v>
      </c>
      <c r="I306" s="330"/>
      <c r="J306" s="1"/>
      <c r="K306" s="330"/>
      <c r="L306" s="1"/>
      <c r="M306" s="330"/>
      <c r="N306" s="330"/>
      <c r="O306" s="330"/>
      <c r="P306" s="330"/>
      <c r="Q306" s="329"/>
      <c r="R306" s="331">
        <f t="shared" si="21"/>
        <v>2998.2920995299646</v>
      </c>
      <c r="S306" s="331">
        <f t="shared" si="22"/>
        <v>3033.2556853585775</v>
      </c>
      <c r="T306" s="331">
        <f t="shared" si="23"/>
        <v>3068.5689070454764</v>
      </c>
      <c r="U306" s="331">
        <f t="shared" si="24"/>
        <v>3104.2352609492436</v>
      </c>
      <c r="V306" s="330"/>
      <c r="W306" s="330"/>
      <c r="X306" s="330"/>
      <c r="Y306" s="333"/>
      <c r="Z306"/>
      <c r="AA306"/>
      <c r="AB306"/>
    </row>
    <row r="307" spans="1:28" x14ac:dyDescent="0.25">
      <c r="A307" s="330"/>
      <c r="B307" s="332">
        <v>1.7097545185517962E-4</v>
      </c>
      <c r="C307" s="332">
        <v>7.1441488004879566E-2</v>
      </c>
      <c r="D307" s="332">
        <v>1.0782954852525248</v>
      </c>
      <c r="E307" s="332">
        <v>0.1853352500409981</v>
      </c>
      <c r="F307" s="332">
        <v>3.4890836269671183E-2</v>
      </c>
      <c r="G307" s="330"/>
      <c r="H307" s="331">
        <f t="shared" si="20"/>
        <v>3279.0860725407001</v>
      </c>
      <c r="I307" s="330"/>
      <c r="J307" s="1"/>
      <c r="K307" s="330"/>
      <c r="L307" s="1"/>
      <c r="M307" s="330"/>
      <c r="N307" s="330"/>
      <c r="O307" s="330"/>
      <c r="P307" s="330"/>
      <c r="Q307" s="329"/>
      <c r="R307" s="331">
        <f t="shared" si="21"/>
        <v>3311.0367104988427</v>
      </c>
      <c r="S307" s="331">
        <f t="shared" si="22"/>
        <v>3343.3068548365668</v>
      </c>
      <c r="T307" s="331">
        <f t="shared" si="23"/>
        <v>3375.8997006176683</v>
      </c>
      <c r="U307" s="331">
        <f t="shared" si="24"/>
        <v>3408.8184748565809</v>
      </c>
      <c r="V307" s="330"/>
      <c r="W307" s="330"/>
      <c r="X307" s="330"/>
      <c r="Y307" s="333"/>
      <c r="Z307"/>
      <c r="AA307"/>
      <c r="AB307"/>
    </row>
    <row r="308" spans="1:28" x14ac:dyDescent="0.25">
      <c r="A308" s="330"/>
      <c r="B308" s="332">
        <v>1.177492332293021E-2</v>
      </c>
      <c r="C308" s="332">
        <v>-3.1619910678158954E-2</v>
      </c>
      <c r="D308" s="332">
        <v>0.72473467199532426</v>
      </c>
      <c r="E308" s="332">
        <v>0.43596965331468424</v>
      </c>
      <c r="F308" s="332">
        <v>7.0604266865539972E-2</v>
      </c>
      <c r="G308" s="330"/>
      <c r="H308" s="331">
        <f t="shared" si="20"/>
        <v>2885.4971032649</v>
      </c>
      <c r="I308" s="330"/>
      <c r="J308" s="1"/>
      <c r="K308" s="330"/>
      <c r="L308" s="1"/>
      <c r="M308" s="330"/>
      <c r="N308" s="330"/>
      <c r="O308" s="330"/>
      <c r="P308" s="330"/>
      <c r="Q308" s="329"/>
      <c r="R308" s="331">
        <f t="shared" si="21"/>
        <v>2944.8710193745965</v>
      </c>
      <c r="S308" s="331">
        <f t="shared" si="22"/>
        <v>3004.8386746453898</v>
      </c>
      <c r="T308" s="331">
        <f t="shared" si="23"/>
        <v>3065.406006468892</v>
      </c>
      <c r="U308" s="331">
        <f t="shared" si="24"/>
        <v>3126.5790116106277</v>
      </c>
      <c r="V308" s="330"/>
      <c r="W308" s="330"/>
      <c r="X308" s="330"/>
      <c r="Y308" s="333"/>
      <c r="Z308"/>
      <c r="AA308"/>
      <c r="AB308"/>
    </row>
    <row r="309" spans="1:28" x14ac:dyDescent="0.25">
      <c r="A309" s="330"/>
      <c r="B309" s="332"/>
      <c r="C309" s="332">
        <v>-0.16034870042647456</v>
      </c>
      <c r="D309" s="332">
        <v>2.0045277845093294</v>
      </c>
      <c r="E309" s="332">
        <v>0.21371344293538863</v>
      </c>
      <c r="F309" s="332">
        <v>2.4285628013374642E-2</v>
      </c>
      <c r="G309" s="330"/>
      <c r="H309" s="331">
        <f t="shared" si="20"/>
        <v>3104.373187397985</v>
      </c>
      <c r="I309" s="330"/>
      <c r="J309" s="1"/>
      <c r="K309" s="330"/>
      <c r="L309" s="1"/>
      <c r="M309" s="330"/>
      <c r="N309" s="330"/>
      <c r="O309" s="330"/>
      <c r="P309" s="330"/>
      <c r="Q309" s="329"/>
      <c r="R309" s="331">
        <f t="shared" si="21"/>
        <v>3138.2790121005378</v>
      </c>
      <c r="S309" s="331">
        <f t="shared" si="22"/>
        <v>3172.5238950501162</v>
      </c>
      <c r="T309" s="331">
        <f t="shared" si="23"/>
        <v>3207.1112268291899</v>
      </c>
      <c r="U309" s="331">
        <f t="shared" si="24"/>
        <v>3242.044431926055</v>
      </c>
      <c r="V309" s="330"/>
      <c r="W309" s="330"/>
      <c r="X309" s="330"/>
      <c r="Y309" s="333"/>
      <c r="Z309"/>
      <c r="AA309"/>
      <c r="AB309"/>
    </row>
    <row r="310" spans="1:28" x14ac:dyDescent="0.25">
      <c r="A310" s="330"/>
      <c r="B310" s="332"/>
      <c r="C310" s="332">
        <v>-4.3419362030646266E-2</v>
      </c>
      <c r="D310" s="332"/>
      <c r="E310" s="332">
        <v>5.4312995530212309E-3</v>
      </c>
      <c r="F310" s="332">
        <v>7.2118006894394293E-2</v>
      </c>
      <c r="G310" s="330"/>
      <c r="H310" s="331">
        <f t="shared" si="20"/>
        <v>3273.5479096628915</v>
      </c>
      <c r="I310" s="330"/>
      <c r="J310" s="1"/>
      <c r="K310" s="330"/>
      <c r="L310" s="1"/>
      <c r="M310" s="330"/>
      <c r="N310" s="330"/>
      <c r="O310" s="330"/>
      <c r="P310" s="330"/>
      <c r="Q310" s="329"/>
      <c r="R310" s="331">
        <f t="shared" si="21"/>
        <v>3307.0583887711114</v>
      </c>
      <c r="S310" s="331">
        <f t="shared" si="22"/>
        <v>3340.9039726704136</v>
      </c>
      <c r="T310" s="331">
        <f t="shared" si="23"/>
        <v>3375.0880124087084</v>
      </c>
      <c r="U310" s="331">
        <f t="shared" si="24"/>
        <v>3409.613892544387</v>
      </c>
      <c r="V310" s="330"/>
      <c r="W310" s="330"/>
      <c r="X310" s="330"/>
      <c r="Y310" s="333"/>
      <c r="Z310"/>
      <c r="AA310"/>
      <c r="AB310"/>
    </row>
    <row r="311" spans="1:28" x14ac:dyDescent="0.25">
      <c r="A311" s="330"/>
      <c r="B311" s="332">
        <v>1.2071120993676698E-4</v>
      </c>
      <c r="C311" s="332">
        <v>7.7156900375980442E-2</v>
      </c>
      <c r="D311" s="332">
        <v>0.19871628488126331</v>
      </c>
      <c r="E311" s="332">
        <v>0.17885707627558622</v>
      </c>
      <c r="F311" s="332">
        <v>4.8646902725229306E-2</v>
      </c>
      <c r="G311" s="330"/>
      <c r="H311" s="331">
        <f t="shared" si="20"/>
        <v>3392.5103753961826</v>
      </c>
      <c r="I311" s="330"/>
      <c r="J311" s="1"/>
      <c r="K311" s="330"/>
      <c r="L311" s="1"/>
      <c r="M311" s="330"/>
      <c r="N311" s="330"/>
      <c r="O311" s="330"/>
      <c r="P311" s="330"/>
      <c r="Q311" s="329"/>
      <c r="R311" s="331">
        <f t="shared" si="21"/>
        <v>3425.3653723524362</v>
      </c>
      <c r="S311" s="331">
        <f t="shared" si="22"/>
        <v>3458.548919278252</v>
      </c>
      <c r="T311" s="331">
        <f t="shared" si="23"/>
        <v>3492.0643016733266</v>
      </c>
      <c r="U311" s="331">
        <f t="shared" si="24"/>
        <v>3525.914837892351</v>
      </c>
      <c r="V311" s="330"/>
      <c r="W311" s="330"/>
      <c r="X311" s="330"/>
      <c r="Y311" s="333"/>
      <c r="Z311"/>
      <c r="AA311"/>
      <c r="AB311"/>
    </row>
    <row r="312" spans="1:28" x14ac:dyDescent="0.25">
      <c r="A312" s="330"/>
      <c r="B312" s="332"/>
      <c r="C312" s="332">
        <v>-4.3419362030644691E-2</v>
      </c>
      <c r="D312" s="332"/>
      <c r="E312" s="332">
        <v>5.4312995530201554E-3</v>
      </c>
      <c r="F312" s="332">
        <v>7.2118006894394418E-2</v>
      </c>
      <c r="G312" s="330"/>
      <c r="H312" s="331">
        <f t="shared" si="20"/>
        <v>3273.5479096628942</v>
      </c>
      <c r="I312" s="330"/>
      <c r="J312" s="1"/>
      <c r="K312" s="330"/>
      <c r="L312" s="1"/>
      <c r="M312" s="330"/>
      <c r="N312" s="330"/>
      <c r="O312" s="330"/>
      <c r="P312" s="330"/>
      <c r="Q312" s="329"/>
      <c r="R312" s="331">
        <f t="shared" si="21"/>
        <v>3307.0583887711136</v>
      </c>
      <c r="S312" s="331">
        <f t="shared" si="22"/>
        <v>3340.9039726704159</v>
      </c>
      <c r="T312" s="331">
        <f t="shared" si="23"/>
        <v>3375.0880124087116</v>
      </c>
      <c r="U312" s="331">
        <f t="shared" si="24"/>
        <v>3409.6138925443897</v>
      </c>
      <c r="V312" s="330"/>
      <c r="W312" s="330"/>
      <c r="X312" s="330"/>
      <c r="Y312" s="333"/>
      <c r="Z312"/>
      <c r="AA312"/>
      <c r="AB312"/>
    </row>
    <row r="313" spans="1:28" x14ac:dyDescent="0.25">
      <c r="A313" s="330"/>
      <c r="B313" s="332">
        <v>2.2203128823860031E-3</v>
      </c>
      <c r="C313" s="332">
        <v>-0.1181242728804397</v>
      </c>
      <c r="D313" s="332">
        <v>0.41533725943819244</v>
      </c>
      <c r="E313" s="332">
        <v>0.11598050920002761</v>
      </c>
      <c r="F313" s="332">
        <v>6.8132907513101831E-2</v>
      </c>
      <c r="G313" s="330"/>
      <c r="H313" s="331">
        <f t="shared" si="20"/>
        <v>3206.6162152390916</v>
      </c>
      <c r="I313" s="330"/>
      <c r="J313" s="1"/>
      <c r="K313" s="330"/>
      <c r="L313" s="1"/>
      <c r="M313" s="330"/>
      <c r="N313" s="330"/>
      <c r="O313" s="330"/>
      <c r="P313" s="330"/>
      <c r="Q313" s="329"/>
      <c r="R313" s="331">
        <f t="shared" si="21"/>
        <v>3246.4391146288249</v>
      </c>
      <c r="S313" s="331">
        <f t="shared" si="22"/>
        <v>3286.6602430124558</v>
      </c>
      <c r="T313" s="331">
        <f t="shared" si="23"/>
        <v>3327.2835826799228</v>
      </c>
      <c r="U313" s="331">
        <f t="shared" si="24"/>
        <v>3368.3131557440647</v>
      </c>
      <c r="V313" s="330"/>
      <c r="W313" s="330"/>
      <c r="X313" s="330"/>
      <c r="Y313" s="333"/>
      <c r="Z313"/>
      <c r="AA313"/>
      <c r="AB313"/>
    </row>
    <row r="314" spans="1:28" x14ac:dyDescent="0.25">
      <c r="A314" s="330"/>
      <c r="B314" s="332">
        <v>5.6784330623523727E-5</v>
      </c>
      <c r="C314" s="332">
        <v>-0.14595492970124607</v>
      </c>
      <c r="D314" s="332">
        <v>1.9608231250463817</v>
      </c>
      <c r="E314" s="332">
        <v>0.21670072816952576</v>
      </c>
      <c r="F314" s="332">
        <v>2.4472221700955196E-2</v>
      </c>
      <c r="G314" s="330"/>
      <c r="H314" s="331">
        <f t="shared" si="20"/>
        <v>3114.4042775595044</v>
      </c>
      <c r="I314" s="330"/>
      <c r="J314" s="1"/>
      <c r="K314" s="330"/>
      <c r="L314" s="1"/>
      <c r="M314" s="330"/>
      <c r="N314" s="330"/>
      <c r="O314" s="330"/>
      <c r="P314" s="330"/>
      <c r="Q314" s="329"/>
      <c r="R314" s="331">
        <f t="shared" si="21"/>
        <v>3148.2979513992514</v>
      </c>
      <c r="S314" s="331">
        <f t="shared" si="22"/>
        <v>3182.5305619773958</v>
      </c>
      <c r="T314" s="331">
        <f t="shared" si="23"/>
        <v>3217.1054986613217</v>
      </c>
      <c r="U314" s="331">
        <f t="shared" si="24"/>
        <v>3252.026184712086</v>
      </c>
      <c r="V314" s="330"/>
      <c r="W314" s="330"/>
      <c r="X314" s="330"/>
      <c r="Y314"/>
      <c r="Z314"/>
      <c r="AA314"/>
      <c r="AB314"/>
    </row>
    <row r="315" spans="1:28" x14ac:dyDescent="0.25">
      <c r="A315" s="330"/>
      <c r="B315" s="332">
        <v>5.9957203894025306E-6</v>
      </c>
      <c r="C315" s="332">
        <v>-0.33983309628934527</v>
      </c>
      <c r="D315" s="332">
        <v>0.75862997219559647</v>
      </c>
      <c r="E315" s="332">
        <v>0.15435106639207863</v>
      </c>
      <c r="F315" s="332">
        <v>5.2277883122988728E-2</v>
      </c>
      <c r="G315" s="330"/>
      <c r="H315" s="331">
        <f t="shared" si="20"/>
        <v>3041.8989050440914</v>
      </c>
      <c r="I315" s="330"/>
      <c r="J315" s="1"/>
      <c r="K315" s="330"/>
      <c r="L315" s="1"/>
      <c r="M315" s="330"/>
      <c r="N315" s="330"/>
      <c r="O315" s="330"/>
      <c r="P315" s="330"/>
      <c r="Q315" s="329"/>
      <c r="R315" s="331">
        <f t="shared" si="21"/>
        <v>3078.3988889055604</v>
      </c>
      <c r="S315" s="331">
        <f t="shared" si="22"/>
        <v>3115.2638726056443</v>
      </c>
      <c r="T315" s="331">
        <f t="shared" si="23"/>
        <v>3152.497506142729</v>
      </c>
      <c r="U315" s="331">
        <f t="shared" si="24"/>
        <v>3190.1034760151842</v>
      </c>
      <c r="V315" s="330"/>
      <c r="W315" s="330"/>
      <c r="X315" s="330"/>
      <c r="Y315" s="333"/>
      <c r="Z315"/>
      <c r="AA315"/>
      <c r="AB315"/>
    </row>
    <row r="316" spans="1:28" x14ac:dyDescent="0.25">
      <c r="A316" s="330"/>
      <c r="B316" s="332">
        <v>2.7567280107226966E-3</v>
      </c>
      <c r="C316" s="332">
        <v>-0.62897841809312394</v>
      </c>
      <c r="D316" s="332">
        <v>1.3730670488245196</v>
      </c>
      <c r="E316" s="332">
        <v>0.20919412412908839</v>
      </c>
      <c r="F316" s="332">
        <v>5.7342258869141967E-2</v>
      </c>
      <c r="G316" s="330"/>
      <c r="H316" s="331">
        <f t="shared" ref="H316:H379" si="25">SUMPRODUCT(B316:F316,B$56:F$56)</f>
        <v>2700.2879576718124</v>
      </c>
      <c r="I316" s="330"/>
      <c r="J316" s="1"/>
      <c r="K316" s="330"/>
      <c r="L316" s="1"/>
      <c r="M316" s="330"/>
      <c r="N316" s="330"/>
      <c r="O316" s="330"/>
      <c r="P316" s="330"/>
      <c r="Q316" s="329"/>
      <c r="R316" s="331">
        <f t="shared" ref="R316:R379" si="26">SUMPRODUCT($B316:$F316,$K$59:$O$59)</f>
        <v>2745.530503509784</v>
      </c>
      <c r="S316" s="331">
        <f t="shared" ref="S316:S379" si="27">SUMPRODUCT($B316:$F316,$K$60:$O$60)</f>
        <v>2791.2254748061359</v>
      </c>
      <c r="T316" s="331">
        <f t="shared" ref="T316:T379" si="28">SUMPRODUCT($B316:$F316,$K$61:$O$61)</f>
        <v>2837.3773958154511</v>
      </c>
      <c r="U316" s="331">
        <f t="shared" ref="U316:U379" si="29">SUMPRODUCT($B316:$F316,$K$62:$O$62)</f>
        <v>2883.9908360348591</v>
      </c>
      <c r="V316" s="330"/>
      <c r="W316" s="330"/>
      <c r="X316" s="330"/>
      <c r="Y316" s="333"/>
      <c r="Z316"/>
      <c r="AA316"/>
      <c r="AB316"/>
    </row>
    <row r="317" spans="1:28" x14ac:dyDescent="0.25">
      <c r="A317" s="330"/>
      <c r="B317" s="332">
        <v>1.4768408110998623E-3</v>
      </c>
      <c r="C317" s="332">
        <v>9.2692225626945138E-2</v>
      </c>
      <c r="D317" s="332"/>
      <c r="E317" s="332">
        <v>0.19342571906796707</v>
      </c>
      <c r="F317" s="332">
        <v>5.5819318699616649E-2</v>
      </c>
      <c r="G317" s="330"/>
      <c r="H317" s="331">
        <f t="shared" si="25"/>
        <v>3366.2256652050473</v>
      </c>
      <c r="I317" s="330"/>
      <c r="J317" s="1"/>
      <c r="K317" s="330"/>
      <c r="L317" s="1"/>
      <c r="M317" s="330"/>
      <c r="N317" s="330"/>
      <c r="O317" s="330"/>
      <c r="P317" s="330"/>
      <c r="Q317" s="329"/>
      <c r="R317" s="331">
        <f t="shared" si="26"/>
        <v>3401.9904181279503</v>
      </c>
      <c r="S317" s="331">
        <f t="shared" si="27"/>
        <v>3438.1128185800826</v>
      </c>
      <c r="T317" s="331">
        <f t="shared" si="28"/>
        <v>3474.5964430367358</v>
      </c>
      <c r="U317" s="331">
        <f t="shared" si="29"/>
        <v>3511.4449037379563</v>
      </c>
      <c r="V317" s="330"/>
      <c r="W317" s="330"/>
      <c r="X317" s="330"/>
      <c r="Y317" s="333"/>
      <c r="Z317"/>
      <c r="AA317"/>
      <c r="AB317"/>
    </row>
    <row r="318" spans="1:28" x14ac:dyDescent="0.25">
      <c r="A318" s="330"/>
      <c r="B318" s="332">
        <v>1.4768408110999414E-3</v>
      </c>
      <c r="C318" s="332">
        <v>9.2692225626945735E-2</v>
      </c>
      <c r="D318" s="332"/>
      <c r="E318" s="332">
        <v>0.19342571906796915</v>
      </c>
      <c r="F318" s="332">
        <v>5.5819318699616746E-2</v>
      </c>
      <c r="G318" s="330"/>
      <c r="H318" s="331">
        <f t="shared" si="25"/>
        <v>3366.2256652050437</v>
      </c>
      <c r="I318" s="330"/>
      <c r="J318" s="1"/>
      <c r="K318" s="330"/>
      <c r="L318" s="1"/>
      <c r="M318" s="330"/>
      <c r="N318" s="330"/>
      <c r="O318" s="330"/>
      <c r="P318" s="330"/>
      <c r="Q318" s="329"/>
      <c r="R318" s="331">
        <f t="shared" si="26"/>
        <v>3401.9904181279467</v>
      </c>
      <c r="S318" s="331">
        <f t="shared" si="27"/>
        <v>3438.112818580079</v>
      </c>
      <c r="T318" s="331">
        <f t="shared" si="28"/>
        <v>3474.596443036733</v>
      </c>
      <c r="U318" s="331">
        <f t="shared" si="29"/>
        <v>3511.4449037379527</v>
      </c>
      <c r="V318" s="330"/>
      <c r="W318" s="330"/>
      <c r="X318" s="330"/>
      <c r="Y318" s="333"/>
      <c r="Z318"/>
      <c r="AA318"/>
      <c r="AB318"/>
    </row>
    <row r="319" spans="1:28" x14ac:dyDescent="0.25">
      <c r="A319" s="330"/>
      <c r="B319" s="332">
        <v>3.1782783854021286E-2</v>
      </c>
      <c r="C319" s="332">
        <v>-15.447624634677295</v>
      </c>
      <c r="D319" s="332">
        <v>11.267339909127003</v>
      </c>
      <c r="E319" s="332">
        <v>1.4008734200290613</v>
      </c>
      <c r="F319" s="332"/>
      <c r="G319" s="330"/>
      <c r="H319" s="331">
        <f t="shared" si="25"/>
        <v>-21852.71946110795</v>
      </c>
      <c r="I319" s="330"/>
      <c r="J319" s="1"/>
      <c r="K319" s="330"/>
      <c r="L319" s="1"/>
      <c r="M319" s="330"/>
      <c r="N319" s="330"/>
      <c r="O319" s="330"/>
      <c r="P319" s="330"/>
      <c r="Q319" s="329"/>
      <c r="R319" s="331">
        <f t="shared" si="26"/>
        <v>-21714.666112293322</v>
      </c>
      <c r="S319" s="331">
        <f t="shared" si="27"/>
        <v>-21575.232229990546</v>
      </c>
      <c r="T319" s="331">
        <f t="shared" si="28"/>
        <v>-21434.404008864742</v>
      </c>
      <c r="U319" s="331">
        <f t="shared" si="29"/>
        <v>-21292.167505527679</v>
      </c>
      <c r="V319" s="330"/>
      <c r="W319" s="330"/>
      <c r="X319" s="330"/>
      <c r="Y319" s="333"/>
      <c r="Z319"/>
      <c r="AA319"/>
      <c r="AB319"/>
    </row>
    <row r="320" spans="1:28" x14ac:dyDescent="0.25">
      <c r="A320" s="330"/>
      <c r="B320" s="332"/>
      <c r="C320" s="332">
        <v>-0.160348700426476</v>
      </c>
      <c r="D320" s="332">
        <v>2.0045277845093343</v>
      </c>
      <c r="E320" s="332">
        <v>0.21371344293538785</v>
      </c>
      <c r="F320" s="332">
        <v>2.4285628013374673E-2</v>
      </c>
      <c r="G320" s="330"/>
      <c r="H320" s="331">
        <f t="shared" si="25"/>
        <v>3104.3731873979832</v>
      </c>
      <c r="I320" s="330"/>
      <c r="J320" s="1"/>
      <c r="K320" s="330"/>
      <c r="L320" s="1"/>
      <c r="M320" s="330"/>
      <c r="N320" s="330"/>
      <c r="O320" s="330"/>
      <c r="P320" s="330"/>
      <c r="Q320" s="329"/>
      <c r="R320" s="331">
        <f t="shared" si="26"/>
        <v>3138.2790121005355</v>
      </c>
      <c r="S320" s="331">
        <f t="shared" si="27"/>
        <v>3172.5238950501143</v>
      </c>
      <c r="T320" s="331">
        <f t="shared" si="28"/>
        <v>3207.1112268291881</v>
      </c>
      <c r="U320" s="331">
        <f t="shared" si="29"/>
        <v>3242.0444319260523</v>
      </c>
      <c r="V320" s="330"/>
      <c r="W320" s="330"/>
      <c r="X320" s="330"/>
      <c r="Y320" s="333"/>
      <c r="Z320"/>
      <c r="AA320"/>
      <c r="AB320"/>
    </row>
    <row r="321" spans="1:28" x14ac:dyDescent="0.25">
      <c r="A321" s="330"/>
      <c r="B321" s="332">
        <v>5.6784330623526024E-5</v>
      </c>
      <c r="C321" s="332">
        <v>-0.14595492970124574</v>
      </c>
      <c r="D321" s="332">
        <v>1.960823125046381</v>
      </c>
      <c r="E321" s="332">
        <v>0.21670072816952626</v>
      </c>
      <c r="F321" s="332">
        <v>2.4472221700955126E-2</v>
      </c>
      <c r="G321" s="330"/>
      <c r="H321" s="331">
        <f t="shared" si="25"/>
        <v>3114.4042775595035</v>
      </c>
      <c r="I321" s="330"/>
      <c r="J321" s="1"/>
      <c r="K321" s="330"/>
      <c r="L321" s="1"/>
      <c r="M321" s="330"/>
      <c r="N321" s="330"/>
      <c r="O321" s="330"/>
      <c r="P321" s="330"/>
      <c r="Q321" s="329"/>
      <c r="R321" s="331">
        <f t="shared" si="26"/>
        <v>3148.2979513992505</v>
      </c>
      <c r="S321" s="331">
        <f t="shared" si="27"/>
        <v>3182.5305619773944</v>
      </c>
      <c r="T321" s="331">
        <f t="shared" si="28"/>
        <v>3217.1054986613199</v>
      </c>
      <c r="U321" s="331">
        <f t="shared" si="29"/>
        <v>3252.0261847120851</v>
      </c>
      <c r="V321" s="330"/>
      <c r="W321" s="330"/>
      <c r="X321" s="330"/>
      <c r="Y321" s="333"/>
      <c r="Z321"/>
      <c r="AA321"/>
      <c r="AB321"/>
    </row>
    <row r="322" spans="1:28" x14ac:dyDescent="0.25">
      <c r="A322" s="330"/>
      <c r="B322" s="332">
        <v>5.6242720494518198E-3</v>
      </c>
      <c r="C322" s="332">
        <v>5.4249714768893391E-2</v>
      </c>
      <c r="D322" s="332">
        <v>8.4789047668191439E-2</v>
      </c>
      <c r="E322" s="332">
        <v>0.28660303234424056</v>
      </c>
      <c r="F322" s="332">
        <v>6.4679939611079609E-2</v>
      </c>
      <c r="G322" s="330"/>
      <c r="H322" s="331">
        <f t="shared" si="25"/>
        <v>3183.8588953393937</v>
      </c>
      <c r="I322" s="330"/>
      <c r="J322" s="1"/>
      <c r="K322" s="330"/>
      <c r="L322" s="1"/>
      <c r="M322" s="330"/>
      <c r="N322" s="330"/>
      <c r="O322" s="330"/>
      <c r="P322" s="330"/>
      <c r="Q322" s="329"/>
      <c r="R322" s="331">
        <f t="shared" si="26"/>
        <v>3229.0369137747648</v>
      </c>
      <c r="S322" s="331">
        <f t="shared" si="27"/>
        <v>3274.6667123944899</v>
      </c>
      <c r="T322" s="331">
        <f t="shared" si="28"/>
        <v>3320.7528090004121</v>
      </c>
      <c r="U322" s="331">
        <f t="shared" si="29"/>
        <v>3367.2997665723938</v>
      </c>
      <c r="V322" s="330"/>
      <c r="W322" s="330"/>
      <c r="X322" s="330"/>
      <c r="Y322" s="333"/>
      <c r="Z322"/>
      <c r="AA322"/>
      <c r="AB322"/>
    </row>
    <row r="323" spans="1:28" x14ac:dyDescent="0.25">
      <c r="A323" s="330"/>
      <c r="B323" s="332"/>
      <c r="C323" s="332">
        <v>-0.1603487004264782</v>
      </c>
      <c r="D323" s="332">
        <v>2.0045277845093277</v>
      </c>
      <c r="E323" s="332">
        <v>0.21371344293538852</v>
      </c>
      <c r="F323" s="332">
        <v>2.4285628013374718E-2</v>
      </c>
      <c r="G323" s="330"/>
      <c r="H323" s="331">
        <f t="shared" si="25"/>
        <v>3104.3731873979805</v>
      </c>
      <c r="I323" s="330"/>
      <c r="J323" s="1"/>
      <c r="K323" s="330"/>
      <c r="L323" s="1"/>
      <c r="M323" s="330"/>
      <c r="N323" s="330"/>
      <c r="O323" s="330"/>
      <c r="P323" s="330"/>
      <c r="Q323" s="329"/>
      <c r="R323" s="331">
        <f t="shared" si="26"/>
        <v>3138.2790121005337</v>
      </c>
      <c r="S323" s="331">
        <f t="shared" si="27"/>
        <v>3172.5238950501116</v>
      </c>
      <c r="T323" s="331">
        <f t="shared" si="28"/>
        <v>3207.1112268291854</v>
      </c>
      <c r="U323" s="331">
        <f t="shared" si="29"/>
        <v>3242.04443192605</v>
      </c>
      <c r="V323" s="330"/>
      <c r="W323" s="330"/>
      <c r="X323" s="330"/>
      <c r="Y323" s="333"/>
      <c r="Z323"/>
      <c r="AA323"/>
      <c r="AB323"/>
    </row>
    <row r="324" spans="1:28" x14ac:dyDescent="0.25">
      <c r="A324" s="330"/>
      <c r="B324" s="332">
        <v>6.5435015429319101E-4</v>
      </c>
      <c r="C324" s="332">
        <v>-0.26276940085677142</v>
      </c>
      <c r="D324" s="332">
        <v>2.3829519803327961</v>
      </c>
      <c r="E324" s="332">
        <v>0.21419404659724925</v>
      </c>
      <c r="F324" s="332">
        <v>2.4413210433866218E-2</v>
      </c>
      <c r="G324" s="330"/>
      <c r="H324" s="331">
        <f t="shared" si="25"/>
        <v>2982.775707969733</v>
      </c>
      <c r="I324" s="330"/>
      <c r="J324" s="1"/>
      <c r="K324" s="330"/>
      <c r="L324" s="1"/>
      <c r="M324" s="330"/>
      <c r="N324" s="330"/>
      <c r="O324" s="330"/>
      <c r="P324" s="330"/>
      <c r="Q324" s="329"/>
      <c r="R324" s="331">
        <f t="shared" si="26"/>
        <v>3018.9583029969472</v>
      </c>
      <c r="S324" s="331">
        <f t="shared" si="27"/>
        <v>3055.5027239744336</v>
      </c>
      <c r="T324" s="331">
        <f t="shared" si="28"/>
        <v>3092.412589161695</v>
      </c>
      <c r="U324" s="331">
        <f t="shared" si="29"/>
        <v>3129.6915530008282</v>
      </c>
      <c r="V324" s="330"/>
      <c r="W324" s="330"/>
      <c r="X324" s="330"/>
      <c r="Y324" s="333"/>
      <c r="Z324"/>
      <c r="AA324"/>
      <c r="AB324"/>
    </row>
    <row r="325" spans="1:28" x14ac:dyDescent="0.25">
      <c r="A325" s="330"/>
      <c r="B325" s="332"/>
      <c r="C325" s="332">
        <v>9.2099557079067154E-2</v>
      </c>
      <c r="D325" s="332">
        <v>0.73549922588892469</v>
      </c>
      <c r="E325" s="332">
        <v>0.14577860661736619</v>
      </c>
      <c r="F325" s="332">
        <v>4.3045510308939619E-2</v>
      </c>
      <c r="G325" s="330"/>
      <c r="H325" s="331">
        <f t="shared" si="25"/>
        <v>3331.0791444975275</v>
      </c>
      <c r="I325" s="330"/>
      <c r="J325" s="1"/>
      <c r="K325" s="330"/>
      <c r="L325" s="1"/>
      <c r="M325" s="330"/>
      <c r="N325" s="330"/>
      <c r="O325" s="330"/>
      <c r="P325" s="330"/>
      <c r="Q325" s="329"/>
      <c r="R325" s="331">
        <f t="shared" si="26"/>
        <v>3362.7460343634466</v>
      </c>
      <c r="S325" s="331">
        <f t="shared" si="27"/>
        <v>3394.7295931280246</v>
      </c>
      <c r="T325" s="331">
        <f t="shared" si="28"/>
        <v>3427.0329874802483</v>
      </c>
      <c r="U325" s="331">
        <f t="shared" si="29"/>
        <v>3459.6594157759946</v>
      </c>
      <c r="V325" s="330"/>
      <c r="W325" s="330"/>
      <c r="X325" s="330"/>
      <c r="Y325" s="333"/>
      <c r="Z325"/>
      <c r="AA325"/>
      <c r="AB325"/>
    </row>
    <row r="326" spans="1:28" x14ac:dyDescent="0.25">
      <c r="A326" s="330"/>
      <c r="B326" s="332"/>
      <c r="C326" s="332">
        <v>-0.27651804212339043</v>
      </c>
      <c r="D326" s="332">
        <v>2.3261802287877282</v>
      </c>
      <c r="E326" s="332">
        <v>0.20831129852056907</v>
      </c>
      <c r="F326" s="332">
        <v>2.2167974392219479E-2</v>
      </c>
      <c r="G326" s="330"/>
      <c r="H326" s="331">
        <f t="shared" si="25"/>
        <v>2957.7947325161394</v>
      </c>
      <c r="I326" s="330"/>
      <c r="J326" s="1"/>
      <c r="K326" s="330"/>
      <c r="L326" s="1"/>
      <c r="M326" s="330"/>
      <c r="N326" s="330"/>
      <c r="O326" s="330"/>
      <c r="P326" s="330"/>
      <c r="Q326" s="329"/>
      <c r="R326" s="331">
        <f t="shared" si="26"/>
        <v>2992.3083001689206</v>
      </c>
      <c r="S326" s="331">
        <f t="shared" si="27"/>
        <v>3027.1670034982299</v>
      </c>
      <c r="T326" s="331">
        <f t="shared" si="28"/>
        <v>3062.374293860832</v>
      </c>
      <c r="U326" s="331">
        <f t="shared" si="29"/>
        <v>3097.9336571270601</v>
      </c>
      <c r="V326" s="330"/>
      <c r="W326" s="330"/>
      <c r="X326" s="330"/>
      <c r="Y326" s="333"/>
      <c r="Z326"/>
      <c r="AA326"/>
      <c r="AB326"/>
    </row>
    <row r="327" spans="1:28" x14ac:dyDescent="0.25">
      <c r="A327" s="330"/>
      <c r="B327" s="332"/>
      <c r="C327" s="332">
        <v>-0.16034870042648003</v>
      </c>
      <c r="D327" s="332">
        <v>2.0045277845093419</v>
      </c>
      <c r="E327" s="332">
        <v>0.2137134429353886</v>
      </c>
      <c r="F327" s="332">
        <v>2.4285628013374569E-2</v>
      </c>
      <c r="G327" s="330"/>
      <c r="H327" s="331">
        <f t="shared" si="25"/>
        <v>3104.3731873979796</v>
      </c>
      <c r="I327" s="330"/>
      <c r="J327" s="1"/>
      <c r="K327" s="330"/>
      <c r="L327" s="1"/>
      <c r="M327" s="330"/>
      <c r="N327" s="330"/>
      <c r="O327" s="330"/>
      <c r="P327" s="330"/>
      <c r="Q327" s="329"/>
      <c r="R327" s="331">
        <f t="shared" si="26"/>
        <v>3138.2790121005319</v>
      </c>
      <c r="S327" s="331">
        <f t="shared" si="27"/>
        <v>3172.5238950501102</v>
      </c>
      <c r="T327" s="331">
        <f t="shared" si="28"/>
        <v>3207.1112268291845</v>
      </c>
      <c r="U327" s="331">
        <f t="shared" si="29"/>
        <v>3242.0444319260496</v>
      </c>
      <c r="V327" s="330"/>
      <c r="W327" s="330"/>
      <c r="X327" s="330"/>
      <c r="Y327" s="333"/>
      <c r="Z327"/>
      <c r="AA327"/>
      <c r="AB327"/>
    </row>
    <row r="328" spans="1:28" x14ac:dyDescent="0.25">
      <c r="A328" s="330"/>
      <c r="B328" s="332">
        <v>1.7039234038503684E-4</v>
      </c>
      <c r="C328" s="332">
        <v>6.5856149469512987E-2</v>
      </c>
      <c r="D328" s="332">
        <v>0.8426917791912808</v>
      </c>
      <c r="E328" s="332">
        <v>0.18014410720433185</v>
      </c>
      <c r="F328" s="332">
        <v>3.9890299657622974E-2</v>
      </c>
      <c r="G328" s="330"/>
      <c r="H328" s="331">
        <f t="shared" si="25"/>
        <v>3336.1182189929987</v>
      </c>
      <c r="I328" s="330"/>
      <c r="J328" s="1"/>
      <c r="K328" s="330"/>
      <c r="L328" s="1"/>
      <c r="M328" s="330"/>
      <c r="N328" s="330"/>
      <c r="O328" s="330"/>
      <c r="P328" s="330"/>
      <c r="Q328" s="329"/>
      <c r="R328" s="331">
        <f t="shared" si="26"/>
        <v>3368.7373887354379</v>
      </c>
      <c r="S328" s="331">
        <f t="shared" si="27"/>
        <v>3401.6827501753014</v>
      </c>
      <c r="T328" s="331">
        <f t="shared" si="28"/>
        <v>3434.9575652295639</v>
      </c>
      <c r="U328" s="331">
        <f t="shared" si="29"/>
        <v>3468.5651284343685</v>
      </c>
      <c r="V328" s="330"/>
      <c r="W328" s="330"/>
      <c r="X328" s="330"/>
      <c r="Y328" s="333"/>
      <c r="Z328"/>
      <c r="AA328"/>
      <c r="AB328"/>
    </row>
    <row r="329" spans="1:28" x14ac:dyDescent="0.25">
      <c r="A329" s="330"/>
      <c r="B329" s="332">
        <v>9.3111407052119807E-4</v>
      </c>
      <c r="C329" s="332">
        <v>4.928157740931622E-2</v>
      </c>
      <c r="D329" s="332"/>
      <c r="E329" s="332">
        <v>0.18202086596675165</v>
      </c>
      <c r="F329" s="332">
        <v>5.612275820487965E-2</v>
      </c>
      <c r="G329" s="330"/>
      <c r="H329" s="331">
        <f t="shared" si="25"/>
        <v>3382.3175622560311</v>
      </c>
      <c r="I329" s="330"/>
      <c r="J329" s="1"/>
      <c r="K329" s="330"/>
      <c r="L329" s="1"/>
      <c r="M329" s="330"/>
      <c r="N329" s="330"/>
      <c r="O329" s="330"/>
      <c r="P329" s="330"/>
      <c r="Q329" s="329"/>
      <c r="R329" s="331">
        <f t="shared" si="26"/>
        <v>3417.6297891623594</v>
      </c>
      <c r="S329" s="331">
        <f t="shared" si="27"/>
        <v>3453.2951383377522</v>
      </c>
      <c r="T329" s="331">
        <f t="shared" si="28"/>
        <v>3489.3171410048976</v>
      </c>
      <c r="U329" s="331">
        <f t="shared" si="29"/>
        <v>3525.6993636987149</v>
      </c>
      <c r="V329" s="330"/>
      <c r="W329" s="330"/>
      <c r="X329" s="330"/>
      <c r="Y329" s="333"/>
      <c r="Z329"/>
      <c r="AA329"/>
      <c r="AB329"/>
    </row>
    <row r="330" spans="1:28" x14ac:dyDescent="0.25">
      <c r="A330" s="330"/>
      <c r="B330" s="332">
        <v>1.180923959530032E-3</v>
      </c>
      <c r="C330" s="332">
        <v>3.0487334076896074E-2</v>
      </c>
      <c r="D330" s="332">
        <v>1.1299251637413554</v>
      </c>
      <c r="E330" s="332">
        <v>0.24729087069309061</v>
      </c>
      <c r="F330" s="332">
        <v>3.4098244983999514E-2</v>
      </c>
      <c r="G330" s="330"/>
      <c r="H330" s="331">
        <f t="shared" si="25"/>
        <v>3264.2441581052062</v>
      </c>
      <c r="I330" s="330"/>
      <c r="J330" s="1"/>
      <c r="K330" s="330"/>
      <c r="L330" s="1"/>
      <c r="M330" s="330"/>
      <c r="N330" s="330"/>
      <c r="O330" s="330"/>
      <c r="P330" s="330"/>
      <c r="Q330" s="329"/>
      <c r="R330" s="331">
        <f t="shared" si="26"/>
        <v>3299.3466111422445</v>
      </c>
      <c r="S330" s="331">
        <f t="shared" si="27"/>
        <v>3334.8000887096537</v>
      </c>
      <c r="T330" s="331">
        <f t="shared" si="28"/>
        <v>3370.6081010527369</v>
      </c>
      <c r="U330" s="331">
        <f t="shared" si="29"/>
        <v>3406.7741935192512</v>
      </c>
      <c r="V330" s="330"/>
      <c r="W330" s="330"/>
      <c r="X330" s="330"/>
      <c r="Y330" s="333"/>
      <c r="Z330"/>
      <c r="AA330"/>
      <c r="AB330"/>
    </row>
    <row r="331" spans="1:28" x14ac:dyDescent="0.25">
      <c r="A331" s="330"/>
      <c r="B331" s="332">
        <v>1.7457561446709746E-3</v>
      </c>
      <c r="C331" s="332">
        <v>5.4593544795366732E-2</v>
      </c>
      <c r="D331" s="332">
        <v>1.5845213638675268</v>
      </c>
      <c r="E331" s="332">
        <v>0.26628368123141782</v>
      </c>
      <c r="F331" s="332">
        <v>2.6853371673941639E-2</v>
      </c>
      <c r="G331" s="330"/>
      <c r="H331" s="331">
        <f t="shared" si="25"/>
        <v>3191.8634564047461</v>
      </c>
      <c r="I331" s="330"/>
      <c r="J331" s="1"/>
      <c r="K331" s="330"/>
      <c r="L331" s="1"/>
      <c r="M331" s="330"/>
      <c r="N331" s="330"/>
      <c r="O331" s="330"/>
      <c r="P331" s="330"/>
      <c r="Q331" s="329"/>
      <c r="R331" s="331">
        <f t="shared" si="26"/>
        <v>3227.2487186658905</v>
      </c>
      <c r="S331" s="331">
        <f t="shared" si="27"/>
        <v>3262.9878335496469</v>
      </c>
      <c r="T331" s="331">
        <f t="shared" si="28"/>
        <v>3299.0843395822403</v>
      </c>
      <c r="U331" s="331">
        <f t="shared" si="29"/>
        <v>3335.5418106751604</v>
      </c>
      <c r="V331" s="330"/>
      <c r="W331" s="330"/>
      <c r="X331" s="330"/>
      <c r="Y331" s="333"/>
      <c r="Z331"/>
      <c r="AA331"/>
      <c r="AB331"/>
    </row>
    <row r="332" spans="1:28" x14ac:dyDescent="0.25">
      <c r="A332" s="330"/>
      <c r="B332" s="332">
        <v>5.6784330623559289E-5</v>
      </c>
      <c r="C332" s="332">
        <v>-0.14595492970124438</v>
      </c>
      <c r="D332" s="332">
        <v>1.9608231250463826</v>
      </c>
      <c r="E332" s="332">
        <v>0.21670072816952726</v>
      </c>
      <c r="F332" s="332">
        <v>2.4472221700955112E-2</v>
      </c>
      <c r="G332" s="330"/>
      <c r="H332" s="331">
        <f t="shared" si="25"/>
        <v>3114.404277559503</v>
      </c>
      <c r="I332" s="330"/>
      <c r="J332" s="1"/>
      <c r="K332" s="330"/>
      <c r="L332" s="1"/>
      <c r="M332" s="330"/>
      <c r="N332" s="330"/>
      <c r="O332" s="330"/>
      <c r="P332" s="330"/>
      <c r="Q332" s="329"/>
      <c r="R332" s="331">
        <f t="shared" si="26"/>
        <v>3148.2979513992495</v>
      </c>
      <c r="S332" s="331">
        <f t="shared" si="27"/>
        <v>3182.5305619773944</v>
      </c>
      <c r="T332" s="331">
        <f t="shared" si="28"/>
        <v>3217.1054986613199</v>
      </c>
      <c r="U332" s="331">
        <f t="shared" si="29"/>
        <v>3252.0261847120846</v>
      </c>
      <c r="V332" s="330"/>
      <c r="W332" s="330"/>
      <c r="X332" s="330"/>
      <c r="Y332" s="333"/>
      <c r="Z332"/>
      <c r="AA332"/>
      <c r="AB332"/>
    </row>
    <row r="333" spans="1:28" x14ac:dyDescent="0.25">
      <c r="A333" s="330"/>
      <c r="B333" s="332">
        <v>1.4461476560315703E-2</v>
      </c>
      <c r="C333" s="332">
        <v>5.2018288679288059E-2</v>
      </c>
      <c r="D333" s="332">
        <v>1.3442778585783033</v>
      </c>
      <c r="E333" s="332">
        <v>0.48021984254670003</v>
      </c>
      <c r="F333" s="332">
        <v>6.6693608479641342E-2</v>
      </c>
      <c r="G333" s="330"/>
      <c r="H333" s="331">
        <f t="shared" si="25"/>
        <v>2760.0186048516034</v>
      </c>
      <c r="I333" s="330"/>
      <c r="J333" s="1"/>
      <c r="K333" s="330"/>
      <c r="L333" s="1"/>
      <c r="M333" s="330"/>
      <c r="N333" s="330"/>
      <c r="O333" s="330"/>
      <c r="P333" s="330"/>
      <c r="Q333" s="329"/>
      <c r="R333" s="331">
        <f t="shared" si="26"/>
        <v>2823.4792603480942</v>
      </c>
      <c r="S333" s="331">
        <f t="shared" si="27"/>
        <v>2887.5745223995505</v>
      </c>
      <c r="T333" s="331">
        <f t="shared" si="28"/>
        <v>2952.3107370715206</v>
      </c>
      <c r="U333" s="331">
        <f t="shared" si="29"/>
        <v>3017.6943138902111</v>
      </c>
      <c r="V333" s="330"/>
      <c r="W333" s="330"/>
      <c r="X333" s="330"/>
      <c r="Y333" s="333"/>
      <c r="Z333"/>
      <c r="AA333"/>
      <c r="AB333"/>
    </row>
    <row r="334" spans="1:28" x14ac:dyDescent="0.25">
      <c r="A334" s="330"/>
      <c r="B334" s="332"/>
      <c r="C334" s="332">
        <v>-0.16034870042647417</v>
      </c>
      <c r="D334" s="332">
        <v>2.0045277845093277</v>
      </c>
      <c r="E334" s="332">
        <v>0.2137134429353881</v>
      </c>
      <c r="F334" s="332">
        <v>2.4285628013374715E-2</v>
      </c>
      <c r="G334" s="330"/>
      <c r="H334" s="331">
        <f t="shared" si="25"/>
        <v>3104.3731873979855</v>
      </c>
      <c r="I334" s="330"/>
      <c r="J334" s="1"/>
      <c r="K334" s="330"/>
      <c r="L334" s="1"/>
      <c r="M334" s="330"/>
      <c r="N334" s="330"/>
      <c r="O334" s="330"/>
      <c r="P334" s="330"/>
      <c r="Q334" s="329"/>
      <c r="R334" s="331">
        <f t="shared" si="26"/>
        <v>3138.2790121005382</v>
      </c>
      <c r="S334" s="331">
        <f t="shared" si="27"/>
        <v>3172.5238950501162</v>
      </c>
      <c r="T334" s="331">
        <f t="shared" si="28"/>
        <v>3207.1112268291909</v>
      </c>
      <c r="U334" s="331">
        <f t="shared" si="29"/>
        <v>3242.044431926055</v>
      </c>
      <c r="V334" s="330"/>
      <c r="W334" s="330"/>
      <c r="X334" s="330"/>
      <c r="Y334" s="333"/>
      <c r="Z334"/>
      <c r="AA334"/>
      <c r="AB334"/>
    </row>
    <row r="335" spans="1:28" x14ac:dyDescent="0.25">
      <c r="A335" s="330"/>
      <c r="B335" s="332">
        <v>8.502917591803066E-4</v>
      </c>
      <c r="C335" s="332">
        <v>8.5956930226959077E-2</v>
      </c>
      <c r="D335" s="332">
        <v>0.52953257584014113</v>
      </c>
      <c r="E335" s="332">
        <v>0.18988265059086393</v>
      </c>
      <c r="F335" s="332">
        <v>4.5741100670486604E-2</v>
      </c>
      <c r="G335" s="330"/>
      <c r="H335" s="331">
        <f t="shared" si="25"/>
        <v>3337.7095298182344</v>
      </c>
      <c r="I335" s="330"/>
      <c r="J335" s="1"/>
      <c r="K335" s="330"/>
      <c r="L335" s="1"/>
      <c r="M335" s="330"/>
      <c r="N335" s="330"/>
      <c r="O335" s="330"/>
      <c r="P335" s="330"/>
      <c r="Q335" s="329"/>
      <c r="R335" s="331">
        <f t="shared" si="26"/>
        <v>3371.7154452931954</v>
      </c>
      <c r="S335" s="331">
        <f t="shared" si="27"/>
        <v>3406.0614199229067</v>
      </c>
      <c r="T335" s="331">
        <f t="shared" si="28"/>
        <v>3440.7508542989144</v>
      </c>
      <c r="U335" s="331">
        <f t="shared" si="29"/>
        <v>3475.7871830186832</v>
      </c>
      <c r="V335" s="330"/>
      <c r="W335" s="330"/>
      <c r="X335" s="330"/>
      <c r="Y335" s="333"/>
      <c r="Z335"/>
      <c r="AA335"/>
      <c r="AB335"/>
    </row>
    <row r="336" spans="1:28" x14ac:dyDescent="0.25">
      <c r="A336" s="330"/>
      <c r="B336" s="332">
        <v>2.9035965013745783E-4</v>
      </c>
      <c r="C336" s="332">
        <v>7.6739622356151435E-2</v>
      </c>
      <c r="D336" s="332"/>
      <c r="E336" s="332">
        <v>0.17188760170759165</v>
      </c>
      <c r="F336" s="332">
        <v>5.3181448263126485E-2</v>
      </c>
      <c r="G336" s="330"/>
      <c r="H336" s="331">
        <f t="shared" si="25"/>
        <v>3406.1809698998745</v>
      </c>
      <c r="I336" s="330"/>
      <c r="J336" s="1"/>
      <c r="K336" s="330"/>
      <c r="L336" s="1"/>
      <c r="M336" s="330"/>
      <c r="N336" s="330"/>
      <c r="O336" s="330"/>
      <c r="P336" s="330"/>
      <c r="Q336" s="329"/>
      <c r="R336" s="331">
        <f t="shared" si="26"/>
        <v>3439.6116942666531</v>
      </c>
      <c r="S336" s="331">
        <f t="shared" si="27"/>
        <v>3473.3767258770999</v>
      </c>
      <c r="T336" s="331">
        <f t="shared" si="28"/>
        <v>3507.4794078036512</v>
      </c>
      <c r="U336" s="331">
        <f t="shared" si="29"/>
        <v>3541.923116549468</v>
      </c>
      <c r="V336" s="330"/>
      <c r="W336" s="330"/>
      <c r="X336" s="330"/>
      <c r="Y336" s="333"/>
      <c r="Z336"/>
      <c r="AA336"/>
      <c r="AB336"/>
    </row>
    <row r="337" spans="1:28" x14ac:dyDescent="0.25">
      <c r="A337" s="330"/>
      <c r="B337" s="332">
        <v>1.8135669952476765E-4</v>
      </c>
      <c r="C337" s="332">
        <v>6.5453499916560964E-2</v>
      </c>
      <c r="D337" s="332">
        <v>0.37148550469339603</v>
      </c>
      <c r="E337" s="332">
        <v>0.19333314604737839</v>
      </c>
      <c r="F337" s="332">
        <v>4.525825929644637E-2</v>
      </c>
      <c r="G337" s="330"/>
      <c r="H337" s="331">
        <f t="shared" si="25"/>
        <v>3375.3681405089301</v>
      </c>
      <c r="I337" s="330"/>
      <c r="J337" s="1"/>
      <c r="K337" s="330"/>
      <c r="L337" s="1"/>
      <c r="M337" s="330"/>
      <c r="N337" s="330"/>
      <c r="O337" s="330"/>
      <c r="P337" s="330"/>
      <c r="Q337" s="329"/>
      <c r="R337" s="331">
        <f t="shared" si="26"/>
        <v>3408.414888969688</v>
      </c>
      <c r="S337" s="331">
        <f t="shared" si="27"/>
        <v>3441.7921049150536</v>
      </c>
      <c r="T337" s="331">
        <f t="shared" si="28"/>
        <v>3475.5030930198727</v>
      </c>
      <c r="U337" s="331">
        <f t="shared" si="29"/>
        <v>3509.5511910057398</v>
      </c>
      <c r="V337" s="330"/>
      <c r="W337" s="330"/>
      <c r="X337" s="330"/>
      <c r="Y337"/>
      <c r="Z337"/>
      <c r="AA337"/>
      <c r="AB337"/>
    </row>
    <row r="338" spans="1:28" x14ac:dyDescent="0.25">
      <c r="A338" s="330"/>
      <c r="B338" s="332">
        <v>1.7370328591457655E-3</v>
      </c>
      <c r="C338" s="332">
        <v>5.4987849467356256E-2</v>
      </c>
      <c r="D338" s="332">
        <v>1.5827937267744339</v>
      </c>
      <c r="E338" s="332">
        <v>0.26659330935015807</v>
      </c>
      <c r="F338" s="332">
        <v>2.6758949104816795E-2</v>
      </c>
      <c r="G338" s="330"/>
      <c r="H338" s="331">
        <f t="shared" si="25"/>
        <v>3191.0428053495498</v>
      </c>
      <c r="I338" s="330"/>
      <c r="J338" s="1"/>
      <c r="K338" s="330"/>
      <c r="L338" s="1"/>
      <c r="M338" s="330"/>
      <c r="N338" s="330"/>
      <c r="O338" s="330"/>
      <c r="P338" s="330"/>
      <c r="Q338" s="329"/>
      <c r="R338" s="331">
        <f t="shared" si="26"/>
        <v>3226.3906316758903</v>
      </c>
      <c r="S338" s="331">
        <f t="shared" si="27"/>
        <v>3262.091936265495</v>
      </c>
      <c r="T338" s="331">
        <f t="shared" si="28"/>
        <v>3298.1502539009953</v>
      </c>
      <c r="U338" s="331">
        <f t="shared" si="29"/>
        <v>3334.5691547128508</v>
      </c>
      <c r="V338" s="330"/>
      <c r="W338" s="330"/>
      <c r="X338" s="330"/>
      <c r="Y338" s="333"/>
      <c r="Z338"/>
      <c r="AA338"/>
      <c r="AB338"/>
    </row>
    <row r="339" spans="1:28" x14ac:dyDescent="0.25">
      <c r="A339" s="330"/>
      <c r="B339" s="332">
        <v>2.4291401000802017E-3</v>
      </c>
      <c r="C339" s="332">
        <v>5.2886329873672255E-2</v>
      </c>
      <c r="D339" s="332">
        <v>1.5396811756356483</v>
      </c>
      <c r="E339" s="332">
        <v>0.28579854026893925</v>
      </c>
      <c r="F339" s="332">
        <v>2.8602591380165947E-2</v>
      </c>
      <c r="G339" s="330"/>
      <c r="H339" s="331">
        <f t="shared" si="25"/>
        <v>3170.9327160392272</v>
      </c>
      <c r="I339" s="330"/>
      <c r="J339" s="1"/>
      <c r="K339" s="330"/>
      <c r="L339" s="1"/>
      <c r="M339" s="330"/>
      <c r="N339" s="330"/>
      <c r="O339" s="330"/>
      <c r="P339" s="330"/>
      <c r="Q339" s="329"/>
      <c r="R339" s="331">
        <f t="shared" si="26"/>
        <v>3207.8776227727235</v>
      </c>
      <c r="S339" s="331">
        <f t="shared" si="27"/>
        <v>3245.1919785735554</v>
      </c>
      <c r="T339" s="331">
        <f t="shared" si="28"/>
        <v>3282.8794779323953</v>
      </c>
      <c r="U339" s="331">
        <f t="shared" si="29"/>
        <v>3320.9438522848232</v>
      </c>
      <c r="V339" s="330"/>
      <c r="W339" s="330"/>
      <c r="X339" s="330"/>
      <c r="Y339" s="333"/>
      <c r="Z339"/>
      <c r="AA339"/>
      <c r="AB339"/>
    </row>
    <row r="340" spans="1:28" x14ac:dyDescent="0.25">
      <c r="A340" s="330"/>
      <c r="B340" s="332">
        <v>1.7370328591457694E-3</v>
      </c>
      <c r="C340" s="332">
        <v>5.4987849467356145E-2</v>
      </c>
      <c r="D340" s="332">
        <v>1.5827937267744374</v>
      </c>
      <c r="E340" s="332">
        <v>0.26659330935015818</v>
      </c>
      <c r="F340" s="332">
        <v>2.6758949104816732E-2</v>
      </c>
      <c r="G340" s="330"/>
      <c r="H340" s="331">
        <f t="shared" si="25"/>
        <v>3191.042805349548</v>
      </c>
      <c r="I340" s="330"/>
      <c r="J340" s="1"/>
      <c r="K340" s="330"/>
      <c r="L340" s="1"/>
      <c r="M340" s="330"/>
      <c r="N340" s="330"/>
      <c r="O340" s="330"/>
      <c r="P340" s="330"/>
      <c r="Q340" s="329"/>
      <c r="R340" s="331">
        <f t="shared" si="26"/>
        <v>3226.3906316758889</v>
      </c>
      <c r="S340" s="331">
        <f t="shared" si="27"/>
        <v>3262.0919362654931</v>
      </c>
      <c r="T340" s="331">
        <f t="shared" si="28"/>
        <v>3298.1502539009934</v>
      </c>
      <c r="U340" s="331">
        <f t="shared" si="29"/>
        <v>3334.569154712849</v>
      </c>
      <c r="V340" s="330"/>
      <c r="W340" s="330"/>
      <c r="X340" s="330"/>
      <c r="Y340" s="333"/>
      <c r="Z340"/>
      <c r="AA340"/>
      <c r="AB340"/>
    </row>
    <row r="341" spans="1:28" x14ac:dyDescent="0.25">
      <c r="A341" s="330"/>
      <c r="B341" s="332">
        <v>1.7370328591457672E-3</v>
      </c>
      <c r="C341" s="332">
        <v>5.4987849467356339E-2</v>
      </c>
      <c r="D341" s="332">
        <v>1.5827937267744396</v>
      </c>
      <c r="E341" s="332">
        <v>0.26659330935015779</v>
      </c>
      <c r="F341" s="332">
        <v>2.6758949104816708E-2</v>
      </c>
      <c r="G341" s="330"/>
      <c r="H341" s="331">
        <f t="shared" si="25"/>
        <v>3191.0428053495471</v>
      </c>
      <c r="I341" s="330"/>
      <c r="J341" s="1"/>
      <c r="K341" s="330"/>
      <c r="L341" s="1"/>
      <c r="M341" s="330"/>
      <c r="N341" s="330"/>
      <c r="O341" s="330"/>
      <c r="P341" s="330"/>
      <c r="Q341" s="329"/>
      <c r="R341" s="331">
        <f t="shared" si="26"/>
        <v>3226.3906316758876</v>
      </c>
      <c r="S341" s="331">
        <f t="shared" si="27"/>
        <v>3262.0919362654922</v>
      </c>
      <c r="T341" s="331">
        <f t="shared" si="28"/>
        <v>3298.1502539009925</v>
      </c>
      <c r="U341" s="331">
        <f t="shared" si="29"/>
        <v>3334.5691547128481</v>
      </c>
      <c r="V341" s="330"/>
      <c r="W341" s="330"/>
      <c r="X341" s="330"/>
      <c r="Y341"/>
      <c r="Z341"/>
      <c r="AA341"/>
      <c r="AB341"/>
    </row>
    <row r="342" spans="1:28" x14ac:dyDescent="0.25">
      <c r="A342" s="330"/>
      <c r="B342" s="332">
        <v>1.0737412060299067E-3</v>
      </c>
      <c r="C342" s="332">
        <v>-2.9235586364293395E-2</v>
      </c>
      <c r="D342" s="332">
        <v>1.6050384410701699</v>
      </c>
      <c r="E342" s="332">
        <v>0.25818961838189974</v>
      </c>
      <c r="F342" s="332">
        <v>2.6445534308096399E-2</v>
      </c>
      <c r="G342" s="330"/>
      <c r="H342" s="331">
        <f t="shared" si="25"/>
        <v>3164.2516456701414</v>
      </c>
      <c r="I342" s="330"/>
      <c r="J342" s="1"/>
      <c r="K342" s="330"/>
      <c r="L342" s="1"/>
      <c r="M342" s="330"/>
      <c r="N342" s="330"/>
      <c r="O342" s="330"/>
      <c r="P342" s="330"/>
      <c r="Q342" s="329"/>
      <c r="R342" s="331">
        <f t="shared" si="26"/>
        <v>3199.1475135506275</v>
      </c>
      <c r="S342" s="331">
        <f t="shared" si="27"/>
        <v>3234.3923401099182</v>
      </c>
      <c r="T342" s="331">
        <f t="shared" si="28"/>
        <v>3269.9896149348015</v>
      </c>
      <c r="U342" s="331">
        <f t="shared" si="29"/>
        <v>3305.9428625079336</v>
      </c>
      <c r="V342" s="330"/>
      <c r="W342" s="330"/>
      <c r="X342" s="330"/>
      <c r="Y342" s="333"/>
      <c r="Z342"/>
      <c r="AA342"/>
      <c r="AB342"/>
    </row>
    <row r="343" spans="1:28" x14ac:dyDescent="0.25">
      <c r="A343" s="330"/>
      <c r="B343" s="332">
        <v>2.5181703539595719E-2</v>
      </c>
      <c r="C343" s="332">
        <v>-0.86406352847795143</v>
      </c>
      <c r="D343" s="332">
        <v>3.1532099747942901</v>
      </c>
      <c r="E343" s="332">
        <v>0.75425452456712927</v>
      </c>
      <c r="F343" s="332">
        <v>8.2762472843481566E-2</v>
      </c>
      <c r="G343" s="330"/>
      <c r="H343" s="331">
        <f t="shared" si="25"/>
        <v>1609.6749286202407</v>
      </c>
      <c r="I343" s="330"/>
      <c r="J343" s="1"/>
      <c r="K343" s="330"/>
      <c r="L343" s="1"/>
      <c r="M343" s="330"/>
      <c r="N343" s="330"/>
      <c r="O343" s="330"/>
      <c r="P343" s="330"/>
      <c r="Q343" s="329"/>
      <c r="R343" s="331">
        <f t="shared" si="26"/>
        <v>1705.2549408469386</v>
      </c>
      <c r="S343" s="331">
        <f t="shared" si="27"/>
        <v>1801.7907531959045</v>
      </c>
      <c r="T343" s="331">
        <f t="shared" si="28"/>
        <v>1899.2919236683597</v>
      </c>
      <c r="U343" s="331">
        <f t="shared" si="29"/>
        <v>1997.7681058455391</v>
      </c>
      <c r="V343" s="330"/>
      <c r="W343" s="330"/>
      <c r="X343" s="330"/>
      <c r="Y343" s="333"/>
      <c r="Z343"/>
      <c r="AA343"/>
      <c r="AB343"/>
    </row>
    <row r="344" spans="1:28" x14ac:dyDescent="0.25">
      <c r="A344" s="330"/>
      <c r="B344" s="332">
        <v>1.3752283108119888E-3</v>
      </c>
      <c r="C344" s="332">
        <v>6.1234254585964291E-3</v>
      </c>
      <c r="D344" s="332">
        <v>1.6661985947274007</v>
      </c>
      <c r="E344" s="332">
        <v>0.26160670511112522</v>
      </c>
      <c r="F344" s="332">
        <v>2.5754086679331351E-2</v>
      </c>
      <c r="G344" s="330"/>
      <c r="H344" s="331">
        <f t="shared" si="25"/>
        <v>3172.0005861383024</v>
      </c>
      <c r="I344" s="330"/>
      <c r="J344" s="1"/>
      <c r="K344" s="330"/>
      <c r="L344" s="1"/>
      <c r="M344" s="330"/>
      <c r="N344" s="330"/>
      <c r="O344" s="330"/>
      <c r="P344" s="330"/>
      <c r="Q344" s="329"/>
      <c r="R344" s="331">
        <f t="shared" si="26"/>
        <v>3207.1097755022192</v>
      </c>
      <c r="S344" s="331">
        <f t="shared" si="27"/>
        <v>3242.5700567597764</v>
      </c>
      <c r="T344" s="331">
        <f t="shared" si="28"/>
        <v>3278.3849408299084</v>
      </c>
      <c r="U344" s="331">
        <f t="shared" si="29"/>
        <v>3314.557973740742</v>
      </c>
      <c r="V344" s="330"/>
      <c r="W344" s="330"/>
      <c r="X344" s="330"/>
      <c r="Y344" s="333"/>
      <c r="Z344"/>
      <c r="AA344"/>
      <c r="AB344"/>
    </row>
    <row r="345" spans="1:28" x14ac:dyDescent="0.25">
      <c r="A345" s="330"/>
      <c r="B345" s="332">
        <v>3.702656668695832E-4</v>
      </c>
      <c r="C345" s="332">
        <v>7.604639738638283E-2</v>
      </c>
      <c r="D345" s="332"/>
      <c r="E345" s="332">
        <v>0.18045041403504425</v>
      </c>
      <c r="F345" s="332">
        <v>5.2567487871202891E-2</v>
      </c>
      <c r="G345" s="330"/>
      <c r="H345" s="331">
        <f t="shared" si="25"/>
        <v>3400.8006915618271</v>
      </c>
      <c r="I345" s="330"/>
      <c r="J345" s="1"/>
      <c r="K345" s="330"/>
      <c r="L345" s="1"/>
      <c r="M345" s="330"/>
      <c r="N345" s="330"/>
      <c r="O345" s="330"/>
      <c r="P345" s="330"/>
      <c r="Q345" s="329"/>
      <c r="R345" s="331">
        <f t="shared" si="26"/>
        <v>3434.3932617854143</v>
      </c>
      <c r="S345" s="331">
        <f t="shared" si="27"/>
        <v>3468.3217577112378</v>
      </c>
      <c r="T345" s="331">
        <f t="shared" si="28"/>
        <v>3502.589538596319</v>
      </c>
      <c r="U345" s="331">
        <f t="shared" si="29"/>
        <v>3537.1999972902518</v>
      </c>
      <c r="V345" s="330"/>
      <c r="W345" s="330"/>
      <c r="X345" s="330"/>
      <c r="Y345" s="333"/>
      <c r="Z345"/>
      <c r="AA345"/>
      <c r="AB345"/>
    </row>
    <row r="346" spans="1:28" x14ac:dyDescent="0.25">
      <c r="A346" s="330"/>
      <c r="B346" s="332">
        <v>1.9997354621005044E-2</v>
      </c>
      <c r="C346" s="332">
        <v>-0.62059048769988179</v>
      </c>
      <c r="D346" s="332">
        <v>2.2493997632804277</v>
      </c>
      <c r="E346" s="332">
        <v>0.63510565102120797</v>
      </c>
      <c r="F346" s="332">
        <v>8.0043281305573519E-2</v>
      </c>
      <c r="G346" s="330"/>
      <c r="H346" s="331">
        <f t="shared" si="25"/>
        <v>2095.231190728387</v>
      </c>
      <c r="I346" s="330"/>
      <c r="J346" s="1"/>
      <c r="K346" s="330"/>
      <c r="L346" s="1"/>
      <c r="M346" s="330"/>
      <c r="N346" s="330"/>
      <c r="O346" s="330"/>
      <c r="P346" s="330"/>
      <c r="Q346" s="329"/>
      <c r="R346" s="331">
        <f t="shared" si="26"/>
        <v>2178.1323617310991</v>
      </c>
      <c r="S346" s="331">
        <f t="shared" si="27"/>
        <v>2261.8625444438385</v>
      </c>
      <c r="T346" s="331">
        <f t="shared" si="28"/>
        <v>2346.4300289837061</v>
      </c>
      <c r="U346" s="331">
        <f t="shared" si="29"/>
        <v>2431.8431883689714</v>
      </c>
      <c r="V346" s="330"/>
      <c r="W346" s="330"/>
      <c r="X346" s="330"/>
      <c r="Y346" s="333"/>
      <c r="Z346"/>
      <c r="AA346"/>
      <c r="AB346"/>
    </row>
    <row r="347" spans="1:28" x14ac:dyDescent="0.25">
      <c r="A347" s="330"/>
      <c r="B347" s="332"/>
      <c r="C347" s="332">
        <v>6.9321348185794732E-2</v>
      </c>
      <c r="D347" s="332"/>
      <c r="E347" s="332">
        <v>0.16191769230137124</v>
      </c>
      <c r="F347" s="332">
        <v>5.3116326251244433E-2</v>
      </c>
      <c r="G347" s="330"/>
      <c r="H347" s="331">
        <f t="shared" si="25"/>
        <v>3412.0239672783964</v>
      </c>
      <c r="I347" s="330"/>
      <c r="J347" s="1"/>
      <c r="K347" s="330"/>
      <c r="L347" s="1"/>
      <c r="M347" s="330"/>
      <c r="N347" s="330"/>
      <c r="O347" s="330"/>
      <c r="P347" s="330"/>
      <c r="Q347" s="329"/>
      <c r="R347" s="331">
        <f t="shared" si="26"/>
        <v>3444.9068777244265</v>
      </c>
      <c r="S347" s="331">
        <f t="shared" si="27"/>
        <v>3478.1186172749185</v>
      </c>
      <c r="T347" s="331">
        <f t="shared" si="28"/>
        <v>3511.6624742209142</v>
      </c>
      <c r="U347" s="331">
        <f t="shared" si="29"/>
        <v>3545.541769736371</v>
      </c>
      <c r="V347" s="330"/>
      <c r="W347" s="330"/>
      <c r="X347" s="330"/>
      <c r="Y347" s="333"/>
      <c r="Z347"/>
      <c r="AA347"/>
      <c r="AB347"/>
    </row>
    <row r="348" spans="1:28" x14ac:dyDescent="0.25">
      <c r="A348" s="330"/>
      <c r="B348" s="332"/>
      <c r="C348" s="332">
        <v>3.7574086423455236E-2</v>
      </c>
      <c r="D348" s="332">
        <v>0.11329596307642287</v>
      </c>
      <c r="E348" s="332">
        <v>0.14546830052862314</v>
      </c>
      <c r="F348" s="332">
        <v>5.4418570985774593E-2</v>
      </c>
      <c r="G348" s="330"/>
      <c r="H348" s="331">
        <f t="shared" si="25"/>
        <v>3395.5819028697661</v>
      </c>
      <c r="I348" s="330"/>
      <c r="J348" s="1"/>
      <c r="K348" s="330"/>
      <c r="L348" s="1"/>
      <c r="M348" s="330"/>
      <c r="N348" s="330"/>
      <c r="O348" s="330"/>
      <c r="P348" s="330"/>
      <c r="Q348" s="329"/>
      <c r="R348" s="331">
        <f t="shared" si="26"/>
        <v>3428.8670552637691</v>
      </c>
      <c r="S348" s="331">
        <f t="shared" si="27"/>
        <v>3462.4850591817121</v>
      </c>
      <c r="T348" s="331">
        <f t="shared" si="28"/>
        <v>3496.4392431388342</v>
      </c>
      <c r="U348" s="331">
        <f t="shared" si="29"/>
        <v>3530.7329689355279</v>
      </c>
      <c r="V348" s="330"/>
      <c r="W348" s="330"/>
      <c r="X348" s="330"/>
      <c r="Y348" s="333"/>
      <c r="Z348"/>
      <c r="AA348"/>
      <c r="AB348"/>
    </row>
    <row r="349" spans="1:28" x14ac:dyDescent="0.25">
      <c r="A349" s="330"/>
      <c r="B349" s="332"/>
      <c r="C349" s="332">
        <v>7.5365978770653472E-2</v>
      </c>
      <c r="D349" s="332">
        <v>0.16940889882853846</v>
      </c>
      <c r="E349" s="332">
        <v>0.17839042222622636</v>
      </c>
      <c r="F349" s="332">
        <v>4.8522649129529312E-2</v>
      </c>
      <c r="G349" s="330"/>
      <c r="H349" s="331">
        <f t="shared" si="25"/>
        <v>3394.8890571068869</v>
      </c>
      <c r="I349" s="330"/>
      <c r="J349" s="1"/>
      <c r="K349" s="330"/>
      <c r="L349" s="1"/>
      <c r="M349" s="330"/>
      <c r="N349" s="330"/>
      <c r="O349" s="330"/>
      <c r="P349" s="330"/>
      <c r="Q349" s="329"/>
      <c r="R349" s="331">
        <f t="shared" si="26"/>
        <v>3427.4927267514113</v>
      </c>
      <c r="S349" s="331">
        <f t="shared" si="27"/>
        <v>3460.4224330923817</v>
      </c>
      <c r="T349" s="331">
        <f t="shared" si="28"/>
        <v>3493.6814364967613</v>
      </c>
      <c r="U349" s="331">
        <f t="shared" si="29"/>
        <v>3527.2730299351851</v>
      </c>
      <c r="V349" s="330"/>
      <c r="W349" s="330"/>
      <c r="X349" s="330"/>
      <c r="Y349" s="333"/>
      <c r="Z349"/>
      <c r="AA349"/>
      <c r="AB349"/>
    </row>
    <row r="350" spans="1:28" x14ac:dyDescent="0.25">
      <c r="A350" s="330"/>
      <c r="B350" s="332">
        <v>2.364165845123373E-2</v>
      </c>
      <c r="C350" s="332">
        <v>-0.84766985957961694</v>
      </c>
      <c r="D350" s="332">
        <v>3.2696439600067522</v>
      </c>
      <c r="E350" s="332">
        <v>0.71916170877515773</v>
      </c>
      <c r="F350" s="332">
        <v>7.8008426175621204E-2</v>
      </c>
      <c r="G350" s="330"/>
      <c r="H350" s="331">
        <f t="shared" si="25"/>
        <v>1696.8828896642826</v>
      </c>
      <c r="I350" s="330"/>
      <c r="J350" s="1"/>
      <c r="K350" s="330"/>
      <c r="L350" s="1"/>
      <c r="M350" s="330"/>
      <c r="N350" s="330"/>
      <c r="O350" s="330"/>
      <c r="P350" s="330"/>
      <c r="Q350" s="329"/>
      <c r="R350" s="331">
        <f t="shared" si="26"/>
        <v>1789.1246043332617</v>
      </c>
      <c r="S350" s="331">
        <f t="shared" si="27"/>
        <v>1882.2887361489315</v>
      </c>
      <c r="T350" s="331">
        <f t="shared" si="28"/>
        <v>1976.3845092827592</v>
      </c>
      <c r="U350" s="331">
        <f t="shared" si="29"/>
        <v>2071.4212401479222</v>
      </c>
      <c r="V350" s="330"/>
      <c r="W350" s="330"/>
      <c r="X350" s="330"/>
      <c r="Y350" s="333"/>
      <c r="Z350"/>
      <c r="AA350"/>
      <c r="AB350"/>
    </row>
    <row r="351" spans="1:28" x14ac:dyDescent="0.25">
      <c r="A351" s="330"/>
      <c r="B351" s="332"/>
      <c r="C351" s="332">
        <v>0.10142629357425775</v>
      </c>
      <c r="D351" s="332"/>
      <c r="E351" s="332">
        <v>0.13753514154131666</v>
      </c>
      <c r="F351" s="332">
        <v>5.3504044377647067E-2</v>
      </c>
      <c r="G351" s="330"/>
      <c r="H351" s="331">
        <f t="shared" si="25"/>
        <v>3360.5567045890994</v>
      </c>
      <c r="I351" s="330"/>
      <c r="J351" s="1"/>
      <c r="K351" s="330"/>
      <c r="L351" s="1"/>
      <c r="M351" s="330"/>
      <c r="N351" s="330"/>
      <c r="O351" s="330"/>
      <c r="P351" s="330"/>
      <c r="Q351" s="329"/>
      <c r="R351" s="331">
        <f t="shared" si="26"/>
        <v>3392.3518954567267</v>
      </c>
      <c r="S351" s="331">
        <f t="shared" si="27"/>
        <v>3424.465038233031</v>
      </c>
      <c r="T351" s="331">
        <f t="shared" si="28"/>
        <v>3456.8993124370973</v>
      </c>
      <c r="U351" s="331">
        <f t="shared" si="29"/>
        <v>3489.6579293832056</v>
      </c>
      <c r="V351" s="330"/>
      <c r="W351" s="330"/>
      <c r="X351" s="330"/>
      <c r="Y351" s="333"/>
      <c r="Z351"/>
      <c r="AA351"/>
      <c r="AB351"/>
    </row>
    <row r="352" spans="1:28" x14ac:dyDescent="0.25">
      <c r="A352" s="330"/>
      <c r="B352" s="332">
        <v>1.801658086966361E-3</v>
      </c>
      <c r="C352" s="332">
        <v>5.3136586753606961E-2</v>
      </c>
      <c r="D352" s="332">
        <v>1.5189825369014227</v>
      </c>
      <c r="E352" s="332">
        <v>0.27020787419752407</v>
      </c>
      <c r="F352" s="332">
        <v>2.7701448105010445E-2</v>
      </c>
      <c r="G352" s="330"/>
      <c r="H352" s="331">
        <f t="shared" si="25"/>
        <v>3196.5174089181019</v>
      </c>
      <c r="I352" s="330"/>
      <c r="J352" s="1"/>
      <c r="K352" s="330"/>
      <c r="L352" s="1"/>
      <c r="M352" s="330"/>
      <c r="N352" s="330"/>
      <c r="O352" s="330"/>
      <c r="P352" s="330"/>
      <c r="Q352" s="329"/>
      <c r="R352" s="331">
        <f t="shared" si="26"/>
        <v>3232.1174267197684</v>
      </c>
      <c r="S352" s="331">
        <f t="shared" si="27"/>
        <v>3268.073444699452</v>
      </c>
      <c r="T352" s="331">
        <f t="shared" si="28"/>
        <v>3304.3890228589325</v>
      </c>
      <c r="U352" s="331">
        <f t="shared" si="29"/>
        <v>3341.0677568000074</v>
      </c>
      <c r="V352" s="330"/>
      <c r="W352" s="330"/>
      <c r="X352" s="330"/>
      <c r="Y352" s="333"/>
      <c r="Z352"/>
      <c r="AA352"/>
      <c r="AB352"/>
    </row>
    <row r="353" spans="1:28" x14ac:dyDescent="0.25">
      <c r="A353" s="330"/>
      <c r="B353" s="332">
        <v>1.6131887506421372E-3</v>
      </c>
      <c r="C353" s="332">
        <v>3.3571411741116018E-2</v>
      </c>
      <c r="D353" s="332">
        <v>1.6130230454640642</v>
      </c>
      <c r="E353" s="332">
        <v>0.26971159707816766</v>
      </c>
      <c r="F353" s="332">
        <v>2.598544512810954E-2</v>
      </c>
      <c r="G353" s="330"/>
      <c r="H353" s="331">
        <f t="shared" si="25"/>
        <v>3182.3959029875218</v>
      </c>
      <c r="I353" s="330"/>
      <c r="J353" s="1"/>
      <c r="K353" s="330"/>
      <c r="L353" s="1"/>
      <c r="M353" s="330"/>
      <c r="N353" s="330"/>
      <c r="O353" s="330"/>
      <c r="P353" s="330"/>
      <c r="Q353" s="329"/>
      <c r="R353" s="331">
        <f t="shared" si="26"/>
        <v>3217.7244756647224</v>
      </c>
      <c r="S353" s="331">
        <f t="shared" si="27"/>
        <v>3253.4063340686948</v>
      </c>
      <c r="T353" s="331">
        <f t="shared" si="28"/>
        <v>3289.4450110567077</v>
      </c>
      <c r="U353" s="331">
        <f t="shared" si="29"/>
        <v>3325.8440748145995</v>
      </c>
      <c r="V353" s="330"/>
      <c r="W353" s="330"/>
      <c r="X353" s="330"/>
      <c r="Y353"/>
      <c r="Z353"/>
      <c r="AA353"/>
      <c r="AB353"/>
    </row>
    <row r="354" spans="1:28" x14ac:dyDescent="0.25">
      <c r="A354" s="330"/>
      <c r="B354" s="332">
        <v>1.9997354621005037E-2</v>
      </c>
      <c r="C354" s="332">
        <v>-0.62059048769988745</v>
      </c>
      <c r="D354" s="332">
        <v>2.2493997632804441</v>
      </c>
      <c r="E354" s="332">
        <v>0.63510565102120853</v>
      </c>
      <c r="F354" s="332">
        <v>8.0043281305573463E-2</v>
      </c>
      <c r="G354" s="330"/>
      <c r="H354" s="331">
        <f t="shared" si="25"/>
        <v>2095.2311907283879</v>
      </c>
      <c r="I354" s="330"/>
      <c r="J354" s="1"/>
      <c r="K354" s="330"/>
      <c r="L354" s="1"/>
      <c r="M354" s="330"/>
      <c r="N354" s="330"/>
      <c r="O354" s="330"/>
      <c r="P354" s="330"/>
      <c r="Q354" s="329"/>
      <c r="R354" s="331">
        <f t="shared" si="26"/>
        <v>2178.1323617311009</v>
      </c>
      <c r="S354" s="331">
        <f t="shared" si="27"/>
        <v>2261.8625444438408</v>
      </c>
      <c r="T354" s="331">
        <f t="shared" si="28"/>
        <v>2346.4300289837079</v>
      </c>
      <c r="U354" s="331">
        <f t="shared" si="29"/>
        <v>2431.8431883689732</v>
      </c>
      <c r="V354" s="330"/>
      <c r="W354" s="330"/>
      <c r="X354" s="330"/>
      <c r="Y354" s="333"/>
      <c r="Z354"/>
      <c r="AA354"/>
      <c r="AB354"/>
    </row>
    <row r="355" spans="1:28" x14ac:dyDescent="0.25">
      <c r="A355" s="330"/>
      <c r="B355" s="332">
        <v>1.7417796757717636E-5</v>
      </c>
      <c r="C355" s="332">
        <v>9.3859011576901213E-2</v>
      </c>
      <c r="D355" s="332">
        <v>0.37464975418061358</v>
      </c>
      <c r="E355" s="332">
        <v>0.14840873915959241</v>
      </c>
      <c r="F355" s="332">
        <v>4.7948953240758291E-2</v>
      </c>
      <c r="G355" s="330"/>
      <c r="H355" s="331">
        <f t="shared" si="25"/>
        <v>3360.2573761529311</v>
      </c>
      <c r="I355" s="330"/>
      <c r="J355" s="1"/>
      <c r="K355" s="330"/>
      <c r="L355" s="1"/>
      <c r="M355" s="330"/>
      <c r="N355" s="330"/>
      <c r="O355" s="330"/>
      <c r="P355" s="330"/>
      <c r="Q355" s="329"/>
      <c r="R355" s="331">
        <f t="shared" si="26"/>
        <v>3392.2289531338297</v>
      </c>
      <c r="S355" s="331">
        <f t="shared" si="27"/>
        <v>3424.520245884537</v>
      </c>
      <c r="T355" s="331">
        <f t="shared" si="28"/>
        <v>3457.1344515627516</v>
      </c>
      <c r="U355" s="331">
        <f t="shared" si="29"/>
        <v>3490.074799297749</v>
      </c>
      <c r="V355" s="330"/>
      <c r="W355" s="330"/>
      <c r="X355" s="330"/>
      <c r="Y355"/>
      <c r="Z355"/>
      <c r="AA355"/>
      <c r="AB355"/>
    </row>
    <row r="356" spans="1:28" x14ac:dyDescent="0.25">
      <c r="A356" s="330"/>
      <c r="B356" s="332"/>
      <c r="C356" s="332">
        <v>-0.35401442936563438</v>
      </c>
      <c r="D356" s="332">
        <v>2.2378385323342567</v>
      </c>
      <c r="E356" s="332">
        <v>0.19298600928288157</v>
      </c>
      <c r="F356" s="332">
        <v>2.7057550359060729E-2</v>
      </c>
      <c r="G356" s="330"/>
      <c r="H356" s="331">
        <f t="shared" si="25"/>
        <v>2913.9668170925843</v>
      </c>
      <c r="I356" s="330"/>
      <c r="J356" s="1"/>
      <c r="K356" s="330"/>
      <c r="L356" s="1"/>
      <c r="M356" s="330"/>
      <c r="N356" s="330"/>
      <c r="O356" s="330"/>
      <c r="P356" s="330"/>
      <c r="Q356" s="329"/>
      <c r="R356" s="331">
        <f t="shared" si="26"/>
        <v>2949.4253525621152</v>
      </c>
      <c r="S356" s="331">
        <f t="shared" si="27"/>
        <v>2985.238473386341</v>
      </c>
      <c r="T356" s="331">
        <f t="shared" si="28"/>
        <v>3021.4097254188091</v>
      </c>
      <c r="U356" s="331">
        <f t="shared" si="29"/>
        <v>3057.9426899716027</v>
      </c>
      <c r="V356" s="330"/>
      <c r="W356" s="330"/>
      <c r="X356" s="330"/>
      <c r="Y356"/>
      <c r="Z356"/>
      <c r="AA356"/>
      <c r="AB356"/>
    </row>
    <row r="357" spans="1:28" x14ac:dyDescent="0.25">
      <c r="A357" s="330"/>
      <c r="B357" s="332">
        <v>2.0608851433462326E-3</v>
      </c>
      <c r="C357" s="332">
        <v>5.4748452539241807E-2</v>
      </c>
      <c r="D357" s="332">
        <v>1.5003727562715596</v>
      </c>
      <c r="E357" s="332">
        <v>0.27760391102615412</v>
      </c>
      <c r="F357" s="332">
        <v>2.8280607810038414E-2</v>
      </c>
      <c r="G357" s="330"/>
      <c r="H357" s="331">
        <f t="shared" si="25"/>
        <v>3187.7620409550509</v>
      </c>
      <c r="I357" s="330"/>
      <c r="J357" s="1"/>
      <c r="K357" s="330"/>
      <c r="L357" s="1"/>
      <c r="M357" s="330"/>
      <c r="N357" s="330"/>
      <c r="O357" s="330"/>
      <c r="P357" s="330"/>
      <c r="Q357" s="329"/>
      <c r="R357" s="331">
        <f t="shared" si="26"/>
        <v>3223.905189527567</v>
      </c>
      <c r="S357" s="331">
        <f t="shared" si="27"/>
        <v>3260.4097695858086</v>
      </c>
      <c r="T357" s="331">
        <f t="shared" si="28"/>
        <v>3297.2793954446324</v>
      </c>
      <c r="U357" s="331">
        <f t="shared" si="29"/>
        <v>3334.5177175620438</v>
      </c>
      <c r="V357" s="330"/>
      <c r="W357" s="330"/>
      <c r="X357" s="330"/>
      <c r="Y357" s="333"/>
      <c r="Z357"/>
      <c r="AA357"/>
      <c r="AB357"/>
    </row>
    <row r="358" spans="1:28" x14ac:dyDescent="0.25">
      <c r="A358" s="330"/>
      <c r="B358" s="332">
        <v>1.5782144826146192E-3</v>
      </c>
      <c r="C358" s="332">
        <v>-8.3291487045339327E-2</v>
      </c>
      <c r="D358" s="332"/>
      <c r="E358" s="332">
        <v>8.8711644283828342E-2</v>
      </c>
      <c r="F358" s="332">
        <v>7.18162431867016E-2</v>
      </c>
      <c r="G358" s="330"/>
      <c r="H358" s="331">
        <f t="shared" si="25"/>
        <v>3219.5238716710019</v>
      </c>
      <c r="I358" s="330"/>
      <c r="J358" s="1"/>
      <c r="K358" s="330"/>
      <c r="L358" s="1"/>
      <c r="M358" s="330"/>
      <c r="N358" s="330"/>
      <c r="O358" s="330"/>
      <c r="P358" s="330"/>
      <c r="Q358" s="329"/>
      <c r="R358" s="331">
        <f t="shared" si="26"/>
        <v>3257.2206589443313</v>
      </c>
      <c r="S358" s="331">
        <f t="shared" si="27"/>
        <v>3295.2944140903942</v>
      </c>
      <c r="T358" s="331">
        <f t="shared" si="28"/>
        <v>3333.7489067879178</v>
      </c>
      <c r="U358" s="331">
        <f t="shared" si="29"/>
        <v>3372.5879444124166</v>
      </c>
      <c r="V358" s="330"/>
      <c r="W358" s="330"/>
      <c r="X358" s="330"/>
      <c r="Y358" s="333"/>
      <c r="Z358"/>
      <c r="AA358"/>
      <c r="AB358"/>
    </row>
    <row r="359" spans="1:28" x14ac:dyDescent="0.25">
      <c r="A359" s="330"/>
      <c r="B359" s="332"/>
      <c r="C359" s="332">
        <v>-0.16034870042646723</v>
      </c>
      <c r="D359" s="332">
        <v>2.0045277845092961</v>
      </c>
      <c r="E359" s="332">
        <v>0.21371344293538869</v>
      </c>
      <c r="F359" s="332">
        <v>2.4285628013374951E-2</v>
      </c>
      <c r="G359" s="330"/>
      <c r="H359" s="331">
        <f t="shared" si="25"/>
        <v>3104.3731873979937</v>
      </c>
      <c r="I359" s="330"/>
      <c r="J359" s="1"/>
      <c r="K359" s="330"/>
      <c r="L359" s="1"/>
      <c r="M359" s="330"/>
      <c r="N359" s="330"/>
      <c r="O359" s="330"/>
      <c r="P359" s="330"/>
      <c r="Q359" s="329"/>
      <c r="R359" s="331">
        <f t="shared" si="26"/>
        <v>3138.279012100546</v>
      </c>
      <c r="S359" s="331">
        <f t="shared" si="27"/>
        <v>3172.5238950501243</v>
      </c>
      <c r="T359" s="331">
        <f t="shared" si="28"/>
        <v>3207.1112268291981</v>
      </c>
      <c r="U359" s="331">
        <f t="shared" si="29"/>
        <v>3242.0444319260632</v>
      </c>
      <c r="V359" s="330"/>
      <c r="W359" s="330"/>
      <c r="X359" s="330"/>
      <c r="Y359" s="333"/>
      <c r="Z359"/>
      <c r="AA359"/>
      <c r="AB359"/>
    </row>
    <row r="360" spans="1:28" x14ac:dyDescent="0.25">
      <c r="A360" s="330"/>
      <c r="B360" s="332">
        <v>1.4230286562299489E-3</v>
      </c>
      <c r="C360" s="332">
        <v>4.9147789282730593E-2</v>
      </c>
      <c r="D360" s="332">
        <v>1.2389956057079363</v>
      </c>
      <c r="E360" s="332">
        <v>0.25628930467848143</v>
      </c>
      <c r="F360" s="332">
        <v>3.17901259598075E-2</v>
      </c>
      <c r="G360" s="330"/>
      <c r="H360" s="331">
        <f t="shared" si="25"/>
        <v>3239.5584970895602</v>
      </c>
      <c r="I360" s="330"/>
      <c r="J360" s="1"/>
      <c r="K360" s="330"/>
      <c r="L360" s="1"/>
      <c r="M360" s="330"/>
      <c r="N360" s="330"/>
      <c r="O360" s="330"/>
      <c r="P360" s="330"/>
      <c r="Q360" s="329"/>
      <c r="R360" s="331">
        <f t="shared" si="26"/>
        <v>3274.6969165763762</v>
      </c>
      <c r="S360" s="331">
        <f t="shared" si="27"/>
        <v>3310.1867202580606</v>
      </c>
      <c r="T360" s="331">
        <f t="shared" si="28"/>
        <v>3346.0314219765619</v>
      </c>
      <c r="U360" s="331">
        <f t="shared" si="29"/>
        <v>3382.2345707122477</v>
      </c>
      <c r="V360" s="330"/>
      <c r="W360" s="330"/>
      <c r="X360" s="330"/>
      <c r="Y360" s="333"/>
      <c r="Z360"/>
      <c r="AA360"/>
      <c r="AB360"/>
    </row>
    <row r="361" spans="1:28" x14ac:dyDescent="0.25">
      <c r="A361" s="330"/>
      <c r="B361" s="332"/>
      <c r="C361" s="332">
        <v>-0.47650967047179887</v>
      </c>
      <c r="D361" s="332">
        <v>1.2418366910162368</v>
      </c>
      <c r="E361" s="332">
        <v>0.1736747325985977</v>
      </c>
      <c r="F361" s="332">
        <v>4.6299797777475477E-2</v>
      </c>
      <c r="G361" s="330"/>
      <c r="H361" s="331">
        <f t="shared" si="25"/>
        <v>2904.4145090095381</v>
      </c>
      <c r="I361" s="330"/>
      <c r="J361" s="1"/>
      <c r="K361" s="330"/>
      <c r="L361" s="1"/>
      <c r="M361" s="330"/>
      <c r="N361" s="330"/>
      <c r="O361" s="330"/>
      <c r="P361" s="330"/>
      <c r="Q361" s="329"/>
      <c r="R361" s="331">
        <f t="shared" si="26"/>
        <v>2941.963961014972</v>
      </c>
      <c r="S361" s="331">
        <f t="shared" si="27"/>
        <v>2979.8889075404609</v>
      </c>
      <c r="T361" s="331">
        <f t="shared" si="28"/>
        <v>3018.1931035312045</v>
      </c>
      <c r="U361" s="331">
        <f t="shared" si="29"/>
        <v>3056.8803414818553</v>
      </c>
      <c r="V361" s="330"/>
      <c r="W361" s="330"/>
      <c r="X361" s="330"/>
      <c r="Y361" s="333"/>
      <c r="Z361"/>
      <c r="AA361"/>
      <c r="AB361"/>
    </row>
    <row r="362" spans="1:28" x14ac:dyDescent="0.25">
      <c r="A362" s="330"/>
      <c r="B362" s="332">
        <v>9.4272121228565985E-4</v>
      </c>
      <c r="C362" s="332">
        <v>2.2059399950049047E-2</v>
      </c>
      <c r="D362" s="332"/>
      <c r="E362" s="332">
        <v>0.15628896511549498</v>
      </c>
      <c r="F362" s="332">
        <v>5.9560816593296047E-2</v>
      </c>
      <c r="G362" s="330"/>
      <c r="H362" s="331">
        <f t="shared" si="25"/>
        <v>3355.53984997924</v>
      </c>
      <c r="I362" s="330"/>
      <c r="J362" s="1"/>
      <c r="K362" s="330"/>
      <c r="L362" s="1"/>
      <c r="M362" s="330"/>
      <c r="N362" s="330"/>
      <c r="O362" s="330"/>
      <c r="P362" s="330"/>
      <c r="Q362" s="329"/>
      <c r="R362" s="331">
        <f t="shared" si="26"/>
        <v>3391.0997210416967</v>
      </c>
      <c r="S362" s="331">
        <f t="shared" si="27"/>
        <v>3427.0151908147791</v>
      </c>
      <c r="T362" s="331">
        <f t="shared" si="28"/>
        <v>3463.2898152855919</v>
      </c>
      <c r="U362" s="331">
        <f t="shared" si="29"/>
        <v>3499.9271860011127</v>
      </c>
      <c r="V362" s="330"/>
      <c r="W362" s="330"/>
      <c r="X362" s="330"/>
      <c r="Y362" s="333"/>
      <c r="Z362"/>
      <c r="AA362"/>
      <c r="AB362"/>
    </row>
    <row r="363" spans="1:28" x14ac:dyDescent="0.25">
      <c r="A363" s="330"/>
      <c r="B363" s="332">
        <v>1.5008776414947738E-3</v>
      </c>
      <c r="C363" s="332">
        <v>9.2694206346716254E-2</v>
      </c>
      <c r="D363" s="332">
        <v>3.1920327504769848E-3</v>
      </c>
      <c r="E363" s="332">
        <v>0.19396707263341068</v>
      </c>
      <c r="F363" s="332">
        <v>5.5828054688332455E-2</v>
      </c>
      <c r="G363" s="330"/>
      <c r="H363" s="331">
        <f t="shared" si="25"/>
        <v>3365.1783840961016</v>
      </c>
      <c r="I363" s="330"/>
      <c r="J363" s="1"/>
      <c r="K363" s="330"/>
      <c r="L363" s="1"/>
      <c r="M363" s="330"/>
      <c r="N363" s="330"/>
      <c r="O363" s="330"/>
      <c r="P363" s="330"/>
      <c r="Q363" s="329"/>
      <c r="R363" s="331">
        <f t="shared" si="26"/>
        <v>3400.9937768164168</v>
      </c>
      <c r="S363" s="331">
        <f t="shared" si="27"/>
        <v>3437.1673234639356</v>
      </c>
      <c r="T363" s="331">
        <f t="shared" si="28"/>
        <v>3473.7026055779297</v>
      </c>
      <c r="U363" s="331">
        <f t="shared" si="29"/>
        <v>3510.6032405130632</v>
      </c>
      <c r="V363" s="330"/>
      <c r="W363" s="330"/>
      <c r="X363" s="330"/>
      <c r="Y363" s="333"/>
      <c r="Z363"/>
      <c r="AA363"/>
      <c r="AB363"/>
    </row>
    <row r="364" spans="1:28" x14ac:dyDescent="0.25">
      <c r="A364" s="330"/>
      <c r="B364" s="332">
        <v>8.7412883059521078E-5</v>
      </c>
      <c r="C364" s="332">
        <v>6.6866147388590855E-2</v>
      </c>
      <c r="D364" s="332">
        <v>0.29740110089479249</v>
      </c>
      <c r="E364" s="332">
        <v>0.18988929127703688</v>
      </c>
      <c r="F364" s="332">
        <v>4.6181200656768812E-2</v>
      </c>
      <c r="G364" s="330"/>
      <c r="H364" s="331">
        <f t="shared" si="25"/>
        <v>3383.4933375917944</v>
      </c>
      <c r="I364" s="330"/>
      <c r="J364" s="1"/>
      <c r="K364" s="330"/>
      <c r="L364" s="1"/>
      <c r="M364" s="330"/>
      <c r="N364" s="330"/>
      <c r="O364" s="330"/>
      <c r="P364" s="330"/>
      <c r="Q364" s="329"/>
      <c r="R364" s="331">
        <f t="shared" si="26"/>
        <v>3416.3571371314383</v>
      </c>
      <c r="S364" s="331">
        <f t="shared" si="27"/>
        <v>3449.5495746664783</v>
      </c>
      <c r="T364" s="331">
        <f t="shared" si="28"/>
        <v>3483.0739365768691</v>
      </c>
      <c r="U364" s="331">
        <f t="shared" si="29"/>
        <v>3516.9335421063633</v>
      </c>
      <c r="V364" s="330"/>
      <c r="W364" s="330"/>
      <c r="X364" s="330"/>
      <c r="Y364" s="333"/>
      <c r="Z364"/>
      <c r="AA364"/>
      <c r="AB364"/>
    </row>
    <row r="365" spans="1:28" x14ac:dyDescent="0.25">
      <c r="A365" s="330"/>
      <c r="B365" s="332">
        <v>5.03555870422713E-4</v>
      </c>
      <c r="C365" s="332">
        <v>3.359783961500979E-2</v>
      </c>
      <c r="D365" s="332">
        <v>0.18169431627043806</v>
      </c>
      <c r="E365" s="332">
        <v>0.1775864348491564</v>
      </c>
      <c r="F365" s="332">
        <v>5.2895701061131541E-2</v>
      </c>
      <c r="G365" s="330"/>
      <c r="H365" s="331">
        <f t="shared" si="25"/>
        <v>3396.6677696828419</v>
      </c>
      <c r="I365" s="330"/>
      <c r="J365" s="1"/>
      <c r="K365" s="330"/>
      <c r="L365" s="1"/>
      <c r="M365" s="330"/>
      <c r="N365" s="330"/>
      <c r="O365" s="330"/>
      <c r="P365" s="330"/>
      <c r="Q365" s="329"/>
      <c r="R365" s="331">
        <f t="shared" si="26"/>
        <v>3431.3157633026831</v>
      </c>
      <c r="S365" s="331">
        <f t="shared" si="27"/>
        <v>3466.3102368587233</v>
      </c>
      <c r="T365" s="331">
        <f t="shared" si="28"/>
        <v>3501.6546551503234</v>
      </c>
      <c r="U365" s="331">
        <f t="shared" si="29"/>
        <v>3537.3525176248399</v>
      </c>
      <c r="V365" s="330"/>
      <c r="W365" s="330"/>
      <c r="X365" s="330"/>
      <c r="Y365" s="333"/>
      <c r="Z365"/>
      <c r="AA365"/>
      <c r="AB365"/>
    </row>
    <row r="366" spans="1:28" x14ac:dyDescent="0.25">
      <c r="A366" s="330"/>
      <c r="B366" s="332">
        <v>2.7210974611191907E-5</v>
      </c>
      <c r="C366" s="332">
        <v>6.3047547759656875E-2</v>
      </c>
      <c r="D366" s="332">
        <v>1.228991136481181</v>
      </c>
      <c r="E366" s="332">
        <v>0.1994786661818907</v>
      </c>
      <c r="F366" s="332">
        <v>2.9560418269394848E-2</v>
      </c>
      <c r="G366" s="330"/>
      <c r="H366" s="331">
        <f t="shared" si="25"/>
        <v>3215.8643777114175</v>
      </c>
      <c r="I366" s="330"/>
      <c r="J366" s="1"/>
      <c r="K366" s="330"/>
      <c r="L366" s="1"/>
      <c r="M366" s="330"/>
      <c r="N366" s="330"/>
      <c r="O366" s="330"/>
      <c r="P366" s="330"/>
      <c r="Q366" s="329"/>
      <c r="R366" s="331">
        <f t="shared" si="26"/>
        <v>3246.9668972119925</v>
      </c>
      <c r="S366" s="331">
        <f t="shared" si="27"/>
        <v>3278.3804419075732</v>
      </c>
      <c r="T366" s="331">
        <f t="shared" si="28"/>
        <v>3310.1081220501096</v>
      </c>
      <c r="U366" s="331">
        <f t="shared" si="29"/>
        <v>3342.1530789940716</v>
      </c>
      <c r="V366" s="330"/>
      <c r="W366" s="330"/>
      <c r="X366" s="330"/>
      <c r="Y366" s="333"/>
      <c r="Z366"/>
      <c r="AA366"/>
      <c r="AB366"/>
    </row>
    <row r="367" spans="1:28" x14ac:dyDescent="0.25">
      <c r="A367" s="330"/>
      <c r="B367" s="332">
        <v>1.0741922668047981E-2</v>
      </c>
      <c r="C367" s="332">
        <v>-0.32008149873743696</v>
      </c>
      <c r="D367" s="332">
        <v>1.2264220310040186</v>
      </c>
      <c r="E367" s="332">
        <v>0.45269234190053587</v>
      </c>
      <c r="F367" s="332">
        <v>6.3973569395450722E-2</v>
      </c>
      <c r="G367" s="330"/>
      <c r="H367" s="331">
        <f t="shared" si="25"/>
        <v>2705.4834950272884</v>
      </c>
      <c r="I367" s="330"/>
      <c r="J367" s="1"/>
      <c r="K367" s="330"/>
      <c r="L367" s="1"/>
      <c r="M367" s="330"/>
      <c r="N367" s="330"/>
      <c r="O367" s="330"/>
      <c r="P367" s="330"/>
      <c r="Q367" s="329"/>
      <c r="R367" s="331">
        <f t="shared" si="26"/>
        <v>2765.5781987296341</v>
      </c>
      <c r="S367" s="331">
        <f t="shared" si="27"/>
        <v>2826.2738494690047</v>
      </c>
      <c r="T367" s="331">
        <f t="shared" si="28"/>
        <v>2887.5764567157689</v>
      </c>
      <c r="U367" s="331">
        <f t="shared" si="29"/>
        <v>2949.4920900349998</v>
      </c>
      <c r="V367" s="330"/>
      <c r="W367" s="330"/>
      <c r="X367" s="330"/>
      <c r="Y367" s="333"/>
      <c r="Z367"/>
      <c r="AA367"/>
      <c r="AB367"/>
    </row>
    <row r="368" spans="1:28" x14ac:dyDescent="0.25">
      <c r="A368" s="330"/>
      <c r="B368" s="332">
        <v>3.2454444769227286E-4</v>
      </c>
      <c r="C368" s="332">
        <v>7.0467361434521564E-2</v>
      </c>
      <c r="D368" s="332">
        <v>0.28466043064131713</v>
      </c>
      <c r="E368" s="332">
        <v>0.19368346742760023</v>
      </c>
      <c r="F368" s="332">
        <v>4.6966074446881681E-2</v>
      </c>
      <c r="G368" s="330"/>
      <c r="H368" s="331">
        <f t="shared" si="25"/>
        <v>3378.0822006370854</v>
      </c>
      <c r="I368" s="330"/>
      <c r="J368" s="1"/>
      <c r="K368" s="330"/>
      <c r="L368" s="1"/>
      <c r="M368" s="330"/>
      <c r="N368" s="330"/>
      <c r="O368" s="330"/>
      <c r="P368" s="330"/>
      <c r="Q368" s="329"/>
      <c r="R368" s="331">
        <f t="shared" si="26"/>
        <v>3411.430855685097</v>
      </c>
      <c r="S368" s="331">
        <f t="shared" si="27"/>
        <v>3445.1129972835888</v>
      </c>
      <c r="T368" s="331">
        <f t="shared" si="28"/>
        <v>3479.1319602980657</v>
      </c>
      <c r="U368" s="331">
        <f t="shared" si="29"/>
        <v>3513.4911129426873</v>
      </c>
      <c r="V368" s="330"/>
      <c r="W368" s="330"/>
      <c r="X368" s="330"/>
      <c r="Y368" s="333"/>
      <c r="Z368"/>
      <c r="AA368"/>
      <c r="AB368"/>
    </row>
    <row r="369" spans="1:28" x14ac:dyDescent="0.25">
      <c r="A369" s="330"/>
      <c r="B369" s="332">
        <v>1.7370328591456814E-3</v>
      </c>
      <c r="C369" s="332">
        <v>5.4987849467356499E-2</v>
      </c>
      <c r="D369" s="332">
        <v>1.5827937267744319</v>
      </c>
      <c r="E369" s="332">
        <v>0.26659330935015585</v>
      </c>
      <c r="F369" s="332">
        <v>2.6758949104816604E-2</v>
      </c>
      <c r="G369" s="330"/>
      <c r="H369" s="331">
        <f t="shared" si="25"/>
        <v>3191.0428053495502</v>
      </c>
      <c r="I369" s="330"/>
      <c r="J369" s="1"/>
      <c r="K369" s="330"/>
      <c r="L369" s="1"/>
      <c r="M369" s="330"/>
      <c r="N369" s="330"/>
      <c r="O369" s="330"/>
      <c r="P369" s="330"/>
      <c r="Q369" s="329"/>
      <c r="R369" s="331">
        <f t="shared" si="26"/>
        <v>3226.3906316758907</v>
      </c>
      <c r="S369" s="331">
        <f t="shared" si="27"/>
        <v>3262.091936265495</v>
      </c>
      <c r="T369" s="331">
        <f t="shared" si="28"/>
        <v>3298.1502539009953</v>
      </c>
      <c r="U369" s="331">
        <f t="shared" si="29"/>
        <v>3334.5691547128499</v>
      </c>
      <c r="V369" s="330"/>
      <c r="W369" s="330"/>
      <c r="X369" s="330"/>
      <c r="Y369" s="333"/>
      <c r="Z369"/>
      <c r="AA369"/>
      <c r="AB369"/>
    </row>
    <row r="370" spans="1:28" x14ac:dyDescent="0.25">
      <c r="A370" s="330"/>
      <c r="B370" s="332"/>
      <c r="C370" s="332">
        <v>7.3807800747812458E-2</v>
      </c>
      <c r="D370" s="332"/>
      <c r="E370" s="332">
        <v>0.16436401162822073</v>
      </c>
      <c r="F370" s="332">
        <v>5.2667183413022976E-2</v>
      </c>
      <c r="G370" s="330"/>
      <c r="H370" s="331">
        <f t="shared" si="25"/>
        <v>3412.043139475938</v>
      </c>
      <c r="I370" s="330"/>
      <c r="J370" s="1"/>
      <c r="K370" s="330"/>
      <c r="L370" s="1"/>
      <c r="M370" s="330"/>
      <c r="N370" s="330"/>
      <c r="O370" s="330"/>
      <c r="P370" s="330"/>
      <c r="Q370" s="329"/>
      <c r="R370" s="331">
        <f t="shared" si="26"/>
        <v>3444.8461621442711</v>
      </c>
      <c r="S370" s="331">
        <f t="shared" si="27"/>
        <v>3477.9772150392873</v>
      </c>
      <c r="T370" s="331">
        <f t="shared" si="28"/>
        <v>3511.4395784632534</v>
      </c>
      <c r="U370" s="331">
        <f t="shared" si="29"/>
        <v>3545.2365655214589</v>
      </c>
      <c r="V370" s="330"/>
      <c r="W370" s="330"/>
      <c r="X370" s="330"/>
      <c r="Y370" s="333"/>
      <c r="Z370"/>
      <c r="AA370"/>
      <c r="AB370"/>
    </row>
    <row r="371" spans="1:28" x14ac:dyDescent="0.25">
      <c r="A371" s="330"/>
      <c r="B371" s="332"/>
      <c r="C371" s="332">
        <v>7.4182404967882754E-2</v>
      </c>
      <c r="D371" s="332">
        <v>4.9055159054496783E-2</v>
      </c>
      <c r="E371" s="332">
        <v>0.1748543046995531</v>
      </c>
      <c r="F371" s="332">
        <v>5.0719619856843111E-2</v>
      </c>
      <c r="G371" s="330"/>
      <c r="H371" s="331">
        <f t="shared" si="25"/>
        <v>3405.8895559195007</v>
      </c>
      <c r="I371" s="330"/>
      <c r="J371" s="1"/>
      <c r="K371" s="330"/>
      <c r="L371" s="1"/>
      <c r="M371" s="330"/>
      <c r="N371" s="330"/>
      <c r="O371" s="330"/>
      <c r="P371" s="330"/>
      <c r="Q371" s="329"/>
      <c r="R371" s="331">
        <f t="shared" si="26"/>
        <v>3438.6243563740886</v>
      </c>
      <c r="S371" s="331">
        <f t="shared" si="27"/>
        <v>3471.686504833222</v>
      </c>
      <c r="T371" s="331">
        <f t="shared" si="28"/>
        <v>3505.0792747769469</v>
      </c>
      <c r="U371" s="331">
        <f t="shared" si="29"/>
        <v>3538.8059724201094</v>
      </c>
      <c r="V371" s="330"/>
      <c r="W371" s="330"/>
      <c r="X371" s="330"/>
      <c r="Y371" s="333"/>
      <c r="Z371"/>
      <c r="AA371"/>
      <c r="AB371"/>
    </row>
    <row r="372" spans="1:28" x14ac:dyDescent="0.25">
      <c r="A372" s="330"/>
      <c r="B372" s="332">
        <v>4.6536485963501544E-6</v>
      </c>
      <c r="C372" s="332">
        <v>7.4029207339845901E-2</v>
      </c>
      <c r="D372" s="332"/>
      <c r="E372" s="332">
        <v>0.16449811946874865</v>
      </c>
      <c r="F372" s="332">
        <v>5.2666181563591978E-2</v>
      </c>
      <c r="G372" s="330"/>
      <c r="H372" s="331">
        <f t="shared" si="25"/>
        <v>3411.9048354567017</v>
      </c>
      <c r="I372" s="330"/>
      <c r="J372" s="1"/>
      <c r="K372" s="330"/>
      <c r="L372" s="1"/>
      <c r="M372" s="330"/>
      <c r="N372" s="330"/>
      <c r="O372" s="330"/>
      <c r="P372" s="330"/>
      <c r="Q372" s="329"/>
      <c r="R372" s="331">
        <f t="shared" si="26"/>
        <v>3444.7143617050683</v>
      </c>
      <c r="S372" s="331">
        <f t="shared" si="27"/>
        <v>3477.8519832159186</v>
      </c>
      <c r="T372" s="331">
        <f t="shared" si="28"/>
        <v>3511.3209809418777</v>
      </c>
      <c r="U372" s="331">
        <f t="shared" si="29"/>
        <v>3545.1246686450959</v>
      </c>
      <c r="V372" s="330"/>
      <c r="W372" s="330"/>
      <c r="X372" s="330"/>
      <c r="Y372" s="333"/>
      <c r="Z372"/>
      <c r="AA372"/>
      <c r="AB372"/>
    </row>
    <row r="373" spans="1:28" x14ac:dyDescent="0.25">
      <c r="A373" s="330"/>
      <c r="B373" s="332">
        <v>4.0709107077983381E-4</v>
      </c>
      <c r="C373" s="332">
        <v>8.4009332732693891E-3</v>
      </c>
      <c r="D373" s="332">
        <v>0.21024649657238687</v>
      </c>
      <c r="E373" s="332">
        <v>0.19663083824614705</v>
      </c>
      <c r="F373" s="332">
        <v>5.0238364043164667E-2</v>
      </c>
      <c r="G373" s="330"/>
      <c r="H373" s="331">
        <f t="shared" si="25"/>
        <v>3369.2540991094402</v>
      </c>
      <c r="I373" s="330"/>
      <c r="J373" s="1"/>
      <c r="K373" s="330"/>
      <c r="L373" s="1"/>
      <c r="M373" s="330"/>
      <c r="N373" s="330"/>
      <c r="O373" s="330"/>
      <c r="P373" s="330"/>
      <c r="Q373" s="329"/>
      <c r="R373" s="331">
        <f t="shared" si="26"/>
        <v>3403.8323006499568</v>
      </c>
      <c r="S373" s="331">
        <f t="shared" si="27"/>
        <v>3438.7562842058792</v>
      </c>
      <c r="T373" s="331">
        <f t="shared" si="28"/>
        <v>3474.0295075973609</v>
      </c>
      <c r="U373" s="331">
        <f t="shared" si="29"/>
        <v>3509.6554632227571</v>
      </c>
      <c r="V373" s="330"/>
      <c r="W373" s="330"/>
      <c r="X373" s="330"/>
      <c r="Y373" s="333"/>
      <c r="Z373"/>
      <c r="AA373"/>
      <c r="AB373"/>
    </row>
    <row r="374" spans="1:28" x14ac:dyDescent="0.25">
      <c r="A374" s="330"/>
      <c r="B374" s="332">
        <v>2.4131995399675975E-3</v>
      </c>
      <c r="C374" s="332">
        <v>-3.9160869116265503E-3</v>
      </c>
      <c r="D374" s="332">
        <v>0.33706463939675707</v>
      </c>
      <c r="E374" s="332">
        <v>0.24261361528564515</v>
      </c>
      <c r="F374" s="332">
        <v>5.330844877105706E-2</v>
      </c>
      <c r="G374" s="330"/>
      <c r="H374" s="331">
        <f t="shared" si="25"/>
        <v>3290.6985366096801</v>
      </c>
      <c r="I374" s="330"/>
      <c r="J374" s="1"/>
      <c r="K374" s="330"/>
      <c r="L374" s="1"/>
      <c r="M374" s="330"/>
      <c r="N374" s="330"/>
      <c r="O374" s="330"/>
      <c r="P374" s="330"/>
      <c r="Q374" s="329"/>
      <c r="R374" s="331">
        <f t="shared" si="26"/>
        <v>3329.8144264796115</v>
      </c>
      <c r="S374" s="331">
        <f t="shared" si="27"/>
        <v>3369.3214752482418</v>
      </c>
      <c r="T374" s="331">
        <f t="shared" si="28"/>
        <v>3409.2235945045586</v>
      </c>
      <c r="U374" s="331">
        <f t="shared" si="29"/>
        <v>3449.5247349534388</v>
      </c>
      <c r="V374" s="330"/>
      <c r="W374" s="330"/>
      <c r="X374" s="330"/>
      <c r="Y374" s="333"/>
      <c r="Z374"/>
      <c r="AA374"/>
      <c r="AB374"/>
    </row>
    <row r="375" spans="1:28" x14ac:dyDescent="0.25">
      <c r="A375" s="330"/>
      <c r="B375" s="332"/>
      <c r="C375" s="332">
        <v>-7.3970623330622307E-2</v>
      </c>
      <c r="D375" s="332">
        <v>1.1716081911904641</v>
      </c>
      <c r="E375" s="332">
        <v>0.19247320339584029</v>
      </c>
      <c r="F375" s="332">
        <v>3.7005954183179313E-2</v>
      </c>
      <c r="G375" s="330"/>
      <c r="H375" s="331">
        <f t="shared" si="25"/>
        <v>3251.635056911764</v>
      </c>
      <c r="I375" s="330"/>
      <c r="J375" s="1"/>
      <c r="K375" s="330"/>
      <c r="L375" s="1"/>
      <c r="M375" s="330"/>
      <c r="N375" s="330"/>
      <c r="O375" s="330"/>
      <c r="P375" s="330"/>
      <c r="Q375" s="329"/>
      <c r="R375" s="331">
        <f t="shared" si="26"/>
        <v>3285.471722456909</v>
      </c>
      <c r="S375" s="331">
        <f t="shared" si="27"/>
        <v>3319.6467546575059</v>
      </c>
      <c r="T375" s="331">
        <f t="shared" si="28"/>
        <v>3354.1635371801085</v>
      </c>
      <c r="U375" s="331">
        <f t="shared" si="29"/>
        <v>3389.0254875279375</v>
      </c>
      <c r="V375" s="330"/>
      <c r="W375" s="330"/>
      <c r="X375" s="330"/>
      <c r="Y375" s="333"/>
      <c r="Z375"/>
      <c r="AA375"/>
      <c r="AB375"/>
    </row>
    <row r="376" spans="1:28" x14ac:dyDescent="0.25">
      <c r="A376" s="330"/>
      <c r="B376" s="332">
        <v>1.032413375526672E-2</v>
      </c>
      <c r="C376" s="332">
        <v>-2.8339543550563273</v>
      </c>
      <c r="D376" s="332">
        <v>3.8735127398471265</v>
      </c>
      <c r="E376" s="332">
        <v>0.51271255055392118</v>
      </c>
      <c r="F376" s="332">
        <v>4.5974951357561876E-2</v>
      </c>
      <c r="G376" s="330"/>
      <c r="H376" s="331">
        <f t="shared" si="25"/>
        <v>-658.82065932742171</v>
      </c>
      <c r="I376" s="330"/>
      <c r="J376" s="1"/>
      <c r="K376" s="330"/>
      <c r="L376" s="1"/>
      <c r="M376" s="330"/>
      <c r="N376" s="330"/>
      <c r="O376" s="330"/>
      <c r="P376" s="330"/>
      <c r="Q376" s="329"/>
      <c r="R376" s="331">
        <f t="shared" si="26"/>
        <v>-588.56125273121097</v>
      </c>
      <c r="S376" s="331">
        <f t="shared" si="27"/>
        <v>-517.59925206903836</v>
      </c>
      <c r="T376" s="331">
        <f t="shared" si="28"/>
        <v>-445.92763140024317</v>
      </c>
      <c r="U376" s="331">
        <f t="shared" si="29"/>
        <v>-373.53929452476041</v>
      </c>
      <c r="V376" s="330"/>
      <c r="W376" s="330"/>
      <c r="X376" s="330"/>
      <c r="Y376" s="333"/>
      <c r="Z376"/>
      <c r="AA376"/>
      <c r="AB376"/>
    </row>
    <row r="377" spans="1:28" x14ac:dyDescent="0.25">
      <c r="A377" s="330"/>
      <c r="B377" s="332"/>
      <c r="C377" s="332">
        <v>8.6882319230509694E-2</v>
      </c>
      <c r="D377" s="332"/>
      <c r="E377" s="332">
        <v>0.16090993300064671</v>
      </c>
      <c r="F377" s="332">
        <v>5.2307971242064051E-2</v>
      </c>
      <c r="G377" s="330"/>
      <c r="H377" s="331">
        <f t="shared" si="25"/>
        <v>3400.889862886791</v>
      </c>
      <c r="I377" s="330"/>
      <c r="J377" s="1"/>
      <c r="K377" s="330"/>
      <c r="L377" s="1"/>
      <c r="M377" s="330"/>
      <c r="N377" s="330"/>
      <c r="O377" s="330"/>
      <c r="P377" s="330"/>
      <c r="Q377" s="329"/>
      <c r="R377" s="331">
        <f t="shared" si="26"/>
        <v>3433.3479833544511</v>
      </c>
      <c r="S377" s="331">
        <f t="shared" si="27"/>
        <v>3466.1306850267879</v>
      </c>
      <c r="T377" s="331">
        <f t="shared" si="28"/>
        <v>3499.2412137158485</v>
      </c>
      <c r="U377" s="331">
        <f t="shared" si="29"/>
        <v>3532.6828476917995</v>
      </c>
      <c r="V377" s="330"/>
      <c r="W377" s="330"/>
      <c r="X377" s="330"/>
      <c r="Y377" s="333"/>
      <c r="Z377"/>
      <c r="AA377"/>
      <c r="AB377"/>
    </row>
    <row r="378" spans="1:28" x14ac:dyDescent="0.25">
      <c r="A378" s="330"/>
      <c r="B378" s="332">
        <v>4.6999104041757942E-3</v>
      </c>
      <c r="C378" s="332">
        <v>8.3910906352901798E-2</v>
      </c>
      <c r="D378" s="332">
        <v>1.6026665009803258</v>
      </c>
      <c r="E378" s="332">
        <v>0.29356143799031026</v>
      </c>
      <c r="F378" s="332">
        <v>3.5157995744208491E-2</v>
      </c>
      <c r="G378" s="330"/>
      <c r="H378" s="331">
        <f t="shared" si="25"/>
        <v>3027.5011502990228</v>
      </c>
      <c r="I378" s="330"/>
      <c r="J378" s="1"/>
      <c r="K378" s="330"/>
      <c r="L378" s="1"/>
      <c r="M378" s="330"/>
      <c r="N378" s="330"/>
      <c r="O378" s="330"/>
      <c r="P378" s="330"/>
      <c r="Q378" s="329"/>
      <c r="R378" s="331">
        <f t="shared" si="26"/>
        <v>3068.2346539836708</v>
      </c>
      <c r="S378" s="331">
        <f t="shared" si="27"/>
        <v>3109.3754927051659</v>
      </c>
      <c r="T378" s="331">
        <f t="shared" si="28"/>
        <v>3150.9277398138756</v>
      </c>
      <c r="U378" s="331">
        <f t="shared" si="29"/>
        <v>3192.895509393672</v>
      </c>
      <c r="V378" s="330"/>
      <c r="W378" s="330"/>
      <c r="X378" s="330"/>
      <c r="Y378" s="333"/>
      <c r="Z378"/>
      <c r="AA378"/>
      <c r="AB378"/>
    </row>
    <row r="379" spans="1:28" x14ac:dyDescent="0.25">
      <c r="A379" s="330"/>
      <c r="B379" s="332">
        <v>1.1436142013569171E-3</v>
      </c>
      <c r="C379" s="332">
        <v>-2.0526725127172969E-2</v>
      </c>
      <c r="D379" s="332">
        <v>1.5776758440778536</v>
      </c>
      <c r="E379" s="332">
        <v>0.26109572239590795</v>
      </c>
      <c r="F379" s="332">
        <v>2.6598180476174318E-2</v>
      </c>
      <c r="G379" s="330"/>
      <c r="H379" s="331">
        <f t="shared" si="25"/>
        <v>3168.2906838876415</v>
      </c>
      <c r="I379" s="330"/>
      <c r="J379" s="1"/>
      <c r="K379" s="330"/>
      <c r="L379" s="1"/>
      <c r="M379" s="330"/>
      <c r="N379" s="330"/>
      <c r="O379" s="330"/>
      <c r="P379" s="330"/>
      <c r="Q379" s="329"/>
      <c r="R379" s="331">
        <f t="shared" si="26"/>
        <v>3203.2492479779476</v>
      </c>
      <c r="S379" s="331">
        <f t="shared" si="27"/>
        <v>3238.5573977091572</v>
      </c>
      <c r="T379" s="331">
        <f t="shared" si="28"/>
        <v>3274.2186289376787</v>
      </c>
      <c r="U379" s="331">
        <f t="shared" si="29"/>
        <v>3310.2364724784857</v>
      </c>
      <c r="V379" s="330"/>
      <c r="W379" s="330"/>
      <c r="X379" s="330"/>
      <c r="Y379" s="333"/>
      <c r="Z379"/>
      <c r="AA379"/>
      <c r="AB379"/>
    </row>
    <row r="380" spans="1:28" x14ac:dyDescent="0.25">
      <c r="A380" s="330"/>
      <c r="B380" s="332"/>
      <c r="C380" s="332">
        <v>-6.175824420926862E-2</v>
      </c>
      <c r="D380" s="332">
        <v>1.6906148468144016</v>
      </c>
      <c r="E380" s="332">
        <v>0.22350349433779026</v>
      </c>
      <c r="F380" s="332">
        <v>2.3447934901304014E-2</v>
      </c>
      <c r="G380" s="330"/>
      <c r="H380" s="331">
        <f t="shared" ref="H380:H443" si="30">SUMPRODUCT(B380:F380,B$56:F$56)</f>
        <v>3110.6817966883691</v>
      </c>
      <c r="I380" s="330"/>
      <c r="J380" s="1"/>
      <c r="K380" s="330"/>
      <c r="L380" s="1"/>
      <c r="M380" s="330"/>
      <c r="N380" s="330"/>
      <c r="O380" s="330"/>
      <c r="P380" s="330"/>
      <c r="Q380" s="329"/>
      <c r="R380" s="331">
        <f t="shared" ref="R380:R443" si="31">SUMPRODUCT($B380:$F380,$K$59:$O$59)</f>
        <v>3142.8909486772091</v>
      </c>
      <c r="S380" s="331">
        <f t="shared" ref="S380:S443" si="32">SUMPRODUCT($B380:$F380,$K$60:$O$60)</f>
        <v>3175.4221921859375</v>
      </c>
      <c r="T380" s="331">
        <f t="shared" ref="T380:T443" si="33">SUMPRODUCT($B380:$F380,$K$61:$O$61)</f>
        <v>3208.2787481297537</v>
      </c>
      <c r="U380" s="331">
        <f t="shared" ref="U380:U443" si="34">SUMPRODUCT($B380:$F380,$K$62:$O$62)</f>
        <v>3241.4638696330076</v>
      </c>
      <c r="V380" s="330"/>
      <c r="W380" s="330"/>
      <c r="X380" s="330"/>
      <c r="Y380" s="333"/>
      <c r="Z380"/>
      <c r="AA380"/>
      <c r="AB380"/>
    </row>
    <row r="381" spans="1:28" x14ac:dyDescent="0.25">
      <c r="A381" s="330"/>
      <c r="B381" s="332">
        <v>3.0932110463957759E-4</v>
      </c>
      <c r="C381" s="332">
        <v>7.4773726649289982E-2</v>
      </c>
      <c r="D381" s="332"/>
      <c r="E381" s="332">
        <v>0.18141524935312253</v>
      </c>
      <c r="F381" s="332">
        <v>5.2167094389339939E-2</v>
      </c>
      <c r="G381" s="330"/>
      <c r="H381" s="331">
        <f t="shared" si="30"/>
        <v>3400.5958764278225</v>
      </c>
      <c r="I381" s="330"/>
      <c r="J381" s="1"/>
      <c r="K381" s="330"/>
      <c r="L381" s="1"/>
      <c r="M381" s="330"/>
      <c r="N381" s="330"/>
      <c r="O381" s="330"/>
      <c r="P381" s="330"/>
      <c r="Q381" s="329"/>
      <c r="R381" s="331">
        <f t="shared" si="31"/>
        <v>3434.0540760589056</v>
      </c>
      <c r="S381" s="331">
        <f t="shared" si="32"/>
        <v>3467.8468576863002</v>
      </c>
      <c r="T381" s="331">
        <f t="shared" si="33"/>
        <v>3501.9775671299685</v>
      </c>
      <c r="U381" s="331">
        <f t="shared" si="34"/>
        <v>3536.4495836680735</v>
      </c>
      <c r="V381" s="330"/>
      <c r="W381" s="330"/>
      <c r="X381" s="330"/>
      <c r="Y381" s="333"/>
      <c r="Z381"/>
      <c r="AA381"/>
      <c r="AB381"/>
    </row>
    <row r="382" spans="1:28" x14ac:dyDescent="0.25">
      <c r="A382" s="330"/>
      <c r="B382" s="332">
        <v>3.8668870858372555E-3</v>
      </c>
      <c r="C382" s="332">
        <v>-3.8766592498028177E-2</v>
      </c>
      <c r="D382" s="332"/>
      <c r="E382" s="332">
        <v>0.15687855274229096</v>
      </c>
      <c r="F382" s="332">
        <v>7.4079447615723992E-2</v>
      </c>
      <c r="G382" s="330"/>
      <c r="H382" s="331">
        <f t="shared" si="30"/>
        <v>3175.0922349967855</v>
      </c>
      <c r="I382" s="330"/>
      <c r="J382" s="1"/>
      <c r="K382" s="330"/>
      <c r="L382" s="1"/>
      <c r="M382" s="330"/>
      <c r="N382" s="330"/>
      <c r="O382" s="330"/>
      <c r="P382" s="330"/>
      <c r="Q382" s="329"/>
      <c r="R382" s="331">
        <f t="shared" si="31"/>
        <v>3217.3721910613408</v>
      </c>
      <c r="S382" s="331">
        <f t="shared" si="32"/>
        <v>3260.0749466865414</v>
      </c>
      <c r="T382" s="331">
        <f t="shared" si="33"/>
        <v>3303.2047298679945</v>
      </c>
      <c r="U382" s="331">
        <f t="shared" si="34"/>
        <v>3346.765810881262</v>
      </c>
      <c r="V382" s="330"/>
      <c r="W382" s="330"/>
      <c r="X382" s="330"/>
      <c r="Y382" s="333"/>
      <c r="Z382"/>
      <c r="AA382"/>
      <c r="AB382"/>
    </row>
    <row r="383" spans="1:28" x14ac:dyDescent="0.25">
      <c r="A383" s="330"/>
      <c r="B383" s="332">
        <v>1.704194843440367E-3</v>
      </c>
      <c r="C383" s="332">
        <v>4.497768196513223E-2</v>
      </c>
      <c r="D383" s="332">
        <v>1.572938248117723</v>
      </c>
      <c r="E383" s="332">
        <v>0.27453439343949254</v>
      </c>
      <c r="F383" s="332">
        <v>2.5826994874817526E-2</v>
      </c>
      <c r="G383" s="330"/>
      <c r="H383" s="331">
        <f t="shared" si="30"/>
        <v>3174.1217618389005</v>
      </c>
      <c r="I383" s="330"/>
      <c r="J383" s="1"/>
      <c r="K383" s="330"/>
      <c r="L383" s="1"/>
      <c r="M383" s="330"/>
      <c r="N383" s="330"/>
      <c r="O383" s="330"/>
      <c r="P383" s="330"/>
      <c r="Q383" s="329"/>
      <c r="R383" s="331">
        <f t="shared" si="31"/>
        <v>3209.3955134691369</v>
      </c>
      <c r="S383" s="331">
        <f t="shared" si="32"/>
        <v>3245.0220026156753</v>
      </c>
      <c r="T383" s="331">
        <f t="shared" si="33"/>
        <v>3281.0047566536791</v>
      </c>
      <c r="U383" s="331">
        <f t="shared" si="34"/>
        <v>3317.3473382320635</v>
      </c>
      <c r="V383" s="330"/>
      <c r="W383" s="330"/>
      <c r="X383" s="330"/>
      <c r="Y383" s="333"/>
      <c r="Z383"/>
      <c r="AA383"/>
      <c r="AB383"/>
    </row>
    <row r="384" spans="1:28" x14ac:dyDescent="0.25">
      <c r="A384" s="330"/>
      <c r="B384" s="332">
        <v>5.9334067747788231E-4</v>
      </c>
      <c r="C384" s="332">
        <v>4.5463044110413214E-2</v>
      </c>
      <c r="D384" s="332"/>
      <c r="E384" s="332">
        <v>0.18968892613043847</v>
      </c>
      <c r="F384" s="332">
        <v>5.371025836484402E-2</v>
      </c>
      <c r="G384" s="330"/>
      <c r="H384" s="331">
        <f t="shared" si="30"/>
        <v>3390.0986462451528</v>
      </c>
      <c r="I384" s="330"/>
      <c r="J384" s="1"/>
      <c r="K384" s="330"/>
      <c r="L384" s="1"/>
      <c r="M384" s="330"/>
      <c r="N384" s="330"/>
      <c r="O384" s="330"/>
      <c r="P384" s="330"/>
      <c r="Q384" s="329"/>
      <c r="R384" s="331">
        <f t="shared" si="31"/>
        <v>3424.6975705318491</v>
      </c>
      <c r="S384" s="331">
        <f t="shared" si="32"/>
        <v>3459.6424840614127</v>
      </c>
      <c r="T384" s="331">
        <f t="shared" si="33"/>
        <v>3494.9368467262716</v>
      </c>
      <c r="U384" s="331">
        <f t="shared" si="34"/>
        <v>3530.584153017779</v>
      </c>
      <c r="V384" s="330"/>
      <c r="W384" s="330"/>
      <c r="X384" s="330"/>
      <c r="Y384" s="333"/>
      <c r="Z384"/>
      <c r="AA384"/>
      <c r="AB384"/>
    </row>
    <row r="385" spans="1:28" x14ac:dyDescent="0.25">
      <c r="A385" s="330"/>
      <c r="B385" s="332"/>
      <c r="C385" s="332">
        <v>0.22198057078519096</v>
      </c>
      <c r="D385" s="332">
        <v>2.6324890209288165</v>
      </c>
      <c r="E385" s="332"/>
      <c r="F385" s="332"/>
      <c r="G385" s="330"/>
      <c r="H385" s="331">
        <f t="shared" si="30"/>
        <v>1921.7843492054178</v>
      </c>
      <c r="I385" s="330"/>
      <c r="J385" s="1"/>
      <c r="K385" s="330"/>
      <c r="L385" s="1"/>
      <c r="M385" s="330"/>
      <c r="N385" s="330"/>
      <c r="O385" s="330"/>
      <c r="P385" s="330"/>
      <c r="Q385" s="329"/>
      <c r="R385" s="331">
        <f t="shared" si="31"/>
        <v>1937.0400215165582</v>
      </c>
      <c r="S385" s="331">
        <f t="shared" si="32"/>
        <v>1952.4482505508099</v>
      </c>
      <c r="T385" s="331">
        <f t="shared" si="33"/>
        <v>1968.0105618754044</v>
      </c>
      <c r="U385" s="331">
        <f t="shared" si="34"/>
        <v>1983.7284963132445</v>
      </c>
      <c r="V385" s="330"/>
      <c r="W385" s="330"/>
      <c r="X385" s="330"/>
      <c r="Y385" s="333"/>
      <c r="Z385"/>
      <c r="AA385"/>
      <c r="AB385"/>
    </row>
    <row r="386" spans="1:28" x14ac:dyDescent="0.25">
      <c r="A386" s="330"/>
      <c r="B386" s="332">
        <v>1.5988220840264565E-3</v>
      </c>
      <c r="C386" s="332">
        <v>3.2823158636196434E-2</v>
      </c>
      <c r="D386" s="332">
        <v>1.5961608042480935</v>
      </c>
      <c r="E386" s="332">
        <v>0.27033499262295319</v>
      </c>
      <c r="F386" s="332">
        <v>2.6074382377542008E-2</v>
      </c>
      <c r="G386" s="330"/>
      <c r="H386" s="331">
        <f t="shared" si="30"/>
        <v>3182.2787116549816</v>
      </c>
      <c r="I386" s="330"/>
      <c r="J386" s="1"/>
      <c r="K386" s="330"/>
      <c r="L386" s="1"/>
      <c r="M386" s="330"/>
      <c r="N386" s="330"/>
      <c r="O386" s="330"/>
      <c r="P386" s="330"/>
      <c r="Q386" s="329"/>
      <c r="R386" s="331">
        <f t="shared" si="31"/>
        <v>3217.5829203596777</v>
      </c>
      <c r="S386" s="331">
        <f t="shared" si="32"/>
        <v>3253.2401711514217</v>
      </c>
      <c r="T386" s="331">
        <f t="shared" si="33"/>
        <v>3289.2539944510827</v>
      </c>
      <c r="U386" s="331">
        <f t="shared" si="34"/>
        <v>3325.6279559837403</v>
      </c>
      <c r="V386" s="330"/>
      <c r="W386" s="330"/>
      <c r="X386" s="330"/>
      <c r="Y386" s="333"/>
      <c r="Z386"/>
      <c r="AA386"/>
      <c r="AB386"/>
    </row>
    <row r="387" spans="1:28" x14ac:dyDescent="0.25">
      <c r="A387" s="330"/>
      <c r="B387" s="332"/>
      <c r="C387" s="332">
        <v>-0.1603487004264762</v>
      </c>
      <c r="D387" s="332">
        <v>2.0045277845093326</v>
      </c>
      <c r="E387" s="332">
        <v>0.21371344293538913</v>
      </c>
      <c r="F387" s="332">
        <v>2.4285628013374527E-2</v>
      </c>
      <c r="G387" s="330"/>
      <c r="H387" s="331">
        <f t="shared" si="30"/>
        <v>3104.3731873979814</v>
      </c>
      <c r="I387" s="330"/>
      <c r="J387" s="1"/>
      <c r="K387" s="330"/>
      <c r="L387" s="1"/>
      <c r="M387" s="330"/>
      <c r="N387" s="330"/>
      <c r="O387" s="330"/>
      <c r="P387" s="330"/>
      <c r="Q387" s="329"/>
      <c r="R387" s="331">
        <f t="shared" si="31"/>
        <v>3138.2790121005341</v>
      </c>
      <c r="S387" s="331">
        <f t="shared" si="32"/>
        <v>3172.5238950501125</v>
      </c>
      <c r="T387" s="331">
        <f t="shared" si="33"/>
        <v>3207.1112268291863</v>
      </c>
      <c r="U387" s="331">
        <f t="shared" si="34"/>
        <v>3242.0444319260509</v>
      </c>
      <c r="V387" s="330"/>
      <c r="W387" s="330"/>
      <c r="X387" s="330"/>
      <c r="Y387"/>
      <c r="Z387"/>
      <c r="AA387"/>
      <c r="AB387"/>
    </row>
    <row r="388" spans="1:28" x14ac:dyDescent="0.25">
      <c r="A388" s="330"/>
      <c r="B388" s="332">
        <v>1.4768408110998922E-3</v>
      </c>
      <c r="C388" s="332">
        <v>9.2692225626945735E-2</v>
      </c>
      <c r="D388" s="332"/>
      <c r="E388" s="332">
        <v>0.19342571906796799</v>
      </c>
      <c r="F388" s="332">
        <v>5.5819318699616649E-2</v>
      </c>
      <c r="G388" s="330"/>
      <c r="H388" s="331">
        <f t="shared" si="30"/>
        <v>3366.2256652050455</v>
      </c>
      <c r="I388" s="330"/>
      <c r="J388" s="1"/>
      <c r="K388" s="330"/>
      <c r="L388" s="1"/>
      <c r="M388" s="330"/>
      <c r="N388" s="330"/>
      <c r="O388" s="330"/>
      <c r="P388" s="330"/>
      <c r="Q388" s="329"/>
      <c r="R388" s="331">
        <f t="shared" si="31"/>
        <v>3401.9904181279485</v>
      </c>
      <c r="S388" s="331">
        <f t="shared" si="32"/>
        <v>3438.1128185800808</v>
      </c>
      <c r="T388" s="331">
        <f t="shared" si="33"/>
        <v>3474.5964430367339</v>
      </c>
      <c r="U388" s="331">
        <f t="shared" si="34"/>
        <v>3511.4449037379545</v>
      </c>
      <c r="V388" s="330"/>
      <c r="W388" s="330"/>
      <c r="X388" s="330"/>
      <c r="Y388"/>
      <c r="Z388"/>
      <c r="AA388"/>
      <c r="AB388"/>
    </row>
    <row r="389" spans="1:28" x14ac:dyDescent="0.25">
      <c r="A389" s="330"/>
      <c r="B389" s="332">
        <v>1.9815112603079738E-2</v>
      </c>
      <c r="C389" s="332">
        <v>-5.8452757567746287</v>
      </c>
      <c r="D389" s="332">
        <v>5.8364098957145316</v>
      </c>
      <c r="E389" s="332">
        <v>1.0072178238223146</v>
      </c>
      <c r="F389" s="332">
        <v>2.1872485452892634E-2</v>
      </c>
      <c r="G389" s="330"/>
      <c r="H389" s="331">
        <f t="shared" si="30"/>
        <v>-5852.8915076545254</v>
      </c>
      <c r="I389" s="330"/>
      <c r="J389" s="1"/>
      <c r="K389" s="330"/>
      <c r="L389" s="1"/>
      <c r="M389" s="330"/>
      <c r="N389" s="330"/>
      <c r="O389" s="330"/>
      <c r="P389" s="330"/>
      <c r="Q389" s="329"/>
      <c r="R389" s="331">
        <f t="shared" si="31"/>
        <v>-5756.6788259853356</v>
      </c>
      <c r="S389" s="331">
        <f t="shared" si="32"/>
        <v>-5659.5040174994492</v>
      </c>
      <c r="T389" s="331">
        <f t="shared" si="33"/>
        <v>-5561.357460928707</v>
      </c>
      <c r="U389" s="331">
        <f t="shared" si="34"/>
        <v>-5462.2294387922584</v>
      </c>
      <c r="V389" s="330"/>
      <c r="W389" s="330"/>
      <c r="X389" s="330"/>
      <c r="Y389" s="333"/>
      <c r="Z389"/>
      <c r="AA389"/>
      <c r="AB389"/>
    </row>
    <row r="390" spans="1:28" x14ac:dyDescent="0.25">
      <c r="A390" s="330"/>
      <c r="B390" s="332">
        <v>9.513373134780248E-4</v>
      </c>
      <c r="C390" s="332">
        <v>7.4227526545484236E-3</v>
      </c>
      <c r="D390" s="332">
        <v>1.0316625738476399</v>
      </c>
      <c r="E390" s="332">
        <v>0.23891113400287847</v>
      </c>
      <c r="F390" s="332">
        <v>3.6150733618769762E-2</v>
      </c>
      <c r="G390" s="330"/>
      <c r="H390" s="331">
        <f t="shared" si="30"/>
        <v>3275.5827883342754</v>
      </c>
      <c r="I390" s="330"/>
      <c r="J390" s="1"/>
      <c r="K390" s="330"/>
      <c r="L390" s="1"/>
      <c r="M390" s="330"/>
      <c r="N390" s="330"/>
      <c r="O390" s="330"/>
      <c r="P390" s="330"/>
      <c r="Q390" s="329"/>
      <c r="R390" s="331">
        <f t="shared" si="31"/>
        <v>3310.6262596734887</v>
      </c>
      <c r="S390" s="331">
        <f t="shared" si="32"/>
        <v>3346.0201657260941</v>
      </c>
      <c r="T390" s="331">
        <f t="shared" si="33"/>
        <v>3381.768010839226</v>
      </c>
      <c r="U390" s="331">
        <f t="shared" si="34"/>
        <v>3417.873334403489</v>
      </c>
      <c r="V390" s="330"/>
      <c r="W390" s="330"/>
      <c r="X390" s="330"/>
      <c r="Y390"/>
      <c r="Z390"/>
      <c r="AA390"/>
      <c r="AB390"/>
    </row>
    <row r="391" spans="1:28" x14ac:dyDescent="0.25">
      <c r="A391" s="330"/>
      <c r="B391" s="332"/>
      <c r="C391" s="332">
        <v>-1.6323914585205936</v>
      </c>
      <c r="D391" s="332"/>
      <c r="E391" s="332">
        <v>0.22450685381040955</v>
      </c>
      <c r="F391" s="332">
        <v>6.5625270152130363E-2</v>
      </c>
      <c r="G391" s="330"/>
      <c r="H391" s="331">
        <f t="shared" si="30"/>
        <v>1276.0265175801333</v>
      </c>
      <c r="I391" s="330"/>
      <c r="J391" s="1"/>
      <c r="K391" s="330"/>
      <c r="L391" s="1"/>
      <c r="M391" s="330"/>
      <c r="N391" s="330"/>
      <c r="O391" s="330"/>
      <c r="P391" s="330"/>
      <c r="Q391" s="329"/>
      <c r="R391" s="331">
        <f t="shared" si="31"/>
        <v>1317.9236318506198</v>
      </c>
      <c r="S391" s="331">
        <f t="shared" si="32"/>
        <v>1360.2397172638118</v>
      </c>
      <c r="T391" s="331">
        <f t="shared" si="33"/>
        <v>1402.9789635311358</v>
      </c>
      <c r="U391" s="331">
        <f t="shared" si="34"/>
        <v>1446.145602261133</v>
      </c>
      <c r="V391" s="330"/>
      <c r="W391" s="330"/>
      <c r="X391" s="330"/>
      <c r="Y391" s="333"/>
      <c r="Z391"/>
      <c r="AA391"/>
      <c r="AB391"/>
    </row>
    <row r="392" spans="1:28" x14ac:dyDescent="0.25">
      <c r="A392" s="330"/>
      <c r="B392" s="332">
        <v>5.9334067747792102E-4</v>
      </c>
      <c r="C392" s="332">
        <v>4.5463044110412597E-2</v>
      </c>
      <c r="D392" s="332"/>
      <c r="E392" s="332">
        <v>0.18968892613043847</v>
      </c>
      <c r="F392" s="332">
        <v>5.3710258364844249E-2</v>
      </c>
      <c r="G392" s="330"/>
      <c r="H392" s="331">
        <f t="shared" si="30"/>
        <v>3390.0986462451528</v>
      </c>
      <c r="I392" s="330"/>
      <c r="J392" s="1"/>
      <c r="K392" s="330"/>
      <c r="L392" s="1"/>
      <c r="M392" s="330"/>
      <c r="N392" s="330"/>
      <c r="O392" s="330"/>
      <c r="P392" s="330"/>
      <c r="Q392" s="329"/>
      <c r="R392" s="331">
        <f t="shared" si="31"/>
        <v>3424.6975705318491</v>
      </c>
      <c r="S392" s="331">
        <f t="shared" si="32"/>
        <v>3459.6424840614127</v>
      </c>
      <c r="T392" s="331">
        <f t="shared" si="33"/>
        <v>3494.9368467262716</v>
      </c>
      <c r="U392" s="331">
        <f t="shared" si="34"/>
        <v>3530.584153017779</v>
      </c>
      <c r="V392" s="330"/>
      <c r="W392" s="330"/>
      <c r="X392" s="330"/>
      <c r="Y392" s="333"/>
      <c r="Z392"/>
      <c r="AA392"/>
      <c r="AB392"/>
    </row>
    <row r="393" spans="1:28" x14ac:dyDescent="0.25">
      <c r="A393" s="330"/>
      <c r="B393" s="332">
        <v>1.9419294780520548E-3</v>
      </c>
      <c r="C393" s="332">
        <v>5.5130407290919232E-2</v>
      </c>
      <c r="D393" s="332">
        <v>1.4927482749316718</v>
      </c>
      <c r="E393" s="332">
        <v>0.27356509505315774</v>
      </c>
      <c r="F393" s="332">
        <v>2.8279643907690034E-2</v>
      </c>
      <c r="G393" s="330"/>
      <c r="H393" s="331">
        <f t="shared" si="30"/>
        <v>3193.2658785098492</v>
      </c>
      <c r="I393" s="330"/>
      <c r="J393" s="1"/>
      <c r="K393" s="330"/>
      <c r="L393" s="1"/>
      <c r="M393" s="330"/>
      <c r="N393" s="330"/>
      <c r="O393" s="330"/>
      <c r="P393" s="330"/>
      <c r="Q393" s="329"/>
      <c r="R393" s="331">
        <f t="shared" si="31"/>
        <v>3229.1546332466442</v>
      </c>
      <c r="S393" s="331">
        <f t="shared" si="32"/>
        <v>3265.4022755308074</v>
      </c>
      <c r="T393" s="331">
        <f t="shared" si="33"/>
        <v>3302.0123942378123</v>
      </c>
      <c r="U393" s="331">
        <f t="shared" si="34"/>
        <v>3338.9886141318866</v>
      </c>
      <c r="V393" s="330"/>
      <c r="W393" s="330"/>
      <c r="X393" s="330"/>
      <c r="Y393" s="333"/>
      <c r="Z393"/>
      <c r="AA393"/>
      <c r="AB393"/>
    </row>
    <row r="394" spans="1:28" x14ac:dyDescent="0.25">
      <c r="A394" s="330"/>
      <c r="B394" s="332">
        <v>1.9993057914641303E-4</v>
      </c>
      <c r="C394" s="332">
        <v>7.5894208270940275E-2</v>
      </c>
      <c r="D394" s="332"/>
      <c r="E394" s="332">
        <v>0.17403976082846176</v>
      </c>
      <c r="F394" s="332">
        <v>5.2445780281299627E-2</v>
      </c>
      <c r="G394" s="330"/>
      <c r="H394" s="331">
        <f t="shared" si="30"/>
        <v>3404.9582613035086</v>
      </c>
      <c r="I394" s="330"/>
      <c r="J394" s="1"/>
      <c r="K394" s="330"/>
      <c r="L394" s="1"/>
      <c r="M394" s="330"/>
      <c r="N394" s="330"/>
      <c r="O394" s="330"/>
      <c r="P394" s="330"/>
      <c r="Q394" s="329"/>
      <c r="R394" s="331">
        <f t="shared" si="31"/>
        <v>3438.1618034986991</v>
      </c>
      <c r="S394" s="331">
        <f t="shared" si="32"/>
        <v>3471.6973811158423</v>
      </c>
      <c r="T394" s="331">
        <f t="shared" si="33"/>
        <v>3505.5683145091562</v>
      </c>
      <c r="U394" s="331">
        <f t="shared" si="34"/>
        <v>3539.7779572364034</v>
      </c>
      <c r="V394" s="330"/>
      <c r="W394" s="330"/>
      <c r="X394" s="330"/>
      <c r="Y394" s="333"/>
      <c r="Z394"/>
      <c r="AA394"/>
      <c r="AB394"/>
    </row>
    <row r="395" spans="1:28" x14ac:dyDescent="0.25">
      <c r="A395" s="330"/>
      <c r="B395" s="332">
        <v>7.6569228012584364E-4</v>
      </c>
      <c r="C395" s="332">
        <v>4.7784309922826451E-3</v>
      </c>
      <c r="D395" s="332">
        <v>0.8948232743258252</v>
      </c>
      <c r="E395" s="332">
        <v>0.23137589121317756</v>
      </c>
      <c r="F395" s="332">
        <v>3.8149961031862335E-2</v>
      </c>
      <c r="G395" s="330"/>
      <c r="H395" s="331">
        <f t="shared" si="30"/>
        <v>3291.7677419586262</v>
      </c>
      <c r="I395" s="330"/>
      <c r="J395" s="1"/>
      <c r="K395" s="330"/>
      <c r="L395" s="1"/>
      <c r="M395" s="330"/>
      <c r="N395" s="330"/>
      <c r="O395" s="330"/>
      <c r="P395" s="330"/>
      <c r="Q395" s="329"/>
      <c r="R395" s="331">
        <f t="shared" si="31"/>
        <v>3326.5479942335069</v>
      </c>
      <c r="S395" s="331">
        <f t="shared" si="32"/>
        <v>3361.6760490311362</v>
      </c>
      <c r="T395" s="331">
        <f t="shared" si="33"/>
        <v>3397.1553843767424</v>
      </c>
      <c r="U395" s="331">
        <f t="shared" si="34"/>
        <v>3432.9895130758041</v>
      </c>
      <c r="V395" s="330"/>
      <c r="W395" s="330"/>
      <c r="X395" s="330"/>
      <c r="Y395" s="333"/>
      <c r="Z395"/>
      <c r="AA395"/>
      <c r="AB395"/>
    </row>
    <row r="396" spans="1:28" x14ac:dyDescent="0.25">
      <c r="A396" s="330"/>
      <c r="B396" s="332">
        <v>2.2350133561963755E-3</v>
      </c>
      <c r="C396" s="332">
        <v>-9.934277836039275E-2</v>
      </c>
      <c r="D396" s="332">
        <v>2.2760179909475675</v>
      </c>
      <c r="E396" s="332">
        <v>0.3018910057467476</v>
      </c>
      <c r="F396" s="332">
        <v>1.6832605663151361E-2</v>
      </c>
      <c r="G396" s="330"/>
      <c r="H396" s="331">
        <f t="shared" si="30"/>
        <v>2916.5962966003544</v>
      </c>
      <c r="I396" s="330"/>
      <c r="J396" s="1"/>
      <c r="K396" s="330"/>
      <c r="L396" s="1"/>
      <c r="M396" s="330"/>
      <c r="N396" s="330"/>
      <c r="O396" s="330"/>
      <c r="P396" s="330"/>
      <c r="Q396" s="329"/>
      <c r="R396" s="331">
        <f t="shared" si="31"/>
        <v>2953.2211594709647</v>
      </c>
      <c r="S396" s="331">
        <f t="shared" si="32"/>
        <v>2990.2122709702812</v>
      </c>
      <c r="T396" s="331">
        <f t="shared" si="33"/>
        <v>3027.5732935845913</v>
      </c>
      <c r="U396" s="331">
        <f t="shared" si="34"/>
        <v>3065.3079264250437</v>
      </c>
      <c r="V396" s="330"/>
      <c r="W396" s="330"/>
      <c r="X396" s="330"/>
      <c r="Y396"/>
      <c r="Z396"/>
      <c r="AA396"/>
      <c r="AB396"/>
    </row>
    <row r="397" spans="1:28" x14ac:dyDescent="0.25">
      <c r="A397" s="330"/>
      <c r="B397" s="332">
        <v>1.7067399179666407E-3</v>
      </c>
      <c r="C397" s="332">
        <v>4.868935831582244E-2</v>
      </c>
      <c r="D397" s="332">
        <v>1.6566914265563006</v>
      </c>
      <c r="E397" s="332">
        <v>0.28684354122668043</v>
      </c>
      <c r="F397" s="332">
        <v>2.1300105771914511E-2</v>
      </c>
      <c r="G397" s="330"/>
      <c r="H397" s="331">
        <f t="shared" si="30"/>
        <v>3083.989274943518</v>
      </c>
      <c r="I397" s="330"/>
      <c r="J397" s="1"/>
      <c r="K397" s="330"/>
      <c r="L397" s="1"/>
      <c r="M397" s="330"/>
      <c r="N397" s="330"/>
      <c r="O397" s="330"/>
      <c r="P397" s="330"/>
      <c r="Q397" s="329"/>
      <c r="R397" s="331">
        <f t="shared" si="31"/>
        <v>3118.3019258112563</v>
      </c>
      <c r="S397" s="331">
        <f t="shared" si="32"/>
        <v>3152.9577031876715</v>
      </c>
      <c r="T397" s="331">
        <f t="shared" si="33"/>
        <v>3187.9600383378511</v>
      </c>
      <c r="U397" s="331">
        <f t="shared" si="34"/>
        <v>3223.3123968395325</v>
      </c>
      <c r="V397" s="330"/>
      <c r="W397" s="330"/>
      <c r="X397" s="330"/>
      <c r="Y397"/>
      <c r="Z397"/>
      <c r="AA397"/>
      <c r="AB397"/>
    </row>
    <row r="398" spans="1:28" x14ac:dyDescent="0.25">
      <c r="A398" s="330"/>
      <c r="B398" s="332">
        <v>3.6076812538806346E-4</v>
      </c>
      <c r="C398" s="332">
        <v>-7.4128412603670493E-2</v>
      </c>
      <c r="D398" s="332">
        <v>0.37667701427723388</v>
      </c>
      <c r="E398" s="332">
        <v>0.20236719666786479</v>
      </c>
      <c r="F398" s="332">
        <v>4.9157902463793882E-2</v>
      </c>
      <c r="G398" s="330"/>
      <c r="H398" s="331">
        <f t="shared" si="30"/>
        <v>3310.189937251123</v>
      </c>
      <c r="I398" s="330"/>
      <c r="J398" s="1"/>
      <c r="K398" s="330"/>
      <c r="L398" s="1"/>
      <c r="M398" s="330"/>
      <c r="N398" s="330"/>
      <c r="O398" s="330"/>
      <c r="P398" s="330"/>
      <c r="Q398" s="329"/>
      <c r="R398" s="331">
        <f t="shared" si="31"/>
        <v>3345.5327360972587</v>
      </c>
      <c r="S398" s="331">
        <f t="shared" si="32"/>
        <v>3381.2289629318561</v>
      </c>
      <c r="T398" s="331">
        <f t="shared" si="33"/>
        <v>3417.2821520347993</v>
      </c>
      <c r="U398" s="331">
        <f t="shared" si="34"/>
        <v>3453.6958730287724</v>
      </c>
      <c r="V398" s="330"/>
      <c r="W398" s="330"/>
      <c r="X398" s="330"/>
      <c r="Y398"/>
      <c r="Z398"/>
      <c r="AA398"/>
      <c r="AB398"/>
    </row>
    <row r="399" spans="1:28" x14ac:dyDescent="0.25">
      <c r="A399" s="330"/>
      <c r="B399" s="332">
        <v>1.2126229433672715E-3</v>
      </c>
      <c r="C399" s="332">
        <v>-0.19986290483770258</v>
      </c>
      <c r="D399" s="332"/>
      <c r="E399" s="332">
        <v>0.10073619433036271</v>
      </c>
      <c r="F399" s="332">
        <v>7.0568145338176333E-2</v>
      </c>
      <c r="G399" s="330"/>
      <c r="H399" s="331">
        <f t="shared" si="30"/>
        <v>3109.403271231884</v>
      </c>
      <c r="I399" s="330"/>
      <c r="J399" s="1"/>
      <c r="K399" s="330"/>
      <c r="L399" s="1"/>
      <c r="M399" s="330"/>
      <c r="N399" s="330"/>
      <c r="O399" s="330"/>
      <c r="P399" s="330"/>
      <c r="Q399" s="329"/>
      <c r="R399" s="331">
        <f t="shared" si="31"/>
        <v>3147.149518223111</v>
      </c>
      <c r="S399" s="331">
        <f t="shared" si="32"/>
        <v>3185.2732276842507</v>
      </c>
      <c r="T399" s="331">
        <f t="shared" si="33"/>
        <v>3223.778174240002</v>
      </c>
      <c r="U399" s="331">
        <f t="shared" si="34"/>
        <v>3262.6681702613105</v>
      </c>
      <c r="V399" s="330"/>
      <c r="W399" s="330"/>
      <c r="X399" s="330"/>
      <c r="Y399" s="333"/>
      <c r="Z399"/>
      <c r="AA399"/>
      <c r="AB399"/>
    </row>
    <row r="400" spans="1:28" x14ac:dyDescent="0.25">
      <c r="A400" s="330"/>
      <c r="B400" s="332">
        <v>3.6827481644508431E-3</v>
      </c>
      <c r="C400" s="332">
        <v>-0.26481682283442637</v>
      </c>
      <c r="D400" s="332">
        <v>2.7950117850125924</v>
      </c>
      <c r="E400" s="332">
        <v>0.32575820088203489</v>
      </c>
      <c r="F400" s="332">
        <v>1.9517880290309601E-2</v>
      </c>
      <c r="G400" s="330"/>
      <c r="H400" s="331">
        <f t="shared" si="30"/>
        <v>2801.3937382680415</v>
      </c>
      <c r="I400" s="330"/>
      <c r="J400" s="1"/>
      <c r="K400" s="330"/>
      <c r="L400" s="1"/>
      <c r="M400" s="330"/>
      <c r="N400" s="330"/>
      <c r="O400" s="330"/>
      <c r="P400" s="330"/>
      <c r="Q400" s="329"/>
      <c r="R400" s="331">
        <f t="shared" si="31"/>
        <v>2843.5030844984967</v>
      </c>
      <c r="S400" s="331">
        <f t="shared" si="32"/>
        <v>2886.0335241912571</v>
      </c>
      <c r="T400" s="331">
        <f t="shared" si="33"/>
        <v>2928.989268280945</v>
      </c>
      <c r="U400" s="331">
        <f t="shared" si="34"/>
        <v>2972.3745698115295</v>
      </c>
      <c r="V400" s="330"/>
      <c r="W400" s="330"/>
      <c r="X400" s="330"/>
      <c r="Y400" s="333"/>
      <c r="Z400"/>
      <c r="AA400"/>
      <c r="AB400"/>
    </row>
    <row r="401" spans="1:28" x14ac:dyDescent="0.25">
      <c r="A401" s="330"/>
      <c r="B401" s="332">
        <v>1.476840811099866E-3</v>
      </c>
      <c r="C401" s="332">
        <v>9.2692225626945526E-2</v>
      </c>
      <c r="D401" s="332"/>
      <c r="E401" s="332">
        <v>0.19342571906796729</v>
      </c>
      <c r="F401" s="332">
        <v>5.5819318699616614E-2</v>
      </c>
      <c r="G401" s="330"/>
      <c r="H401" s="331">
        <f t="shared" si="30"/>
        <v>3366.2256652050469</v>
      </c>
      <c r="I401" s="330"/>
      <c r="J401" s="1"/>
      <c r="K401" s="330"/>
      <c r="L401" s="1"/>
      <c r="M401" s="330"/>
      <c r="N401" s="330"/>
      <c r="O401" s="330"/>
      <c r="P401" s="330"/>
      <c r="Q401" s="329"/>
      <c r="R401" s="331">
        <f t="shared" si="31"/>
        <v>3401.9904181279499</v>
      </c>
      <c r="S401" s="331">
        <f t="shared" si="32"/>
        <v>3438.1128185800817</v>
      </c>
      <c r="T401" s="331">
        <f t="shared" si="33"/>
        <v>3474.5964430367353</v>
      </c>
      <c r="U401" s="331">
        <f t="shared" si="34"/>
        <v>3511.444903737955</v>
      </c>
      <c r="V401" s="330"/>
      <c r="W401" s="330"/>
      <c r="X401" s="330"/>
      <c r="Y401" s="333"/>
      <c r="Z401"/>
      <c r="AA401"/>
      <c r="AB401"/>
    </row>
    <row r="402" spans="1:28" x14ac:dyDescent="0.25">
      <c r="A402" s="330"/>
      <c r="B402" s="332">
        <v>1.5890161232564172E-3</v>
      </c>
      <c r="C402" s="332">
        <v>4.4712817983967444E-2</v>
      </c>
      <c r="D402" s="332">
        <v>1.4036136856207175</v>
      </c>
      <c r="E402" s="332">
        <v>0.26392904929884237</v>
      </c>
      <c r="F402" s="332">
        <v>2.9470918492784961E-2</v>
      </c>
      <c r="G402" s="330"/>
      <c r="H402" s="331">
        <f t="shared" si="30"/>
        <v>3217.6362153943924</v>
      </c>
      <c r="I402" s="330"/>
      <c r="J402" s="1"/>
      <c r="K402" s="330"/>
      <c r="L402" s="1"/>
      <c r="M402" s="330"/>
      <c r="N402" s="330"/>
      <c r="O402" s="330"/>
      <c r="P402" s="330"/>
      <c r="Q402" s="329"/>
      <c r="R402" s="331">
        <f t="shared" si="31"/>
        <v>3253.056832808878</v>
      </c>
      <c r="S402" s="331">
        <f t="shared" si="32"/>
        <v>3288.8316563975086</v>
      </c>
      <c r="T402" s="331">
        <f t="shared" si="33"/>
        <v>3324.9642282220257</v>
      </c>
      <c r="U402" s="331">
        <f t="shared" si="34"/>
        <v>3361.4581257647874</v>
      </c>
      <c r="V402" s="330"/>
      <c r="W402" s="330"/>
      <c r="X402" s="330"/>
      <c r="Y402" s="333"/>
      <c r="Z402"/>
      <c r="AA402"/>
      <c r="AB402"/>
    </row>
    <row r="403" spans="1:28" x14ac:dyDescent="0.25">
      <c r="A403" s="330"/>
      <c r="B403" s="332">
        <v>1.6861209290206741E-3</v>
      </c>
      <c r="C403" s="332">
        <v>5.5018990536660289E-2</v>
      </c>
      <c r="D403" s="332">
        <v>1.5772962354542792</v>
      </c>
      <c r="E403" s="332">
        <v>0.26594256731016758</v>
      </c>
      <c r="F403" s="332">
        <v>2.6568249813380903E-2</v>
      </c>
      <c r="G403" s="330"/>
      <c r="H403" s="331">
        <f t="shared" si="30"/>
        <v>3188.6978921899454</v>
      </c>
      <c r="I403" s="330"/>
      <c r="J403" s="1"/>
      <c r="K403" s="330"/>
      <c r="L403" s="1"/>
      <c r="M403" s="330"/>
      <c r="N403" s="330"/>
      <c r="O403" s="330"/>
      <c r="P403" s="330"/>
      <c r="Q403" s="329"/>
      <c r="R403" s="331">
        <f t="shared" si="31"/>
        <v>3223.8921972642233</v>
      </c>
      <c r="S403" s="331">
        <f t="shared" si="32"/>
        <v>3259.4384453892435</v>
      </c>
      <c r="T403" s="331">
        <f t="shared" si="33"/>
        <v>3295.3401559955137</v>
      </c>
      <c r="U403" s="331">
        <f t="shared" si="34"/>
        <v>3331.6008837078471</v>
      </c>
      <c r="V403" s="330"/>
      <c r="W403" s="330"/>
      <c r="X403" s="330"/>
      <c r="Y403"/>
      <c r="Z403"/>
      <c r="AA403"/>
      <c r="AB403"/>
    </row>
    <row r="404" spans="1:28" x14ac:dyDescent="0.25">
      <c r="A404" s="330"/>
      <c r="B404" s="332">
        <v>1.5710372289203846E-3</v>
      </c>
      <c r="C404" s="332">
        <v>2.6008204007111339E-2</v>
      </c>
      <c r="D404" s="332">
        <v>1.5985763128419663</v>
      </c>
      <c r="E404" s="332">
        <v>0.26943554360733046</v>
      </c>
      <c r="F404" s="332">
        <v>2.6250354583047846E-2</v>
      </c>
      <c r="G404" s="330"/>
      <c r="H404" s="331">
        <f t="shared" si="30"/>
        <v>3182.0191073028241</v>
      </c>
      <c r="I404" s="330"/>
      <c r="J404" s="1"/>
      <c r="K404" s="330"/>
      <c r="L404" s="1"/>
      <c r="M404" s="330"/>
      <c r="N404" s="330"/>
      <c r="O404" s="330"/>
      <c r="P404" s="330"/>
      <c r="Q404" s="329"/>
      <c r="R404" s="331">
        <f t="shared" si="31"/>
        <v>3217.3716786491286</v>
      </c>
      <c r="S404" s="331">
        <f t="shared" si="32"/>
        <v>3253.0777757088958</v>
      </c>
      <c r="T404" s="331">
        <f t="shared" si="33"/>
        <v>3289.1409337392611</v>
      </c>
      <c r="U404" s="331">
        <f t="shared" si="34"/>
        <v>3325.5647233499294</v>
      </c>
      <c r="V404" s="330"/>
      <c r="W404" s="330"/>
      <c r="X404" s="330"/>
      <c r="Y404" s="333"/>
      <c r="Z404"/>
      <c r="AA404"/>
      <c r="AB404"/>
    </row>
    <row r="405" spans="1:28" x14ac:dyDescent="0.25">
      <c r="A405" s="330"/>
      <c r="B405" s="332">
        <v>1.6063895140062455E-3</v>
      </c>
      <c r="C405" s="332">
        <v>3.2325408808299108E-2</v>
      </c>
      <c r="D405" s="332">
        <v>1.5932834280090997</v>
      </c>
      <c r="E405" s="332">
        <v>0.26997377789928778</v>
      </c>
      <c r="F405" s="332">
        <v>2.6260711545171674E-2</v>
      </c>
      <c r="G405" s="330"/>
      <c r="H405" s="331">
        <f t="shared" si="30"/>
        <v>3184.5067609341677</v>
      </c>
      <c r="I405" s="330"/>
      <c r="J405" s="1"/>
      <c r="K405" s="330"/>
      <c r="L405" s="1"/>
      <c r="M405" s="330"/>
      <c r="N405" s="330"/>
      <c r="O405" s="330"/>
      <c r="P405" s="330"/>
      <c r="Q405" s="329"/>
      <c r="R405" s="331">
        <f t="shared" si="31"/>
        <v>3219.8613855539893</v>
      </c>
      <c r="S405" s="331">
        <f t="shared" si="32"/>
        <v>3255.5695564200091</v>
      </c>
      <c r="T405" s="331">
        <f t="shared" si="33"/>
        <v>3291.6348089946887</v>
      </c>
      <c r="U405" s="331">
        <f t="shared" si="34"/>
        <v>3328.0607140951151</v>
      </c>
      <c r="V405" s="330"/>
      <c r="W405" s="330"/>
      <c r="X405" s="330"/>
      <c r="Y405" s="333"/>
      <c r="Z405"/>
      <c r="AA405"/>
      <c r="AB405"/>
    </row>
    <row r="406" spans="1:28" x14ac:dyDescent="0.25">
      <c r="A406" s="330"/>
      <c r="B406" s="332">
        <v>2.5176424818869237E-3</v>
      </c>
      <c r="C406" s="332">
        <v>-5.3596181908926011E-2</v>
      </c>
      <c r="D406" s="332">
        <v>1.9624390246140815</v>
      </c>
      <c r="E406" s="332">
        <v>0.29873646560884681</v>
      </c>
      <c r="F406" s="332">
        <v>2.3976179377209354E-2</v>
      </c>
      <c r="G406" s="330"/>
      <c r="H406" s="331">
        <f t="shared" si="30"/>
        <v>3057.3842294735095</v>
      </c>
      <c r="I406" s="330"/>
      <c r="J406" s="1"/>
      <c r="K406" s="330"/>
      <c r="L406" s="1"/>
      <c r="M406" s="330"/>
      <c r="N406" s="330"/>
      <c r="O406" s="330"/>
      <c r="P406" s="330"/>
      <c r="Q406" s="329"/>
      <c r="R406" s="331">
        <f t="shared" si="31"/>
        <v>3095.3194205444652</v>
      </c>
      <c r="S406" s="331">
        <f t="shared" si="32"/>
        <v>3133.6339635261302</v>
      </c>
      <c r="T406" s="331">
        <f t="shared" si="33"/>
        <v>3172.3316519376117</v>
      </c>
      <c r="U406" s="331">
        <f t="shared" si="34"/>
        <v>3211.4163172332082</v>
      </c>
      <c r="V406" s="330"/>
      <c r="W406" s="330"/>
      <c r="X406" s="330"/>
      <c r="Y406" s="333"/>
      <c r="Z406"/>
      <c r="AA406"/>
      <c r="AB406"/>
    </row>
    <row r="407" spans="1:28" x14ac:dyDescent="0.25">
      <c r="A407" s="330"/>
      <c r="B407" s="332">
        <v>1.6885164211054276E-3</v>
      </c>
      <c r="C407" s="332">
        <v>4.0473635754241857E-2</v>
      </c>
      <c r="D407" s="332">
        <v>1.5497466451540913</v>
      </c>
      <c r="E407" s="332">
        <v>0.27068061598745324</v>
      </c>
      <c r="F407" s="332">
        <v>2.7015131907977299E-2</v>
      </c>
      <c r="G407" s="330"/>
      <c r="H407" s="331">
        <f t="shared" si="30"/>
        <v>3191.3590182010366</v>
      </c>
      <c r="I407" s="330"/>
      <c r="J407" s="1"/>
      <c r="K407" s="330"/>
      <c r="L407" s="1"/>
      <c r="M407" s="330"/>
      <c r="N407" s="330"/>
      <c r="O407" s="330"/>
      <c r="P407" s="330"/>
      <c r="Q407" s="329"/>
      <c r="R407" s="331">
        <f t="shared" si="31"/>
        <v>3226.8456511512536</v>
      </c>
      <c r="S407" s="331">
        <f t="shared" si="32"/>
        <v>3262.6871504309729</v>
      </c>
      <c r="T407" s="331">
        <f t="shared" si="33"/>
        <v>3298.8870647034892</v>
      </c>
      <c r="U407" s="331">
        <f t="shared" si="34"/>
        <v>3335.4489781187312</v>
      </c>
      <c r="V407" s="330"/>
      <c r="W407" s="330"/>
      <c r="X407" s="330"/>
      <c r="Y407" s="333"/>
      <c r="Z407"/>
      <c r="AA407"/>
      <c r="AB407"/>
    </row>
    <row r="408" spans="1:28" x14ac:dyDescent="0.25">
      <c r="A408" s="330"/>
      <c r="B408" s="332">
        <v>1.8035854718568872E-3</v>
      </c>
      <c r="C408" s="332">
        <v>5.3132592398365923E-2</v>
      </c>
      <c r="D408" s="332">
        <v>1.5100035839163986</v>
      </c>
      <c r="E408" s="332">
        <v>0.27100609151311006</v>
      </c>
      <c r="F408" s="332">
        <v>2.7726819208067532E-2</v>
      </c>
      <c r="G408" s="330"/>
      <c r="H408" s="331">
        <f t="shared" si="30"/>
        <v>3196.1312169508237</v>
      </c>
      <c r="I408" s="330"/>
      <c r="J408" s="1"/>
      <c r="K408" s="330"/>
      <c r="L408" s="1"/>
      <c r="M408" s="330"/>
      <c r="N408" s="330"/>
      <c r="O408" s="330"/>
      <c r="P408" s="330"/>
      <c r="Q408" s="329"/>
      <c r="R408" s="331">
        <f t="shared" si="31"/>
        <v>3231.732347256921</v>
      </c>
      <c r="S408" s="331">
        <f t="shared" si="32"/>
        <v>3267.68948886608</v>
      </c>
      <c r="T408" s="331">
        <f t="shared" si="33"/>
        <v>3304.00620189133</v>
      </c>
      <c r="U408" s="331">
        <f t="shared" si="34"/>
        <v>3340.6860820468328</v>
      </c>
      <c r="V408" s="330"/>
      <c r="W408" s="330"/>
      <c r="X408" s="330"/>
      <c r="Y408" s="333"/>
      <c r="Z408"/>
      <c r="AA408"/>
      <c r="AB408"/>
    </row>
    <row r="409" spans="1:28" x14ac:dyDescent="0.25">
      <c r="A409" s="330"/>
      <c r="B409" s="332">
        <v>5.7477172744445674E-4</v>
      </c>
      <c r="C409" s="332">
        <v>-3.2883253233675205E-2</v>
      </c>
      <c r="D409" s="332">
        <v>0.48286378704526262</v>
      </c>
      <c r="E409" s="332">
        <v>0.21454984010765854</v>
      </c>
      <c r="F409" s="332">
        <v>4.6192971862859644E-2</v>
      </c>
      <c r="G409" s="330"/>
      <c r="H409" s="331">
        <f t="shared" si="30"/>
        <v>3317.5689791675472</v>
      </c>
      <c r="I409" s="330"/>
      <c r="J409" s="1"/>
      <c r="K409" s="330"/>
      <c r="L409" s="1"/>
      <c r="M409" s="330"/>
      <c r="N409" s="330"/>
      <c r="O409" s="330"/>
      <c r="P409" s="330"/>
      <c r="Q409" s="329"/>
      <c r="R409" s="331">
        <f t="shared" si="31"/>
        <v>3352.7937858834175</v>
      </c>
      <c r="S409" s="331">
        <f t="shared" si="32"/>
        <v>3388.3708406664464</v>
      </c>
      <c r="T409" s="331">
        <f t="shared" si="33"/>
        <v>3424.3036659973063</v>
      </c>
      <c r="U409" s="331">
        <f t="shared" si="34"/>
        <v>3460.5958195814746</v>
      </c>
      <c r="V409" s="330"/>
      <c r="W409" s="330"/>
      <c r="X409" s="330"/>
      <c r="Y409" s="333"/>
      <c r="Z409"/>
      <c r="AA409"/>
      <c r="AB409"/>
    </row>
    <row r="410" spans="1:28" x14ac:dyDescent="0.25">
      <c r="A410" s="330"/>
      <c r="B410" s="332">
        <v>1.2529533243851039E-3</v>
      </c>
      <c r="C410" s="332">
        <v>6.032146472079198E-2</v>
      </c>
      <c r="D410" s="332"/>
      <c r="E410" s="332">
        <v>0.20072285796945596</v>
      </c>
      <c r="F410" s="332">
        <v>5.517492941946045E-2</v>
      </c>
      <c r="G410" s="330"/>
      <c r="H410" s="331">
        <f t="shared" si="30"/>
        <v>3373.6108963278311</v>
      </c>
      <c r="I410" s="330"/>
      <c r="J410" s="1"/>
      <c r="K410" s="330"/>
      <c r="L410" s="1"/>
      <c r="M410" s="330"/>
      <c r="N410" s="330"/>
      <c r="O410" s="330"/>
      <c r="P410" s="330"/>
      <c r="Q410" s="329"/>
      <c r="R410" s="331">
        <f t="shared" si="31"/>
        <v>3409.4577394855232</v>
      </c>
      <c r="S410" s="331">
        <f t="shared" si="32"/>
        <v>3445.6630510747927</v>
      </c>
      <c r="T410" s="331">
        <f t="shared" si="33"/>
        <v>3482.2304157799545</v>
      </c>
      <c r="U410" s="331">
        <f t="shared" si="34"/>
        <v>3519.1634541321673</v>
      </c>
      <c r="V410" s="330"/>
      <c r="W410" s="330"/>
      <c r="X410" s="330"/>
      <c r="Y410" s="333"/>
      <c r="Z410"/>
      <c r="AA410"/>
      <c r="AB410"/>
    </row>
    <row r="411" spans="1:28" x14ac:dyDescent="0.25">
      <c r="A411" s="330"/>
      <c r="B411" s="332">
        <v>1.7335420710800238E-3</v>
      </c>
      <c r="C411" s="332">
        <v>5.2710764667261628E-2</v>
      </c>
      <c r="D411" s="332">
        <v>1.5904485915358866</v>
      </c>
      <c r="E411" s="332">
        <v>0.26905328852576632</v>
      </c>
      <c r="F411" s="332">
        <v>2.6293022290554618E-2</v>
      </c>
      <c r="G411" s="330"/>
      <c r="H411" s="331">
        <f t="shared" si="30"/>
        <v>3183.6113824177628</v>
      </c>
      <c r="I411" s="330"/>
      <c r="J411" s="1"/>
      <c r="K411" s="330"/>
      <c r="L411" s="1"/>
      <c r="M411" s="330"/>
      <c r="N411" s="330"/>
      <c r="O411" s="330"/>
      <c r="P411" s="330"/>
      <c r="Q411" s="329"/>
      <c r="R411" s="331">
        <f t="shared" si="31"/>
        <v>3218.9166582983808</v>
      </c>
      <c r="S411" s="331">
        <f t="shared" si="32"/>
        <v>3254.574986937806</v>
      </c>
      <c r="T411" s="331">
        <f t="shared" si="33"/>
        <v>3290.589898863625</v>
      </c>
      <c r="U411" s="331">
        <f t="shared" si="34"/>
        <v>3326.9649599087015</v>
      </c>
      <c r="V411" s="330"/>
      <c r="W411" s="330"/>
      <c r="X411" s="330"/>
      <c r="Y411" s="333"/>
      <c r="Z411"/>
      <c r="AA411"/>
      <c r="AB411"/>
    </row>
    <row r="412" spans="1:28" x14ac:dyDescent="0.25">
      <c r="A412" s="330"/>
      <c r="B412" s="332">
        <v>7.8427958263044913E-4</v>
      </c>
      <c r="C412" s="332">
        <v>5.9061389789553137E-2</v>
      </c>
      <c r="D412" s="332"/>
      <c r="E412" s="332">
        <v>0.18662522292615139</v>
      </c>
      <c r="F412" s="332">
        <v>5.4687210074205461E-2</v>
      </c>
      <c r="G412" s="330"/>
      <c r="H412" s="331">
        <f t="shared" si="30"/>
        <v>3394.8981675581681</v>
      </c>
      <c r="I412" s="330"/>
      <c r="J412" s="1"/>
      <c r="K412" s="330"/>
      <c r="L412" s="1"/>
      <c r="M412" s="330"/>
      <c r="N412" s="330"/>
      <c r="O412" s="330"/>
      <c r="P412" s="330"/>
      <c r="Q412" s="329"/>
      <c r="R412" s="331">
        <f t="shared" si="31"/>
        <v>3429.7881025393649</v>
      </c>
      <c r="S412" s="331">
        <f t="shared" si="32"/>
        <v>3465.0269368703734</v>
      </c>
      <c r="T412" s="331">
        <f t="shared" si="33"/>
        <v>3500.6181595446924</v>
      </c>
      <c r="U412" s="331">
        <f t="shared" si="34"/>
        <v>3536.5652944457552</v>
      </c>
      <c r="V412" s="330"/>
      <c r="W412" s="330"/>
      <c r="X412" s="330"/>
      <c r="Y412" s="333"/>
      <c r="Z412"/>
      <c r="AA412"/>
      <c r="AB412"/>
    </row>
    <row r="413" spans="1:28" x14ac:dyDescent="0.25">
      <c r="A413" s="330"/>
      <c r="B413" s="332">
        <v>6.0211709796462393E-4</v>
      </c>
      <c r="C413" s="332">
        <v>7.7880975939619804E-2</v>
      </c>
      <c r="D413" s="332">
        <v>8.5963817448323314E-3</v>
      </c>
      <c r="E413" s="332">
        <v>0.18548343683538213</v>
      </c>
      <c r="F413" s="332">
        <v>5.2943395700574852E-2</v>
      </c>
      <c r="G413" s="330"/>
      <c r="H413" s="331">
        <f t="shared" si="30"/>
        <v>3393.5357285627297</v>
      </c>
      <c r="I413" s="330"/>
      <c r="J413" s="1"/>
      <c r="K413" s="330"/>
      <c r="L413" s="1"/>
      <c r="M413" s="330"/>
      <c r="N413" s="330"/>
      <c r="O413" s="330"/>
      <c r="P413" s="330"/>
      <c r="Q413" s="329"/>
      <c r="R413" s="331">
        <f t="shared" si="31"/>
        <v>3427.6127167504164</v>
      </c>
      <c r="S413" s="331">
        <f t="shared" si="32"/>
        <v>3462.0304748199801</v>
      </c>
      <c r="T413" s="331">
        <f t="shared" si="33"/>
        <v>3496.7924104702397</v>
      </c>
      <c r="U413" s="331">
        <f t="shared" si="34"/>
        <v>3531.9019654770018</v>
      </c>
      <c r="V413" s="330"/>
      <c r="W413" s="330"/>
      <c r="X413" s="330"/>
      <c r="Y413" s="333"/>
      <c r="Z413"/>
      <c r="AA413"/>
      <c r="AB413"/>
    </row>
    <row r="414" spans="1:28" x14ac:dyDescent="0.25">
      <c r="A414" s="330"/>
      <c r="B414" s="332">
        <v>1.6387804648983406E-3</v>
      </c>
      <c r="C414" s="332">
        <v>8.76482722370618E-2</v>
      </c>
      <c r="D414" s="332">
        <v>0.33249188322717305</v>
      </c>
      <c r="E414" s="332">
        <v>0.21269307497715495</v>
      </c>
      <c r="F414" s="332">
        <v>4.9657158126134721E-2</v>
      </c>
      <c r="G414" s="330"/>
      <c r="H414" s="331">
        <f t="shared" si="30"/>
        <v>3324.8578969004548</v>
      </c>
      <c r="I414" s="330"/>
      <c r="J414" s="1"/>
      <c r="K414" s="330"/>
      <c r="L414" s="1"/>
      <c r="M414" s="330"/>
      <c r="N414" s="330"/>
      <c r="O414" s="330"/>
      <c r="P414" s="330"/>
      <c r="Q414" s="329"/>
      <c r="R414" s="331">
        <f t="shared" si="31"/>
        <v>3360.71096537106</v>
      </c>
      <c r="S414" s="331">
        <f t="shared" si="32"/>
        <v>3396.9225645263714</v>
      </c>
      <c r="T414" s="331">
        <f t="shared" si="33"/>
        <v>3433.4962796732352</v>
      </c>
      <c r="U414" s="331">
        <f t="shared" si="34"/>
        <v>3470.4357319715682</v>
      </c>
      <c r="V414" s="330"/>
      <c r="W414" s="330"/>
      <c r="X414" s="330"/>
      <c r="Y414" s="333"/>
      <c r="Z414"/>
      <c r="AA414"/>
      <c r="AB414"/>
    </row>
    <row r="415" spans="1:28" x14ac:dyDescent="0.25">
      <c r="A415" s="330"/>
      <c r="B415" s="332">
        <v>3.9274383528255567E-2</v>
      </c>
      <c r="C415" s="332">
        <v>-0.14194023815543103</v>
      </c>
      <c r="D415" s="332">
        <v>2.2044895525280559</v>
      </c>
      <c r="E415" s="332">
        <v>0.95420932011119197</v>
      </c>
      <c r="F415" s="332">
        <v>0.11461032870565234</v>
      </c>
      <c r="G415" s="330"/>
      <c r="H415" s="331">
        <f t="shared" si="30"/>
        <v>1269.6314326017127</v>
      </c>
      <c r="I415" s="330"/>
      <c r="J415" s="1"/>
      <c r="K415" s="330"/>
      <c r="L415" s="1"/>
      <c r="M415" s="330"/>
      <c r="N415" s="330"/>
      <c r="O415" s="330"/>
      <c r="P415" s="330"/>
      <c r="Q415" s="329"/>
      <c r="R415" s="331">
        <f t="shared" si="31"/>
        <v>1384.7724625966075</v>
      </c>
      <c r="S415" s="331">
        <f t="shared" si="32"/>
        <v>1501.0649028914531</v>
      </c>
      <c r="T415" s="331">
        <f t="shared" si="33"/>
        <v>1618.520267589246</v>
      </c>
      <c r="U415" s="331">
        <f t="shared" si="34"/>
        <v>1737.1501859340178</v>
      </c>
      <c r="V415" s="330"/>
      <c r="W415" s="330"/>
      <c r="X415" s="330"/>
      <c r="Y415" s="333"/>
      <c r="Z415"/>
      <c r="AA415"/>
      <c r="AB415"/>
    </row>
    <row r="416" spans="1:28" x14ac:dyDescent="0.25">
      <c r="A416" s="330"/>
      <c r="B416" s="332">
        <v>6.1121482346622102E-3</v>
      </c>
      <c r="C416" s="332">
        <v>1.0191085801096979E-2</v>
      </c>
      <c r="D416" s="332">
        <v>0.51429955155376927</v>
      </c>
      <c r="E416" s="332">
        <v>0.31529182047537957</v>
      </c>
      <c r="F416" s="332">
        <v>5.9917418205200183E-2</v>
      </c>
      <c r="G416" s="330"/>
      <c r="H416" s="331">
        <f t="shared" si="30"/>
        <v>3159.5816599793875</v>
      </c>
      <c r="I416" s="330"/>
      <c r="J416" s="1"/>
      <c r="K416" s="330"/>
      <c r="L416" s="1"/>
      <c r="M416" s="330"/>
      <c r="N416" s="330"/>
      <c r="O416" s="330"/>
      <c r="P416" s="330"/>
      <c r="Q416" s="329"/>
      <c r="R416" s="331">
        <f t="shared" si="31"/>
        <v>3206.5444382876412</v>
      </c>
      <c r="S416" s="331">
        <f t="shared" si="32"/>
        <v>3253.9768443789771</v>
      </c>
      <c r="T416" s="331">
        <f t="shared" si="33"/>
        <v>3301.8835745312272</v>
      </c>
      <c r="U416" s="331">
        <f t="shared" si="34"/>
        <v>3350.269371984999</v>
      </c>
      <c r="V416" s="330"/>
      <c r="W416" s="330"/>
      <c r="X416" s="330"/>
      <c r="Y416" s="333"/>
      <c r="Z416"/>
      <c r="AA416"/>
      <c r="AB416"/>
    </row>
    <row r="417" spans="1:28" x14ac:dyDescent="0.25">
      <c r="A417" s="330"/>
      <c r="B417" s="332">
        <v>1.2337879573827693E-2</v>
      </c>
      <c r="C417" s="332">
        <v>-0.49813283042081796</v>
      </c>
      <c r="D417" s="332">
        <v>1.6538700606108461</v>
      </c>
      <c r="E417" s="332">
        <v>0.48802142467607507</v>
      </c>
      <c r="F417" s="332">
        <v>6.5730844651514755E-2</v>
      </c>
      <c r="G417" s="330"/>
      <c r="H417" s="331">
        <f t="shared" si="30"/>
        <v>2493.8449306001708</v>
      </c>
      <c r="I417" s="330"/>
      <c r="J417" s="1"/>
      <c r="K417" s="330"/>
      <c r="L417" s="1"/>
      <c r="M417" s="330"/>
      <c r="N417" s="330"/>
      <c r="O417" s="330"/>
      <c r="P417" s="330"/>
      <c r="Q417" s="329"/>
      <c r="R417" s="331">
        <f t="shared" si="31"/>
        <v>2559.0613181903655</v>
      </c>
      <c r="S417" s="331">
        <f t="shared" si="32"/>
        <v>2624.9298696564624</v>
      </c>
      <c r="T417" s="331">
        <f t="shared" si="33"/>
        <v>2691.45710663722</v>
      </c>
      <c r="U417" s="331">
        <f t="shared" si="34"/>
        <v>2758.6496159877861</v>
      </c>
      <c r="V417" s="330"/>
      <c r="W417" s="330"/>
      <c r="X417" s="330"/>
      <c r="Y417" s="333"/>
      <c r="Z417"/>
      <c r="AA417"/>
      <c r="AB417"/>
    </row>
    <row r="418" spans="1:28" x14ac:dyDescent="0.25">
      <c r="A418" s="330"/>
      <c r="B418" s="332">
        <v>1.8889972949845102E-3</v>
      </c>
      <c r="C418" s="332">
        <v>4.8925339623746379E-2</v>
      </c>
      <c r="D418" s="332">
        <v>1.5815195179311046</v>
      </c>
      <c r="E418" s="332">
        <v>0.28022623814950137</v>
      </c>
      <c r="F418" s="332">
        <v>2.5649169796061182E-2</v>
      </c>
      <c r="G418" s="330"/>
      <c r="H418" s="331">
        <f t="shared" si="30"/>
        <v>3160.4971102155441</v>
      </c>
      <c r="I418" s="330"/>
      <c r="J418" s="1"/>
      <c r="K418" s="330"/>
      <c r="L418" s="1"/>
      <c r="M418" s="330"/>
      <c r="N418" s="330"/>
      <c r="O418" s="330"/>
      <c r="P418" s="330"/>
      <c r="Q418" s="329"/>
      <c r="R418" s="331">
        <f t="shared" si="31"/>
        <v>3196.034276983883</v>
      </c>
      <c r="S418" s="331">
        <f t="shared" si="32"/>
        <v>3231.9268154199062</v>
      </c>
      <c r="T418" s="331">
        <f t="shared" si="33"/>
        <v>3268.1782792402892</v>
      </c>
      <c r="U418" s="331">
        <f t="shared" si="34"/>
        <v>3304.7922576988758</v>
      </c>
      <c r="V418" s="330"/>
      <c r="W418" s="330"/>
      <c r="X418" s="330"/>
      <c r="Y418" s="333"/>
      <c r="Z418"/>
      <c r="AA418"/>
      <c r="AB418"/>
    </row>
    <row r="419" spans="1:28" x14ac:dyDescent="0.25">
      <c r="A419" s="330"/>
      <c r="B419" s="332">
        <v>9.2484351880394361E-2</v>
      </c>
      <c r="C419" s="332">
        <v>-2.5023797111414967</v>
      </c>
      <c r="D419" s="332"/>
      <c r="E419" s="332">
        <v>2.323473835951098</v>
      </c>
      <c r="F419" s="332">
        <v>0.25638213804362053</v>
      </c>
      <c r="G419" s="330"/>
      <c r="H419" s="331">
        <f t="shared" si="30"/>
        <v>-4113.6132826841731</v>
      </c>
      <c r="I419" s="330"/>
      <c r="J419" s="1"/>
      <c r="K419" s="330"/>
      <c r="L419" s="1"/>
      <c r="M419" s="330"/>
      <c r="N419" s="330"/>
      <c r="O419" s="330"/>
      <c r="P419" s="330"/>
      <c r="Q419" s="329"/>
      <c r="R419" s="331">
        <f t="shared" si="31"/>
        <v>-3874.8104692310026</v>
      </c>
      <c r="S419" s="331">
        <f t="shared" si="32"/>
        <v>-3633.619627643302</v>
      </c>
      <c r="T419" s="331">
        <f t="shared" si="33"/>
        <v>-3390.0168776397222</v>
      </c>
      <c r="U419" s="331">
        <f t="shared" si="34"/>
        <v>-3143.978100136108</v>
      </c>
      <c r="V419" s="330"/>
      <c r="W419" s="330"/>
      <c r="X419" s="330"/>
      <c r="Y419" s="333"/>
      <c r="Z419"/>
      <c r="AA419"/>
      <c r="AB419"/>
    </row>
    <row r="420" spans="1:28" x14ac:dyDescent="0.25">
      <c r="A420" s="330"/>
      <c r="B420" s="332">
        <v>3.9650247206990093E-3</v>
      </c>
      <c r="C420" s="332">
        <v>-2.1265322410299805</v>
      </c>
      <c r="D420" s="332">
        <v>0.17220767352135546</v>
      </c>
      <c r="E420" s="332">
        <v>0.3429181934270531</v>
      </c>
      <c r="F420" s="332">
        <v>7.6115187870205117E-2</v>
      </c>
      <c r="G420" s="330"/>
      <c r="H420" s="331">
        <f t="shared" si="30"/>
        <v>583.46731934308355</v>
      </c>
      <c r="I420" s="330"/>
      <c r="J420" s="1"/>
      <c r="K420" s="330"/>
      <c r="L420" s="1"/>
      <c r="M420" s="330"/>
      <c r="N420" s="330"/>
      <c r="O420" s="330"/>
      <c r="P420" s="330"/>
      <c r="Q420" s="329"/>
      <c r="R420" s="331">
        <f t="shared" si="31"/>
        <v>637.34558632876269</v>
      </c>
      <c r="S420" s="331">
        <f t="shared" si="32"/>
        <v>691.76263598429978</v>
      </c>
      <c r="T420" s="331">
        <f t="shared" si="33"/>
        <v>746.72385613639199</v>
      </c>
      <c r="U420" s="331">
        <f t="shared" si="34"/>
        <v>802.23468849000528</v>
      </c>
      <c r="V420" s="330"/>
      <c r="W420" s="330"/>
      <c r="X420" s="330"/>
      <c r="Y420" s="333"/>
      <c r="Z420"/>
      <c r="AA420"/>
      <c r="AB420"/>
    </row>
    <row r="421" spans="1:28" x14ac:dyDescent="0.25">
      <c r="A421" s="330"/>
      <c r="B421" s="332">
        <v>1.1369081298885886E-4</v>
      </c>
      <c r="C421" s="332">
        <v>6.3511785806102991E-2</v>
      </c>
      <c r="D421" s="332">
        <v>0.32802867858879475</v>
      </c>
      <c r="E421" s="332">
        <v>0.19201567713751799</v>
      </c>
      <c r="F421" s="332">
        <v>4.5732052727737366E-2</v>
      </c>
      <c r="G421" s="330"/>
      <c r="H421" s="331">
        <f t="shared" si="30"/>
        <v>3378.9196498131118</v>
      </c>
      <c r="I421" s="330"/>
      <c r="J421" s="1"/>
      <c r="K421" s="330"/>
      <c r="L421" s="1"/>
      <c r="M421" s="330"/>
      <c r="N421" s="330"/>
      <c r="O421" s="330"/>
      <c r="P421" s="330"/>
      <c r="Q421" s="329"/>
      <c r="R421" s="331">
        <f t="shared" si="31"/>
        <v>3411.8644342371772</v>
      </c>
      <c r="S421" s="331">
        <f t="shared" si="32"/>
        <v>3445.1386665054838</v>
      </c>
      <c r="T421" s="331">
        <f t="shared" si="33"/>
        <v>3478.7456410964733</v>
      </c>
      <c r="U421" s="331">
        <f t="shared" si="34"/>
        <v>3512.6886854333725</v>
      </c>
      <c r="V421" s="330"/>
      <c r="W421" s="330"/>
      <c r="X421" s="330"/>
      <c r="Y421"/>
      <c r="Z421"/>
      <c r="AA421"/>
      <c r="AB421"/>
    </row>
    <row r="422" spans="1:28" x14ac:dyDescent="0.25">
      <c r="A422" s="330"/>
      <c r="B422" s="332">
        <v>1.8485861021989673E-3</v>
      </c>
      <c r="C422" s="332">
        <v>1.6220891031607752E-2</v>
      </c>
      <c r="D422" s="332">
        <v>1.7674326840219479</v>
      </c>
      <c r="E422" s="332">
        <v>0.28817820210687561</v>
      </c>
      <c r="F422" s="332">
        <v>2.1552481269938188E-2</v>
      </c>
      <c r="G422" s="330"/>
      <c r="H422" s="331">
        <f t="shared" si="30"/>
        <v>3072.6873717834587</v>
      </c>
      <c r="I422" s="330"/>
      <c r="J422" s="1"/>
      <c r="K422" s="330"/>
      <c r="L422" s="1"/>
      <c r="M422" s="330"/>
      <c r="N422" s="330"/>
      <c r="O422" s="330"/>
      <c r="P422" s="330"/>
      <c r="Q422" s="329"/>
      <c r="R422" s="331">
        <f t="shared" si="31"/>
        <v>3107.8273856000742</v>
      </c>
      <c r="S422" s="331">
        <f t="shared" si="32"/>
        <v>3143.3187995548578</v>
      </c>
      <c r="T422" s="331">
        <f t="shared" si="33"/>
        <v>3179.1651276491884</v>
      </c>
      <c r="U422" s="331">
        <f t="shared" si="34"/>
        <v>3215.3699190244624</v>
      </c>
      <c r="V422" s="330"/>
      <c r="W422" s="330"/>
      <c r="X422" s="330"/>
      <c r="Y422" s="333"/>
      <c r="Z422"/>
      <c r="AA422"/>
      <c r="AB422"/>
    </row>
    <row r="423" spans="1:28" x14ac:dyDescent="0.25">
      <c r="A423" s="330"/>
      <c r="B423" s="332">
        <v>1.9840723014996437E-3</v>
      </c>
      <c r="C423" s="332">
        <v>5.3000287125198581E-2</v>
      </c>
      <c r="D423" s="332">
        <v>1.5742026539506642</v>
      </c>
      <c r="E423" s="332">
        <v>0.28400177082283951</v>
      </c>
      <c r="F423" s="332">
        <v>2.5426141970756686E-2</v>
      </c>
      <c r="G423" s="330"/>
      <c r="H423" s="331">
        <f t="shared" si="30"/>
        <v>3148.6769648435265</v>
      </c>
      <c r="I423" s="330"/>
      <c r="J423" s="1"/>
      <c r="K423" s="330"/>
      <c r="L423" s="1"/>
      <c r="M423" s="330"/>
      <c r="N423" s="330"/>
      <c r="O423" s="330"/>
      <c r="P423" s="330"/>
      <c r="Q423" s="329"/>
      <c r="R423" s="331">
        <f t="shared" si="31"/>
        <v>3184.2650596451258</v>
      </c>
      <c r="S423" s="331">
        <f t="shared" si="32"/>
        <v>3220.209035394741</v>
      </c>
      <c r="T423" s="331">
        <f t="shared" si="33"/>
        <v>3256.5124509018528</v>
      </c>
      <c r="U423" s="331">
        <f t="shared" si="34"/>
        <v>3293.1789005640353</v>
      </c>
      <c r="V423" s="330"/>
      <c r="W423" s="330"/>
      <c r="X423" s="330"/>
      <c r="Y423" s="333"/>
      <c r="Z423"/>
      <c r="AA423"/>
      <c r="AB423"/>
    </row>
    <row r="424" spans="1:28" x14ac:dyDescent="0.25">
      <c r="A424" s="330"/>
      <c r="B424" s="332">
        <v>2.3479436483562333E-4</v>
      </c>
      <c r="C424" s="332">
        <v>-7.1184863860802708E-2</v>
      </c>
      <c r="D424" s="332">
        <v>0.33210500048173913</v>
      </c>
      <c r="E424" s="332">
        <v>0.20067401171710333</v>
      </c>
      <c r="F424" s="332">
        <v>4.9121314582707666E-2</v>
      </c>
      <c r="G424" s="330"/>
      <c r="H424" s="331">
        <f t="shared" si="30"/>
        <v>3311.1808777396345</v>
      </c>
      <c r="I424" s="330"/>
      <c r="J424" s="1"/>
      <c r="K424" s="330"/>
      <c r="L424" s="1"/>
      <c r="M424" s="330"/>
      <c r="N424" s="330"/>
      <c r="O424" s="330"/>
      <c r="P424" s="330"/>
      <c r="Q424" s="329"/>
      <c r="R424" s="331">
        <f t="shared" si="31"/>
        <v>3346.1605778988451</v>
      </c>
      <c r="S424" s="331">
        <f t="shared" si="32"/>
        <v>3381.4900750596485</v>
      </c>
      <c r="T424" s="331">
        <f t="shared" si="33"/>
        <v>3417.1728671920596</v>
      </c>
      <c r="U424" s="331">
        <f t="shared" si="34"/>
        <v>3453.2124872457948</v>
      </c>
      <c r="V424" s="330"/>
      <c r="W424" s="330"/>
      <c r="X424" s="330"/>
      <c r="Y424"/>
      <c r="Z424"/>
      <c r="AA424"/>
      <c r="AB424"/>
    </row>
    <row r="425" spans="1:28" x14ac:dyDescent="0.25">
      <c r="A425" s="330"/>
      <c r="B425" s="332">
        <v>2.0853806777546384E-3</v>
      </c>
      <c r="C425" s="332">
        <v>5.0496927363835438E-2</v>
      </c>
      <c r="D425" s="332">
        <v>1.5050610743750568</v>
      </c>
      <c r="E425" s="332">
        <v>0.27849516132822966</v>
      </c>
      <c r="F425" s="332">
        <v>2.8410434152751581E-2</v>
      </c>
      <c r="G425" s="330"/>
      <c r="H425" s="331">
        <f t="shared" si="30"/>
        <v>3187.2695360167718</v>
      </c>
      <c r="I425" s="330"/>
      <c r="J425" s="1"/>
      <c r="K425" s="330"/>
      <c r="L425" s="1"/>
      <c r="M425" s="330"/>
      <c r="N425" s="330"/>
      <c r="O425" s="330"/>
      <c r="P425" s="330"/>
      <c r="Q425" s="329"/>
      <c r="R425" s="331">
        <f t="shared" si="31"/>
        <v>3223.5459606510003</v>
      </c>
      <c r="S425" s="331">
        <f t="shared" si="32"/>
        <v>3260.1851495315714</v>
      </c>
      <c r="T425" s="331">
        <f t="shared" si="33"/>
        <v>3297.190730300948</v>
      </c>
      <c r="U425" s="331">
        <f t="shared" si="34"/>
        <v>3334.566366878018</v>
      </c>
      <c r="V425" s="330"/>
      <c r="W425" s="330"/>
      <c r="X425" s="330"/>
      <c r="Y425"/>
      <c r="Z425"/>
      <c r="AA425"/>
      <c r="AB425"/>
    </row>
    <row r="426" spans="1:28" x14ac:dyDescent="0.25">
      <c r="A426" s="330"/>
      <c r="B426" s="332">
        <v>6.7888437147346347E-4</v>
      </c>
      <c r="C426" s="332">
        <v>-1.6212189351427542E-2</v>
      </c>
      <c r="D426" s="332">
        <v>0.54923072814892515</v>
      </c>
      <c r="E426" s="332">
        <v>0.21876106311088248</v>
      </c>
      <c r="F426" s="332">
        <v>4.4826822868579232E-2</v>
      </c>
      <c r="G426" s="330"/>
      <c r="H426" s="331">
        <f t="shared" si="30"/>
        <v>3318.2271504750388</v>
      </c>
      <c r="I426" s="330"/>
      <c r="J426" s="1"/>
      <c r="K426" s="330"/>
      <c r="L426" s="1"/>
      <c r="M426" s="330"/>
      <c r="N426" s="330"/>
      <c r="O426" s="330"/>
      <c r="P426" s="330"/>
      <c r="Q426" s="329"/>
      <c r="R426" s="331">
        <f t="shared" si="31"/>
        <v>3353.4258291393908</v>
      </c>
      <c r="S426" s="331">
        <f t="shared" si="32"/>
        <v>3388.9764945903853</v>
      </c>
      <c r="T426" s="331">
        <f t="shared" si="33"/>
        <v>3424.8826666958907</v>
      </c>
      <c r="U426" s="331">
        <f t="shared" si="34"/>
        <v>3461.147900522451</v>
      </c>
      <c r="V426" s="330"/>
      <c r="W426" s="330"/>
      <c r="X426" s="330"/>
      <c r="Y426" s="333"/>
      <c r="Z426"/>
      <c r="AA426"/>
      <c r="AB426"/>
    </row>
    <row r="427" spans="1:28" x14ac:dyDescent="0.25">
      <c r="A427" s="330"/>
      <c r="B427" s="332">
        <v>1.8982656093847641E-3</v>
      </c>
      <c r="C427" s="332">
        <v>-3.6896480777882087E-2</v>
      </c>
      <c r="D427" s="332">
        <v>1.7152224752895171</v>
      </c>
      <c r="E427" s="332">
        <v>0.2813049712776407</v>
      </c>
      <c r="F427" s="332">
        <v>2.6395609518026868E-2</v>
      </c>
      <c r="G427" s="330"/>
      <c r="H427" s="331">
        <f t="shared" si="30"/>
        <v>3122.4321598259676</v>
      </c>
      <c r="I427" s="330"/>
      <c r="J427" s="1"/>
      <c r="K427" s="330"/>
      <c r="L427" s="1"/>
      <c r="M427" s="330"/>
      <c r="N427" s="330"/>
      <c r="O427" s="330"/>
      <c r="P427" s="330"/>
      <c r="Q427" s="329"/>
      <c r="R427" s="331">
        <f t="shared" si="31"/>
        <v>3159.1441041403559</v>
      </c>
      <c r="S427" s="331">
        <f t="shared" si="32"/>
        <v>3196.2231678978878</v>
      </c>
      <c r="T427" s="331">
        <f t="shared" si="33"/>
        <v>3233.6730222929955</v>
      </c>
      <c r="U427" s="331">
        <f t="shared" si="34"/>
        <v>3271.4973752320539</v>
      </c>
      <c r="V427" s="330"/>
      <c r="W427" s="330"/>
      <c r="X427" s="330"/>
      <c r="Y427" s="333"/>
      <c r="Z427"/>
      <c r="AA427"/>
      <c r="AB427"/>
    </row>
    <row r="428" spans="1:28" x14ac:dyDescent="0.25">
      <c r="A428" s="330"/>
      <c r="B428" s="332">
        <v>1.4768408110998978E-3</v>
      </c>
      <c r="C428" s="332">
        <v>9.2692225626945818E-2</v>
      </c>
      <c r="D428" s="332"/>
      <c r="E428" s="332">
        <v>0.19342571906796763</v>
      </c>
      <c r="F428" s="332">
        <v>5.581931869961676E-2</v>
      </c>
      <c r="G428" s="330"/>
      <c r="H428" s="331">
        <f t="shared" si="30"/>
        <v>3366.2256652050473</v>
      </c>
      <c r="I428" s="330"/>
      <c r="J428" s="1"/>
      <c r="K428" s="330"/>
      <c r="L428" s="1"/>
      <c r="M428" s="330"/>
      <c r="N428" s="330"/>
      <c r="O428" s="330"/>
      <c r="P428" s="330"/>
      <c r="Q428" s="329"/>
      <c r="R428" s="331">
        <f t="shared" si="31"/>
        <v>3401.9904181279508</v>
      </c>
      <c r="S428" s="331">
        <f t="shared" si="32"/>
        <v>3438.1128185800826</v>
      </c>
      <c r="T428" s="331">
        <f t="shared" si="33"/>
        <v>3474.5964430367362</v>
      </c>
      <c r="U428" s="331">
        <f t="shared" si="34"/>
        <v>3511.4449037379568</v>
      </c>
      <c r="V428" s="330"/>
      <c r="W428" s="330"/>
      <c r="X428" s="330"/>
      <c r="Y428" s="333"/>
      <c r="Z428"/>
      <c r="AA428"/>
      <c r="AB428"/>
    </row>
    <row r="429" spans="1:28" x14ac:dyDescent="0.25">
      <c r="A429" s="330"/>
      <c r="B429" s="332">
        <v>3.3971488295388277E-2</v>
      </c>
      <c r="C429" s="332">
        <v>-0.28052903998757039</v>
      </c>
      <c r="D429" s="332"/>
      <c r="E429" s="332">
        <v>0.83218321499310233</v>
      </c>
      <c r="F429" s="332">
        <v>0.13762004064688557</v>
      </c>
      <c r="G429" s="330"/>
      <c r="H429" s="331">
        <f t="shared" si="30"/>
        <v>1520.1490463794744</v>
      </c>
      <c r="I429" s="330"/>
      <c r="J429" s="1"/>
      <c r="K429" s="330"/>
      <c r="L429" s="1"/>
      <c r="M429" s="330"/>
      <c r="N429" s="330"/>
      <c r="O429" s="330"/>
      <c r="P429" s="330"/>
      <c r="Q429" s="329"/>
      <c r="R429" s="331">
        <f t="shared" si="31"/>
        <v>1626.7787660226386</v>
      </c>
      <c r="S429" s="331">
        <f t="shared" si="32"/>
        <v>1734.474782862233</v>
      </c>
      <c r="T429" s="331">
        <f t="shared" si="33"/>
        <v>1843.2477598702244</v>
      </c>
      <c r="U429" s="331">
        <f t="shared" si="34"/>
        <v>1953.1084666482957</v>
      </c>
      <c r="V429" s="330"/>
      <c r="W429" s="330"/>
      <c r="X429" s="330"/>
      <c r="Y429" s="333"/>
      <c r="Z429"/>
      <c r="AA429"/>
      <c r="AB429"/>
    </row>
    <row r="430" spans="1:28" x14ac:dyDescent="0.25">
      <c r="A430" s="330"/>
      <c r="B430" s="332"/>
      <c r="C430" s="332">
        <v>6.9771298341685314E-2</v>
      </c>
      <c r="D430" s="332">
        <v>0.1915324507557255</v>
      </c>
      <c r="E430" s="332">
        <v>0.18368563030652157</v>
      </c>
      <c r="F430" s="332">
        <v>4.7842478117631849E-2</v>
      </c>
      <c r="G430" s="330"/>
      <c r="H430" s="331">
        <f t="shared" si="30"/>
        <v>3393.8868603512046</v>
      </c>
      <c r="I430" s="330"/>
      <c r="J430" s="1"/>
      <c r="K430" s="330"/>
      <c r="L430" s="1"/>
      <c r="M430" s="330"/>
      <c r="N430" s="330"/>
      <c r="O430" s="330"/>
      <c r="P430" s="330"/>
      <c r="Q430" s="329"/>
      <c r="R430" s="331">
        <f t="shared" si="31"/>
        <v>3426.5803684866069</v>
      </c>
      <c r="S430" s="331">
        <f t="shared" si="32"/>
        <v>3459.6008117033625</v>
      </c>
      <c r="T430" s="331">
        <f t="shared" si="33"/>
        <v>3492.9514593522863</v>
      </c>
      <c r="U430" s="331">
        <f t="shared" si="34"/>
        <v>3526.6356134776997</v>
      </c>
      <c r="V430" s="330"/>
      <c r="W430" s="330"/>
      <c r="X430" s="330"/>
      <c r="Y430" s="333"/>
      <c r="Z430"/>
      <c r="AA430"/>
      <c r="AB430"/>
    </row>
    <row r="431" spans="1:28" x14ac:dyDescent="0.25">
      <c r="A431" s="330"/>
      <c r="B431" s="332">
        <v>1.334927376274885E-2</v>
      </c>
      <c r="C431" s="332">
        <v>-0.51362938419149851</v>
      </c>
      <c r="D431" s="332">
        <v>1.7488423860839086</v>
      </c>
      <c r="E431" s="332">
        <v>0.50977917904852665</v>
      </c>
      <c r="F431" s="332">
        <v>6.708705435151717E-2</v>
      </c>
      <c r="G431" s="330"/>
      <c r="H431" s="331">
        <f t="shared" si="30"/>
        <v>2439.4223987179148</v>
      </c>
      <c r="I431" s="330"/>
      <c r="J431" s="1"/>
      <c r="K431" s="330"/>
      <c r="L431" s="1"/>
      <c r="M431" s="330"/>
      <c r="N431" s="330"/>
      <c r="O431" s="330"/>
      <c r="P431" s="330"/>
      <c r="Q431" s="329"/>
      <c r="R431" s="331">
        <f t="shared" si="31"/>
        <v>2506.9440756318868</v>
      </c>
      <c r="S431" s="331">
        <f t="shared" si="32"/>
        <v>2575.1409693149981</v>
      </c>
      <c r="T431" s="331">
        <f t="shared" si="33"/>
        <v>2644.0198319349406</v>
      </c>
      <c r="U431" s="331">
        <f t="shared" si="34"/>
        <v>2713.5874831810825</v>
      </c>
      <c r="V431" s="330"/>
      <c r="W431" s="330"/>
      <c r="X431" s="330"/>
      <c r="Y431" s="333"/>
      <c r="Z431"/>
      <c r="AA431"/>
      <c r="AB431"/>
    </row>
    <row r="432" spans="1:28" x14ac:dyDescent="0.25">
      <c r="A432" s="330"/>
      <c r="B432" s="332"/>
      <c r="C432" s="332">
        <v>8.6079766860190365E-2</v>
      </c>
      <c r="D432" s="332">
        <v>5.2394655456957526E-2</v>
      </c>
      <c r="E432" s="332">
        <v>0.1632676210960963</v>
      </c>
      <c r="F432" s="332">
        <v>5.1443482247655367E-2</v>
      </c>
      <c r="G432" s="330"/>
      <c r="H432" s="331">
        <f t="shared" si="30"/>
        <v>3402.2346789196777</v>
      </c>
      <c r="I432" s="330"/>
      <c r="J432" s="1"/>
      <c r="K432" s="330"/>
      <c r="L432" s="1"/>
      <c r="M432" s="330"/>
      <c r="N432" s="330"/>
      <c r="O432" s="330"/>
      <c r="P432" s="330"/>
      <c r="Q432" s="329"/>
      <c r="R432" s="331">
        <f t="shared" si="31"/>
        <v>3434.7205724494434</v>
      </c>
      <c r="S432" s="331">
        <f t="shared" si="32"/>
        <v>3467.5313249145074</v>
      </c>
      <c r="T432" s="331">
        <f t="shared" si="33"/>
        <v>3500.6701849042215</v>
      </c>
      <c r="U432" s="331">
        <f t="shared" si="34"/>
        <v>3534.1404334938329</v>
      </c>
      <c r="V432" s="330"/>
      <c r="W432" s="330"/>
      <c r="X432" s="330"/>
      <c r="Y432" s="333"/>
      <c r="Z432"/>
      <c r="AA432"/>
      <c r="AB432"/>
    </row>
    <row r="433" spans="1:28" x14ac:dyDescent="0.25">
      <c r="A433" s="330"/>
      <c r="B433" s="332">
        <v>8.6623165568685092E-5</v>
      </c>
      <c r="C433" s="332">
        <v>5.8163554431857119E-2</v>
      </c>
      <c r="D433" s="332">
        <v>0.25958046711768584</v>
      </c>
      <c r="E433" s="332">
        <v>0.18780762086210501</v>
      </c>
      <c r="F433" s="332">
        <v>4.7294871071000048E-2</v>
      </c>
      <c r="G433" s="330"/>
      <c r="H433" s="331">
        <f t="shared" si="30"/>
        <v>3386.7439801519663</v>
      </c>
      <c r="I433" s="330"/>
      <c r="J433" s="1"/>
      <c r="K433" s="330"/>
      <c r="L433" s="1"/>
      <c r="M433" s="330"/>
      <c r="N433" s="330"/>
      <c r="O433" s="330"/>
      <c r="P433" s="330"/>
      <c r="Q433" s="329"/>
      <c r="R433" s="331">
        <f t="shared" si="31"/>
        <v>3419.7936112816751</v>
      </c>
      <c r="S433" s="331">
        <f t="shared" si="32"/>
        <v>3453.1737387226813</v>
      </c>
      <c r="T433" s="331">
        <f t="shared" si="33"/>
        <v>3486.8876674380972</v>
      </c>
      <c r="U433" s="331">
        <f t="shared" si="34"/>
        <v>3520.9387354406676</v>
      </c>
      <c r="V433" s="330"/>
      <c r="W433" s="330"/>
      <c r="X433" s="330"/>
      <c r="Y433" s="333"/>
      <c r="Z433"/>
      <c r="AA433"/>
      <c r="AB433"/>
    </row>
    <row r="434" spans="1:28" x14ac:dyDescent="0.25">
      <c r="A434" s="330"/>
      <c r="B434" s="332"/>
      <c r="C434" s="332">
        <v>7.0373839528580923E-2</v>
      </c>
      <c r="D434" s="332">
        <v>0.19466865718690982</v>
      </c>
      <c r="E434" s="332">
        <v>0.18429145253600163</v>
      </c>
      <c r="F434" s="332">
        <v>4.7660081511246018E-2</v>
      </c>
      <c r="G434" s="330"/>
      <c r="H434" s="331">
        <f t="shared" si="30"/>
        <v>3391.5223666377842</v>
      </c>
      <c r="I434" s="330"/>
      <c r="J434" s="1"/>
      <c r="K434" s="330"/>
      <c r="L434" s="1"/>
      <c r="M434" s="330"/>
      <c r="N434" s="330"/>
      <c r="O434" s="330"/>
      <c r="P434" s="330"/>
      <c r="Q434" s="329"/>
      <c r="R434" s="331">
        <f t="shared" si="31"/>
        <v>3424.1814749699051</v>
      </c>
      <c r="S434" s="331">
        <f t="shared" si="32"/>
        <v>3457.1671743853476</v>
      </c>
      <c r="T434" s="331">
        <f t="shared" si="33"/>
        <v>3490.4827307949445</v>
      </c>
      <c r="U434" s="331">
        <f t="shared" si="34"/>
        <v>3524.1314427686366</v>
      </c>
      <c r="V434" s="330"/>
      <c r="W434" s="330"/>
      <c r="X434" s="330"/>
      <c r="Y434" s="333"/>
      <c r="Z434"/>
      <c r="AA434"/>
      <c r="AB434"/>
    </row>
    <row r="435" spans="1:28" x14ac:dyDescent="0.25">
      <c r="A435" s="330"/>
      <c r="B435" s="332"/>
      <c r="C435" s="332">
        <v>-1.3551209011172238E-2</v>
      </c>
      <c r="D435" s="332">
        <v>0.667970494647813</v>
      </c>
      <c r="E435" s="332">
        <v>0.20196412293257779</v>
      </c>
      <c r="F435" s="332">
        <v>4.112137494122358E-2</v>
      </c>
      <c r="G435" s="330"/>
      <c r="H435" s="331">
        <f t="shared" si="30"/>
        <v>3306.5243767437096</v>
      </c>
      <c r="I435" s="330"/>
      <c r="J435" s="1"/>
      <c r="K435" s="330"/>
      <c r="L435" s="1"/>
      <c r="M435" s="330"/>
      <c r="N435" s="330"/>
      <c r="O435" s="330"/>
      <c r="P435" s="330"/>
      <c r="Q435" s="329"/>
      <c r="R435" s="331">
        <f t="shared" si="31"/>
        <v>3339.8314984810095</v>
      </c>
      <c r="S435" s="331">
        <f t="shared" si="32"/>
        <v>3373.4716914356832</v>
      </c>
      <c r="T435" s="331">
        <f t="shared" si="33"/>
        <v>3407.4482863199037</v>
      </c>
      <c r="U435" s="331">
        <f t="shared" si="34"/>
        <v>3441.7646471529661</v>
      </c>
      <c r="V435" s="330"/>
      <c r="W435" s="330"/>
      <c r="X435" s="330"/>
      <c r="Y435" s="333"/>
      <c r="Z435"/>
      <c r="AA435"/>
      <c r="AB435"/>
    </row>
    <row r="436" spans="1:28" x14ac:dyDescent="0.25">
      <c r="A436" s="330"/>
      <c r="B436" s="332">
        <v>1.7993501114178323E-4</v>
      </c>
      <c r="C436" s="332">
        <v>6.9396813578003674E-2</v>
      </c>
      <c r="D436" s="332">
        <v>0.25215383085730275</v>
      </c>
      <c r="E436" s="332">
        <v>0.18988999198291381</v>
      </c>
      <c r="F436" s="332">
        <v>4.7183783644587335E-2</v>
      </c>
      <c r="G436" s="330"/>
      <c r="H436" s="331">
        <f t="shared" si="30"/>
        <v>3384.4496091416913</v>
      </c>
      <c r="I436" s="330"/>
      <c r="J436" s="1"/>
      <c r="K436" s="330"/>
      <c r="L436" s="1"/>
      <c r="M436" s="330"/>
      <c r="N436" s="330"/>
      <c r="O436" s="330"/>
      <c r="P436" s="330"/>
      <c r="Q436" s="329"/>
      <c r="R436" s="331">
        <f t="shared" si="31"/>
        <v>3417.5131707004457</v>
      </c>
      <c r="S436" s="331">
        <f t="shared" si="32"/>
        <v>3450.9073678747882</v>
      </c>
      <c r="T436" s="331">
        <f t="shared" si="33"/>
        <v>3484.6355070208742</v>
      </c>
      <c r="U436" s="331">
        <f t="shared" si="34"/>
        <v>3518.7009275584214</v>
      </c>
      <c r="V436" s="330"/>
      <c r="W436" s="330"/>
      <c r="X436" s="330"/>
      <c r="Y436" s="333"/>
      <c r="Z436"/>
      <c r="AA436"/>
      <c r="AB436"/>
    </row>
    <row r="437" spans="1:28" x14ac:dyDescent="0.25">
      <c r="A437" s="330"/>
      <c r="B437" s="332">
        <v>1.4768408110999057E-3</v>
      </c>
      <c r="C437" s="332">
        <v>9.2692225626945804E-2</v>
      </c>
      <c r="D437" s="332"/>
      <c r="E437" s="332">
        <v>0.19342571906796799</v>
      </c>
      <c r="F437" s="332">
        <v>5.5819318699616711E-2</v>
      </c>
      <c r="G437" s="330"/>
      <c r="H437" s="331">
        <f t="shared" si="30"/>
        <v>3366.2256652050451</v>
      </c>
      <c r="I437" s="330"/>
      <c r="J437" s="1"/>
      <c r="K437" s="330"/>
      <c r="L437" s="1"/>
      <c r="M437" s="330"/>
      <c r="N437" s="330"/>
      <c r="O437" s="330"/>
      <c r="P437" s="330"/>
      <c r="Q437" s="329"/>
      <c r="R437" s="331">
        <f t="shared" si="31"/>
        <v>3401.9904181279485</v>
      </c>
      <c r="S437" s="331">
        <f t="shared" si="32"/>
        <v>3438.1128185800803</v>
      </c>
      <c r="T437" s="331">
        <f t="shared" si="33"/>
        <v>3474.5964430367339</v>
      </c>
      <c r="U437" s="331">
        <f t="shared" si="34"/>
        <v>3511.4449037379545</v>
      </c>
      <c r="V437" s="330"/>
      <c r="W437" s="330"/>
      <c r="X437" s="330"/>
      <c r="Y437" s="333"/>
      <c r="Z437"/>
      <c r="AA437"/>
      <c r="AB437"/>
    </row>
    <row r="438" spans="1:28" x14ac:dyDescent="0.25">
      <c r="A438" s="330"/>
      <c r="B438" s="332"/>
      <c r="C438" s="332">
        <v>-0.14778996281494405</v>
      </c>
      <c r="D438" s="332">
        <v>1.9369709701216509</v>
      </c>
      <c r="E438" s="332">
        <v>0.21551939874069415</v>
      </c>
      <c r="F438" s="332">
        <v>2.4653576063731992E-2</v>
      </c>
      <c r="G438" s="330"/>
      <c r="H438" s="331">
        <f t="shared" si="30"/>
        <v>3113.972149417581</v>
      </c>
      <c r="I438" s="330"/>
      <c r="J438" s="1"/>
      <c r="K438" s="330"/>
      <c r="L438" s="1"/>
      <c r="M438" s="330"/>
      <c r="N438" s="330"/>
      <c r="O438" s="330"/>
      <c r="P438" s="330"/>
      <c r="Q438" s="329"/>
      <c r="R438" s="331">
        <f t="shared" si="31"/>
        <v>3147.7498005711964</v>
      </c>
      <c r="S438" s="331">
        <f t="shared" si="32"/>
        <v>3181.8652282363487</v>
      </c>
      <c r="T438" s="331">
        <f t="shared" si="33"/>
        <v>3216.3218101781531</v>
      </c>
      <c r="U438" s="331">
        <f t="shared" si="34"/>
        <v>3251.1229579393739</v>
      </c>
      <c r="V438" s="330"/>
      <c r="W438" s="330"/>
      <c r="X438" s="330"/>
      <c r="Y438" s="333"/>
      <c r="Z438"/>
      <c r="AA438"/>
      <c r="AB438"/>
    </row>
    <row r="439" spans="1:28" x14ac:dyDescent="0.25">
      <c r="A439" s="330"/>
      <c r="B439" s="332"/>
      <c r="C439" s="332">
        <v>-6.3116093516212599E-2</v>
      </c>
      <c r="D439" s="332">
        <v>0.28918774148144616</v>
      </c>
      <c r="E439" s="332">
        <v>0.19098842309444217</v>
      </c>
      <c r="F439" s="332">
        <v>4.9400961151083861E-2</v>
      </c>
      <c r="G439" s="330"/>
      <c r="H439" s="331">
        <f t="shared" si="30"/>
        <v>3323.022275069236</v>
      </c>
      <c r="I439" s="330"/>
      <c r="J439" s="1"/>
      <c r="K439" s="330"/>
      <c r="L439" s="1"/>
      <c r="M439" s="330"/>
      <c r="N439" s="330"/>
      <c r="O439" s="330"/>
      <c r="P439" s="330"/>
      <c r="Q439" s="329"/>
      <c r="R439" s="331">
        <f t="shared" si="31"/>
        <v>3357.3790683386778</v>
      </c>
      <c r="S439" s="331">
        <f t="shared" si="32"/>
        <v>3392.0794295408145</v>
      </c>
      <c r="T439" s="331">
        <f t="shared" si="33"/>
        <v>3427.1267943549728</v>
      </c>
      <c r="U439" s="331">
        <f t="shared" si="34"/>
        <v>3462.524632817272</v>
      </c>
      <c r="V439" s="330"/>
      <c r="W439" s="330"/>
      <c r="X439" s="330"/>
      <c r="Y439" s="333"/>
      <c r="Z439"/>
      <c r="AA439"/>
      <c r="AB439"/>
    </row>
    <row r="440" spans="1:28" x14ac:dyDescent="0.25">
      <c r="A440" s="330"/>
      <c r="B440" s="332"/>
      <c r="C440" s="332">
        <v>6.9069456232207255E-2</v>
      </c>
      <c r="D440" s="332">
        <v>0.25019510470295281</v>
      </c>
      <c r="E440" s="332">
        <v>0.18660370076265015</v>
      </c>
      <c r="F440" s="332">
        <v>4.6661269213271517E-2</v>
      </c>
      <c r="G440" s="330"/>
      <c r="H440" s="331">
        <f t="shared" si="30"/>
        <v>3387.3614245319227</v>
      </c>
      <c r="I440" s="330"/>
      <c r="J440" s="1"/>
      <c r="K440" s="330"/>
      <c r="L440" s="1"/>
      <c r="M440" s="330"/>
      <c r="N440" s="330"/>
      <c r="O440" s="330"/>
      <c r="P440" s="330"/>
      <c r="Q440" s="329"/>
      <c r="R440" s="331">
        <f t="shared" si="31"/>
        <v>3420.002205615328</v>
      </c>
      <c r="S440" s="331">
        <f t="shared" si="32"/>
        <v>3452.9693945095669</v>
      </c>
      <c r="T440" s="331">
        <f t="shared" si="33"/>
        <v>3486.2662552927486</v>
      </c>
      <c r="U440" s="331">
        <f t="shared" si="34"/>
        <v>3519.8960846837617</v>
      </c>
      <c r="V440" s="330"/>
      <c r="W440" s="330"/>
      <c r="X440" s="330"/>
      <c r="Y440" s="333"/>
      <c r="Z440"/>
      <c r="AA440"/>
      <c r="AB440"/>
    </row>
    <row r="441" spans="1:28" x14ac:dyDescent="0.25">
      <c r="A441" s="330"/>
      <c r="B441" s="332">
        <v>4.3091023161049213E-3</v>
      </c>
      <c r="C441" s="332">
        <v>-0.29739947522064764</v>
      </c>
      <c r="D441" s="332">
        <v>2.8495167655956708</v>
      </c>
      <c r="E441" s="332">
        <v>0.33994971094093651</v>
      </c>
      <c r="F441" s="332">
        <v>2.0936477809773823E-2</v>
      </c>
      <c r="G441" s="330"/>
      <c r="H441" s="331">
        <f t="shared" si="30"/>
        <v>2754.5514753040798</v>
      </c>
      <c r="I441" s="330"/>
      <c r="J441" s="1"/>
      <c r="K441" s="330"/>
      <c r="L441" s="1"/>
      <c r="M441" s="330"/>
      <c r="N441" s="330"/>
      <c r="O441" s="330"/>
      <c r="P441" s="330"/>
      <c r="Q441" s="329"/>
      <c r="R441" s="331">
        <f t="shared" si="31"/>
        <v>2798.367372316935</v>
      </c>
      <c r="S441" s="331">
        <f t="shared" si="32"/>
        <v>2842.621428299919</v>
      </c>
      <c r="T441" s="331">
        <f t="shared" si="33"/>
        <v>2887.3180248427334</v>
      </c>
      <c r="U441" s="331">
        <f t="shared" si="34"/>
        <v>2932.4615873509752</v>
      </c>
      <c r="V441" s="330"/>
      <c r="W441" s="330"/>
      <c r="X441" s="330"/>
      <c r="Y441"/>
      <c r="Z441"/>
      <c r="AA441"/>
      <c r="AB441"/>
    </row>
    <row r="442" spans="1:28" x14ac:dyDescent="0.25">
      <c r="A442" s="330"/>
      <c r="B442" s="332">
        <v>1.4713183342958217E-2</v>
      </c>
      <c r="C442" s="332">
        <v>4.4163069878490266E-2</v>
      </c>
      <c r="D442" s="332">
        <v>1.3534535791276103</v>
      </c>
      <c r="E442" s="332">
        <v>0.4850500798547534</v>
      </c>
      <c r="F442" s="332">
        <v>6.7416108931181939E-2</v>
      </c>
      <c r="G442" s="330"/>
      <c r="H442" s="331">
        <f t="shared" si="30"/>
        <v>2745.6588800810905</v>
      </c>
      <c r="I442" s="330"/>
      <c r="J442" s="1"/>
      <c r="K442" s="330"/>
      <c r="L442" s="1"/>
      <c r="M442" s="330"/>
      <c r="N442" s="330"/>
      <c r="O442" s="330"/>
      <c r="P442" s="330"/>
      <c r="Q442" s="329"/>
      <c r="R442" s="331">
        <f t="shared" si="31"/>
        <v>2809.7564714439736</v>
      </c>
      <c r="S442" s="331">
        <f t="shared" si="32"/>
        <v>2874.4950387204858</v>
      </c>
      <c r="T442" s="331">
        <f t="shared" si="33"/>
        <v>2939.8809916697628</v>
      </c>
      <c r="U442" s="331">
        <f t="shared" si="34"/>
        <v>3005.9208041485322</v>
      </c>
      <c r="V442" s="330"/>
      <c r="W442" s="330"/>
      <c r="X442" s="330"/>
      <c r="Y442" s="333"/>
      <c r="Z442"/>
      <c r="AA442"/>
      <c r="AB442"/>
    </row>
    <row r="443" spans="1:28" x14ac:dyDescent="0.25">
      <c r="A443" s="330"/>
      <c r="B443" s="332"/>
      <c r="C443" s="332">
        <v>6.906724602178041E-2</v>
      </c>
      <c r="D443" s="332">
        <v>0.25030364436096214</v>
      </c>
      <c r="E443" s="332">
        <v>0.18660903024799047</v>
      </c>
      <c r="F443" s="332">
        <v>4.6659091669296618E-2</v>
      </c>
      <c r="G443" s="330"/>
      <c r="H443" s="331">
        <f t="shared" si="30"/>
        <v>3387.3477293014093</v>
      </c>
      <c r="I443" s="330"/>
      <c r="J443" s="1"/>
      <c r="K443" s="330"/>
      <c r="L443" s="1"/>
      <c r="M443" s="330"/>
      <c r="N443" s="330"/>
      <c r="O443" s="330"/>
      <c r="P443" s="330"/>
      <c r="Q443" s="329"/>
      <c r="R443" s="331">
        <f t="shared" si="31"/>
        <v>3419.9884128829531</v>
      </c>
      <c r="S443" s="331">
        <f t="shared" si="32"/>
        <v>3452.9555033003121</v>
      </c>
      <c r="T443" s="331">
        <f t="shared" si="33"/>
        <v>3486.2522646218449</v>
      </c>
      <c r="U443" s="331">
        <f t="shared" si="34"/>
        <v>3519.8819935565934</v>
      </c>
      <c r="V443" s="330"/>
      <c r="W443" s="330"/>
      <c r="X443" s="330"/>
      <c r="Y443" s="333"/>
      <c r="Z443"/>
      <c r="AA443"/>
      <c r="AB443"/>
    </row>
    <row r="444" spans="1:28" x14ac:dyDescent="0.25">
      <c r="A444" s="330"/>
      <c r="B444" s="332">
        <v>1.9888840889070255E-5</v>
      </c>
      <c r="C444" s="332">
        <v>7.0298701662971294E-2</v>
      </c>
      <c r="D444" s="332">
        <v>5.0083061265344342E-2</v>
      </c>
      <c r="E444" s="332">
        <v>0.17924216540367696</v>
      </c>
      <c r="F444" s="332">
        <v>5.0379014513120116E-2</v>
      </c>
      <c r="G444" s="330"/>
      <c r="H444" s="331">
        <f t="shared" ref="H444:H507" si="35">SUMPRODUCT(B444:F444,B$56:F$56)</f>
        <v>3401.5894791714709</v>
      </c>
      <c r="I444" s="330"/>
      <c r="J444" s="1"/>
      <c r="K444" s="330"/>
      <c r="L444" s="1"/>
      <c r="M444" s="330"/>
      <c r="N444" s="330"/>
      <c r="O444" s="330"/>
      <c r="P444" s="330"/>
      <c r="Q444" s="329"/>
      <c r="R444" s="331">
        <f t="shared" ref="R444:R507" si="36">SUMPRODUCT($B444:$F444,$K$59:$O$59)</f>
        <v>3434.4011955548435</v>
      </c>
      <c r="S444" s="331">
        <f t="shared" ref="S444:S507" si="37">SUMPRODUCT($B444:$F444,$K$60:$O$60)</f>
        <v>3467.5410291020498</v>
      </c>
      <c r="T444" s="331">
        <f t="shared" ref="T444:T507" si="38">SUMPRODUCT($B444:$F444,$K$61:$O$61)</f>
        <v>3501.0122609847285</v>
      </c>
      <c r="U444" s="331">
        <f t="shared" ref="U444:U507" si="39">SUMPRODUCT($B444:$F444,$K$62:$O$62)</f>
        <v>3534.8182051862341</v>
      </c>
      <c r="V444" s="330"/>
      <c r="W444" s="330"/>
      <c r="X444" s="330"/>
      <c r="Y444" s="333"/>
      <c r="Z444"/>
      <c r="AA444"/>
      <c r="AB444"/>
    </row>
    <row r="445" spans="1:28" x14ac:dyDescent="0.25">
      <c r="A445" s="330"/>
      <c r="B445" s="332">
        <v>1.8204374598615961E-3</v>
      </c>
      <c r="C445" s="332">
        <v>4.9316764480514766E-2</v>
      </c>
      <c r="D445" s="332">
        <v>1.488224864972904</v>
      </c>
      <c r="E445" s="332">
        <v>0.27102426512889016</v>
      </c>
      <c r="F445" s="332">
        <v>2.8311354549260852E-2</v>
      </c>
      <c r="G445" s="330"/>
      <c r="H445" s="331">
        <f t="shared" si="35"/>
        <v>3199.439027091923</v>
      </c>
      <c r="I445" s="330"/>
      <c r="J445" s="1"/>
      <c r="K445" s="330"/>
      <c r="L445" s="1"/>
      <c r="M445" s="330"/>
      <c r="N445" s="330"/>
      <c r="O445" s="330"/>
      <c r="P445" s="330"/>
      <c r="Q445" s="329"/>
      <c r="R445" s="331">
        <f t="shared" si="36"/>
        <v>3235.1842151410037</v>
      </c>
      <c r="S445" s="331">
        <f t="shared" si="37"/>
        <v>3271.2868550705753</v>
      </c>
      <c r="T445" s="331">
        <f t="shared" si="38"/>
        <v>3307.7505213994427</v>
      </c>
      <c r="U445" s="331">
        <f t="shared" si="39"/>
        <v>3344.5788243915986</v>
      </c>
      <c r="V445" s="330"/>
      <c r="W445" s="330"/>
      <c r="X445" s="330"/>
      <c r="Y445" s="333"/>
      <c r="Z445"/>
      <c r="AA445"/>
      <c r="AB445"/>
    </row>
    <row r="446" spans="1:28" x14ac:dyDescent="0.25">
      <c r="A446" s="330"/>
      <c r="B446" s="332"/>
      <c r="C446" s="332">
        <v>8.6140632352784546E-2</v>
      </c>
      <c r="D446" s="332">
        <v>4.8571755946766673E-2</v>
      </c>
      <c r="E446" s="332">
        <v>0.16321830663918568</v>
      </c>
      <c r="F446" s="332">
        <v>5.1496355516068487E-2</v>
      </c>
      <c r="G446" s="330"/>
      <c r="H446" s="331">
        <f t="shared" si="35"/>
        <v>3402.3079027333006</v>
      </c>
      <c r="I446" s="330"/>
      <c r="J446" s="1"/>
      <c r="K446" s="330"/>
      <c r="L446" s="1"/>
      <c r="M446" s="330"/>
      <c r="N446" s="330"/>
      <c r="O446" s="330"/>
      <c r="P446" s="330"/>
      <c r="Q446" s="329"/>
      <c r="R446" s="331">
        <f t="shared" si="36"/>
        <v>3434.793442102065</v>
      </c>
      <c r="S446" s="331">
        <f t="shared" si="37"/>
        <v>3467.6038368645172</v>
      </c>
      <c r="T446" s="331">
        <f t="shared" si="38"/>
        <v>3500.7423355745941</v>
      </c>
      <c r="U446" s="331">
        <f t="shared" si="39"/>
        <v>3534.2122192717716</v>
      </c>
      <c r="V446" s="330"/>
      <c r="W446" s="330"/>
      <c r="X446" s="330"/>
      <c r="Y446" s="333"/>
      <c r="Z446"/>
      <c r="AA446"/>
      <c r="AB446"/>
    </row>
    <row r="447" spans="1:28" x14ac:dyDescent="0.25">
      <c r="A447" s="330"/>
      <c r="B447" s="332">
        <v>6.9239110616050453E-3</v>
      </c>
      <c r="C447" s="332">
        <v>-0.43138128782900836</v>
      </c>
      <c r="D447" s="332">
        <v>2.9515393035675461</v>
      </c>
      <c r="E447" s="332">
        <v>0.39854898074681167</v>
      </c>
      <c r="F447" s="332">
        <v>2.8725576382262009E-2</v>
      </c>
      <c r="G447" s="330"/>
      <c r="H447" s="331">
        <f t="shared" si="35"/>
        <v>2572.571046663521</v>
      </c>
      <c r="I447" s="330"/>
      <c r="J447" s="1"/>
      <c r="K447" s="330"/>
      <c r="L447" s="1"/>
      <c r="M447" s="330"/>
      <c r="N447" s="330"/>
      <c r="O447" s="330"/>
      <c r="P447" s="330"/>
      <c r="Q447" s="329"/>
      <c r="R447" s="331">
        <f t="shared" si="36"/>
        <v>2623.610489729861</v>
      </c>
      <c r="S447" s="331">
        <f t="shared" si="37"/>
        <v>2675.1603272268649</v>
      </c>
      <c r="T447" s="331">
        <f t="shared" si="38"/>
        <v>2727.225663098839</v>
      </c>
      <c r="U447" s="331">
        <f t="shared" si="39"/>
        <v>2779.8116523295321</v>
      </c>
      <c r="V447" s="330"/>
      <c r="W447" s="330"/>
      <c r="X447" s="330"/>
      <c r="Y447" s="333"/>
      <c r="Z447"/>
      <c r="AA447"/>
      <c r="AB447"/>
    </row>
    <row r="448" spans="1:28" x14ac:dyDescent="0.25">
      <c r="A448" s="330"/>
      <c r="B448" s="332"/>
      <c r="C448" s="332">
        <v>-0.16049912354679777</v>
      </c>
      <c r="D448" s="332">
        <v>1.9342913712020164</v>
      </c>
      <c r="E448" s="332">
        <v>0.21307469064168347</v>
      </c>
      <c r="F448" s="332">
        <v>2.5388166217196782E-2</v>
      </c>
      <c r="G448" s="330"/>
      <c r="H448" s="331">
        <f t="shared" si="35"/>
        <v>3110.8836108606565</v>
      </c>
      <c r="I448" s="330"/>
      <c r="J448" s="1"/>
      <c r="K448" s="330"/>
      <c r="L448" s="1"/>
      <c r="M448" s="330"/>
      <c r="N448" s="330"/>
      <c r="O448" s="330"/>
      <c r="P448" s="330"/>
      <c r="Q448" s="329"/>
      <c r="R448" s="331">
        <f t="shared" si="36"/>
        <v>3144.8572247271973</v>
      </c>
      <c r="S448" s="331">
        <f t="shared" si="37"/>
        <v>3179.170574732404</v>
      </c>
      <c r="T448" s="331">
        <f t="shared" si="38"/>
        <v>3213.8270582376631</v>
      </c>
      <c r="U448" s="331">
        <f t="shared" si="39"/>
        <v>3248.8301065779742</v>
      </c>
      <c r="V448" s="330"/>
      <c r="W448" s="330"/>
      <c r="X448" s="330"/>
      <c r="Y448" s="333"/>
      <c r="Z448"/>
      <c r="AA448"/>
      <c r="AB448"/>
    </row>
    <row r="449" spans="1:28" x14ac:dyDescent="0.25">
      <c r="A449" s="330"/>
      <c r="B449" s="332">
        <v>1.7295566031718854E-4</v>
      </c>
      <c r="C449" s="332">
        <v>0.1003981584900118</v>
      </c>
      <c r="D449" s="332"/>
      <c r="E449" s="332">
        <v>0.14409514982407745</v>
      </c>
      <c r="F449" s="332">
        <v>5.3774192292273468E-2</v>
      </c>
      <c r="G449" s="330"/>
      <c r="H449" s="331">
        <f t="shared" si="35"/>
        <v>3361.2407985430973</v>
      </c>
      <c r="I449" s="330"/>
      <c r="J449" s="1"/>
      <c r="K449" s="330"/>
      <c r="L449" s="1"/>
      <c r="M449" s="330"/>
      <c r="N449" s="330"/>
      <c r="O449" s="330"/>
      <c r="P449" s="330"/>
      <c r="Q449" s="329"/>
      <c r="R449" s="331">
        <f t="shared" si="36"/>
        <v>3393.5011684429192</v>
      </c>
      <c r="S449" s="331">
        <f t="shared" si="37"/>
        <v>3426.0841420417391</v>
      </c>
      <c r="T449" s="331">
        <f t="shared" si="38"/>
        <v>3458.9929453765481</v>
      </c>
      <c r="U449" s="331">
        <f t="shared" si="39"/>
        <v>3492.2308367447049</v>
      </c>
      <c r="V449" s="330"/>
      <c r="W449" s="330"/>
      <c r="X449" s="330"/>
      <c r="Y449" s="333"/>
      <c r="Z449"/>
      <c r="AA449"/>
      <c r="AB449"/>
    </row>
    <row r="450" spans="1:28" x14ac:dyDescent="0.25">
      <c r="A450" s="330"/>
      <c r="B450" s="332"/>
      <c r="C450" s="332">
        <v>-0.15988613815722844</v>
      </c>
      <c r="D450" s="332">
        <v>2.0002519141157729</v>
      </c>
      <c r="E450" s="332">
        <v>0.21619053708282482</v>
      </c>
      <c r="F450" s="332">
        <v>2.3869572977748211E-2</v>
      </c>
      <c r="G450" s="330"/>
      <c r="H450" s="331">
        <f t="shared" si="35"/>
        <v>3096.4164709397355</v>
      </c>
      <c r="I450" s="330"/>
      <c r="J450" s="1"/>
      <c r="K450" s="330"/>
      <c r="L450" s="1"/>
      <c r="M450" s="330"/>
      <c r="N450" s="330"/>
      <c r="O450" s="330"/>
      <c r="P450" s="330"/>
      <c r="Q450" s="329"/>
      <c r="R450" s="331">
        <f t="shared" si="36"/>
        <v>3130.2344721204663</v>
      </c>
      <c r="S450" s="331">
        <f t="shared" si="37"/>
        <v>3164.3906533130048</v>
      </c>
      <c r="T450" s="331">
        <f t="shared" si="38"/>
        <v>3198.8883963174685</v>
      </c>
      <c r="U450" s="331">
        <f t="shared" si="39"/>
        <v>3233.7311167519765</v>
      </c>
      <c r="V450" s="330"/>
      <c r="W450" s="330"/>
      <c r="X450" s="330"/>
      <c r="Y450" s="333"/>
      <c r="Z450"/>
      <c r="AA450"/>
      <c r="AB450"/>
    </row>
    <row r="451" spans="1:28" x14ac:dyDescent="0.25">
      <c r="A451" s="330"/>
      <c r="B451" s="332">
        <v>6.0134291707081055E-3</v>
      </c>
      <c r="C451" s="332">
        <v>-2.1373941192736137</v>
      </c>
      <c r="D451" s="332">
        <v>3.7436349919340306</v>
      </c>
      <c r="E451" s="332">
        <v>0.53031935693356824</v>
      </c>
      <c r="F451" s="332">
        <v>6.2241143101339682E-3</v>
      </c>
      <c r="G451" s="330"/>
      <c r="H451" s="331">
        <f t="shared" si="35"/>
        <v>-134.24791826281745</v>
      </c>
      <c r="I451" s="330"/>
      <c r="J451" s="1"/>
      <c r="K451" s="330"/>
      <c r="L451" s="1"/>
      <c r="M451" s="330"/>
      <c r="N451" s="330"/>
      <c r="O451" s="330"/>
      <c r="P451" s="330"/>
      <c r="Q451" s="329"/>
      <c r="R451" s="331">
        <f t="shared" si="36"/>
        <v>-82.141934864967197</v>
      </c>
      <c r="S451" s="331">
        <f t="shared" si="37"/>
        <v>-29.514891633137438</v>
      </c>
      <c r="T451" s="331">
        <f t="shared" si="38"/>
        <v>23.638422031010009</v>
      </c>
      <c r="U451" s="331">
        <f t="shared" si="39"/>
        <v>77.323268831798714</v>
      </c>
      <c r="V451" s="330"/>
      <c r="W451" s="330"/>
      <c r="X451" s="330"/>
      <c r="Y451" s="333"/>
      <c r="Z451"/>
      <c r="AA451"/>
      <c r="AB451"/>
    </row>
    <row r="452" spans="1:28" x14ac:dyDescent="0.25">
      <c r="A452" s="330"/>
      <c r="B452" s="332">
        <v>1.0699618129402632E-2</v>
      </c>
      <c r="C452" s="332">
        <v>6.6529229044238233E-2</v>
      </c>
      <c r="D452" s="332">
        <v>0.81608242760391225</v>
      </c>
      <c r="E452" s="332">
        <v>0.40209867613164674</v>
      </c>
      <c r="F452" s="332">
        <v>6.5037303678932276E-2</v>
      </c>
      <c r="G452" s="330"/>
      <c r="H452" s="331">
        <f t="shared" si="35"/>
        <v>2954.7582818844303</v>
      </c>
      <c r="I452" s="330"/>
      <c r="J452" s="1"/>
      <c r="K452" s="330"/>
      <c r="L452" s="1"/>
      <c r="M452" s="330"/>
      <c r="N452" s="330"/>
      <c r="O452" s="330"/>
      <c r="P452" s="330"/>
      <c r="Q452" s="329"/>
      <c r="R452" s="331">
        <f t="shared" si="36"/>
        <v>3010.337429261715</v>
      </c>
      <c r="S452" s="331">
        <f t="shared" si="37"/>
        <v>3066.472368112773</v>
      </c>
      <c r="T452" s="331">
        <f t="shared" si="38"/>
        <v>3123.1686563523422</v>
      </c>
      <c r="U452" s="331">
        <f t="shared" si="39"/>
        <v>3180.4319074743057</v>
      </c>
      <c r="V452" s="330"/>
      <c r="W452" s="330"/>
      <c r="X452" s="330"/>
      <c r="Y452" s="333"/>
      <c r="Z452"/>
      <c r="AA452"/>
      <c r="AB452"/>
    </row>
    <row r="453" spans="1:28" x14ac:dyDescent="0.25">
      <c r="A453" s="330"/>
      <c r="B453" s="332"/>
      <c r="C453" s="332">
        <v>-2.9147535756590166</v>
      </c>
      <c r="D453" s="332">
        <v>2.0872767934195933</v>
      </c>
      <c r="E453" s="332">
        <v>0.25425534607943778</v>
      </c>
      <c r="F453" s="332">
        <v>4.7797812633676127E-2</v>
      </c>
      <c r="G453" s="330"/>
      <c r="H453" s="331">
        <f t="shared" si="35"/>
        <v>-470.17158365705927</v>
      </c>
      <c r="I453" s="330"/>
      <c r="J453" s="1"/>
      <c r="K453" s="330"/>
      <c r="L453" s="1"/>
      <c r="M453" s="330"/>
      <c r="N453" s="330"/>
      <c r="O453" s="330"/>
      <c r="P453" s="330"/>
      <c r="Q453" s="329"/>
      <c r="R453" s="331">
        <f t="shared" si="36"/>
        <v>-422.84733804983489</v>
      </c>
      <c r="S453" s="331">
        <f t="shared" si="37"/>
        <v>-375.04984998653845</v>
      </c>
      <c r="T453" s="331">
        <f t="shared" si="38"/>
        <v>-326.77438704260885</v>
      </c>
      <c r="U453" s="331">
        <f t="shared" si="39"/>
        <v>-278.01616946924059</v>
      </c>
      <c r="V453" s="330"/>
      <c r="W453" s="330"/>
      <c r="X453" s="330"/>
      <c r="Y453" s="333"/>
      <c r="Z453"/>
      <c r="AA453"/>
      <c r="AB453"/>
    </row>
    <row r="454" spans="1:28" x14ac:dyDescent="0.25">
      <c r="A454" s="330"/>
      <c r="B454" s="332">
        <v>7.0025670299292608E-3</v>
      </c>
      <c r="C454" s="332">
        <v>-0.4107795350685553</v>
      </c>
      <c r="D454" s="332">
        <v>2.1091292609487975</v>
      </c>
      <c r="E454" s="332">
        <v>0.39544019841075945</v>
      </c>
      <c r="F454" s="332">
        <v>4.1489107775279685E-2</v>
      </c>
      <c r="G454" s="330"/>
      <c r="H454" s="331">
        <f t="shared" si="35"/>
        <v>2673.0785498526147</v>
      </c>
      <c r="I454" s="330"/>
      <c r="J454" s="1"/>
      <c r="K454" s="330"/>
      <c r="L454" s="1"/>
      <c r="M454" s="330"/>
      <c r="N454" s="330"/>
      <c r="O454" s="330"/>
      <c r="P454" s="330"/>
      <c r="Q454" s="329"/>
      <c r="R454" s="331">
        <f t="shared" si="36"/>
        <v>2724.9554386658701</v>
      </c>
      <c r="S454" s="331">
        <f t="shared" si="37"/>
        <v>2777.3510963672579</v>
      </c>
      <c r="T454" s="331">
        <f t="shared" si="38"/>
        <v>2830.2707106456596</v>
      </c>
      <c r="U454" s="331">
        <f t="shared" si="39"/>
        <v>2883.7195210668451</v>
      </c>
      <c r="V454" s="330"/>
      <c r="W454" s="330"/>
      <c r="X454" s="330"/>
      <c r="Y454" s="333"/>
      <c r="Z454"/>
      <c r="AA454"/>
      <c r="AB454"/>
    </row>
    <row r="455" spans="1:28" x14ac:dyDescent="0.25">
      <c r="A455" s="330"/>
      <c r="B455" s="332"/>
      <c r="C455" s="332">
        <v>-0.44961816349134331</v>
      </c>
      <c r="D455" s="332"/>
      <c r="E455" s="332">
        <v>0.21840682520929652</v>
      </c>
      <c r="F455" s="332">
        <v>5.3957274159928535E-2</v>
      </c>
      <c r="G455" s="330"/>
      <c r="H455" s="331">
        <f t="shared" si="35"/>
        <v>2817.8947886692163</v>
      </c>
      <c r="I455" s="330"/>
      <c r="J455" s="1"/>
      <c r="K455" s="330"/>
      <c r="L455" s="1"/>
      <c r="M455" s="330"/>
      <c r="N455" s="330"/>
      <c r="O455" s="330"/>
      <c r="P455" s="330"/>
      <c r="Q455" s="329"/>
      <c r="R455" s="331">
        <f t="shared" si="36"/>
        <v>2854.0990521206872</v>
      </c>
      <c r="S455" s="331">
        <f t="shared" si="37"/>
        <v>2890.6653582066729</v>
      </c>
      <c r="T455" s="331">
        <f t="shared" si="38"/>
        <v>2927.5973273535183</v>
      </c>
      <c r="U455" s="331">
        <f t="shared" si="39"/>
        <v>2964.8986161918324</v>
      </c>
      <c r="V455" s="330"/>
      <c r="W455" s="330"/>
      <c r="X455" s="330"/>
      <c r="Y455" s="333"/>
      <c r="Z455"/>
      <c r="AA455"/>
      <c r="AB455"/>
    </row>
    <row r="456" spans="1:28" x14ac:dyDescent="0.25">
      <c r="A456" s="330"/>
      <c r="B456" s="332">
        <v>2.3301252382499724E-3</v>
      </c>
      <c r="C456" s="332">
        <v>5.5033741911801395E-2</v>
      </c>
      <c r="D456" s="332">
        <v>1.5374729600040784</v>
      </c>
      <c r="E456" s="332">
        <v>0.28424680812756281</v>
      </c>
      <c r="F456" s="332">
        <v>2.8180967031076851E-2</v>
      </c>
      <c r="G456" s="330"/>
      <c r="H456" s="331">
        <f t="shared" si="35"/>
        <v>3171.1890300581426</v>
      </c>
      <c r="I456" s="330"/>
      <c r="J456" s="1"/>
      <c r="K456" s="330"/>
      <c r="L456" s="1"/>
      <c r="M456" s="330"/>
      <c r="N456" s="330"/>
      <c r="O456" s="330"/>
      <c r="P456" s="330"/>
      <c r="Q456" s="329"/>
      <c r="R456" s="331">
        <f t="shared" si="36"/>
        <v>3207.8462837212037</v>
      </c>
      <c r="S456" s="331">
        <f t="shared" si="37"/>
        <v>3244.8701099208956</v>
      </c>
      <c r="T456" s="331">
        <f t="shared" si="38"/>
        <v>3282.2641743825843</v>
      </c>
      <c r="U456" s="331">
        <f t="shared" si="39"/>
        <v>3320.0321794888896</v>
      </c>
      <c r="V456" s="330"/>
      <c r="W456" s="330"/>
      <c r="X456" s="330"/>
      <c r="Y456" s="333"/>
      <c r="Z456"/>
      <c r="AA456"/>
      <c r="AB456"/>
    </row>
    <row r="457" spans="1:28" x14ac:dyDescent="0.25">
      <c r="A457" s="330"/>
      <c r="B457" s="332"/>
      <c r="C457" s="332">
        <v>-5.8470057670797299E-2</v>
      </c>
      <c r="D457" s="332">
        <v>0.13701205698096056</v>
      </c>
      <c r="E457" s="332">
        <v>0.19668293900220052</v>
      </c>
      <c r="F457" s="332">
        <v>5.0298330768729013E-2</v>
      </c>
      <c r="G457" s="330"/>
      <c r="H457" s="331">
        <f t="shared" si="35"/>
        <v>3314.0489942964323</v>
      </c>
      <c r="I457" s="330"/>
      <c r="J457" s="1"/>
      <c r="K457" s="330"/>
      <c r="L457" s="1"/>
      <c r="M457" s="330"/>
      <c r="N457" s="330"/>
      <c r="O457" s="330"/>
      <c r="P457" s="330"/>
      <c r="Q457" s="329"/>
      <c r="R457" s="331">
        <f t="shared" si="36"/>
        <v>3348.2331268277103</v>
      </c>
      <c r="S457" s="331">
        <f t="shared" si="37"/>
        <v>3382.7591006843013</v>
      </c>
      <c r="T457" s="331">
        <f t="shared" si="38"/>
        <v>3417.6303342794581</v>
      </c>
      <c r="U457" s="331">
        <f t="shared" si="39"/>
        <v>3452.8502802105659</v>
      </c>
      <c r="V457" s="330"/>
      <c r="W457" s="330"/>
      <c r="X457" s="330"/>
      <c r="Y457" s="333"/>
      <c r="Z457"/>
      <c r="AA457"/>
      <c r="AB457"/>
    </row>
    <row r="458" spans="1:28" x14ac:dyDescent="0.25">
      <c r="A458" s="330"/>
      <c r="B458" s="332"/>
      <c r="C458" s="332">
        <v>-8.6599558027799103E-2</v>
      </c>
      <c r="D458" s="332">
        <v>0.35818674922640675</v>
      </c>
      <c r="E458" s="332">
        <v>0.19574815694168404</v>
      </c>
      <c r="F458" s="332">
        <v>4.8320285162171489E-2</v>
      </c>
      <c r="G458" s="330"/>
      <c r="H458" s="331">
        <f t="shared" si="35"/>
        <v>3296.0207211518591</v>
      </c>
      <c r="I458" s="330"/>
      <c r="J458" s="1"/>
      <c r="K458" s="330"/>
      <c r="L458" s="1"/>
      <c r="M458" s="330"/>
      <c r="N458" s="330"/>
      <c r="O458" s="330"/>
      <c r="P458" s="330"/>
      <c r="Q458" s="329"/>
      <c r="R458" s="331">
        <f t="shared" si="36"/>
        <v>3330.5266594689606</v>
      </c>
      <c r="S458" s="331">
        <f t="shared" si="37"/>
        <v>3365.3776571692324</v>
      </c>
      <c r="T458" s="331">
        <f t="shared" si="38"/>
        <v>3400.5771648465079</v>
      </c>
      <c r="U458" s="331">
        <f t="shared" si="39"/>
        <v>3436.1286676005557</v>
      </c>
      <c r="V458" s="330"/>
      <c r="W458" s="330"/>
      <c r="X458" s="330"/>
      <c r="Y458" s="333"/>
      <c r="Z458"/>
      <c r="AA458"/>
      <c r="AB458"/>
    </row>
    <row r="459" spans="1:28" x14ac:dyDescent="0.25">
      <c r="A459" s="330"/>
      <c r="B459" s="332">
        <v>7.938363894942355E-3</v>
      </c>
      <c r="C459" s="332">
        <v>-6.5191899642748644E-2</v>
      </c>
      <c r="D459" s="332">
        <v>0.70758903960117536</v>
      </c>
      <c r="E459" s="332">
        <v>0.37205508422049799</v>
      </c>
      <c r="F459" s="332">
        <v>6.1137574897409494E-2</v>
      </c>
      <c r="G459" s="330"/>
      <c r="H459" s="331">
        <f t="shared" si="35"/>
        <v>3023.498418777313</v>
      </c>
      <c r="I459" s="330"/>
      <c r="J459" s="1"/>
      <c r="K459" s="330"/>
      <c r="L459" s="1"/>
      <c r="M459" s="330"/>
      <c r="N459" s="330"/>
      <c r="O459" s="330"/>
      <c r="P459" s="330"/>
      <c r="Q459" s="329"/>
      <c r="R459" s="331">
        <f t="shared" si="36"/>
        <v>3075.0916500683898</v>
      </c>
      <c r="S459" s="331">
        <f t="shared" si="37"/>
        <v>3127.200813672378</v>
      </c>
      <c r="T459" s="331">
        <f t="shared" si="38"/>
        <v>3179.8310689124055</v>
      </c>
      <c r="U459" s="331">
        <f t="shared" si="39"/>
        <v>3232.9876267048339</v>
      </c>
      <c r="V459" s="330"/>
      <c r="W459" s="330"/>
      <c r="X459" s="330"/>
      <c r="Y459" s="333"/>
      <c r="Z459"/>
      <c r="AA459"/>
      <c r="AB459"/>
    </row>
    <row r="460" spans="1:28" x14ac:dyDescent="0.25">
      <c r="A460" s="330"/>
      <c r="B460" s="332"/>
      <c r="C460" s="332">
        <v>-5.8470057670797902E-2</v>
      </c>
      <c r="D460" s="332">
        <v>0.13701205698096755</v>
      </c>
      <c r="E460" s="332">
        <v>0.1966829390022006</v>
      </c>
      <c r="F460" s="332">
        <v>5.0298330768728923E-2</v>
      </c>
      <c r="G460" s="330"/>
      <c r="H460" s="331">
        <f t="shared" si="35"/>
        <v>3314.0489942964314</v>
      </c>
      <c r="I460" s="330"/>
      <c r="J460" s="1"/>
      <c r="K460" s="330"/>
      <c r="L460" s="1"/>
      <c r="M460" s="330"/>
      <c r="N460" s="330"/>
      <c r="O460" s="330"/>
      <c r="P460" s="330"/>
      <c r="Q460" s="329"/>
      <c r="R460" s="331">
        <f t="shared" si="36"/>
        <v>3348.2331268277094</v>
      </c>
      <c r="S460" s="331">
        <f t="shared" si="37"/>
        <v>3382.7591006843004</v>
      </c>
      <c r="T460" s="331">
        <f t="shared" si="38"/>
        <v>3417.6303342794572</v>
      </c>
      <c r="U460" s="331">
        <f t="shared" si="39"/>
        <v>3452.8502802105659</v>
      </c>
      <c r="V460" s="330"/>
      <c r="W460" s="330"/>
      <c r="X460" s="330"/>
      <c r="Y460" s="333"/>
      <c r="Z460"/>
      <c r="AA460"/>
      <c r="AB460"/>
    </row>
    <row r="461" spans="1:28" x14ac:dyDescent="0.25">
      <c r="A461" s="330"/>
      <c r="B461" s="332">
        <v>3.8558685927221927E-3</v>
      </c>
      <c r="C461" s="332">
        <v>-0.27256132488546791</v>
      </c>
      <c r="D461" s="332">
        <v>2.2830302995722485</v>
      </c>
      <c r="E461" s="332">
        <v>0.35986991437957144</v>
      </c>
      <c r="F461" s="332">
        <v>2.1635065381370739E-2</v>
      </c>
      <c r="G461" s="330"/>
      <c r="H461" s="331">
        <f t="shared" si="35"/>
        <v>2721.5447991345677</v>
      </c>
      <c r="I461" s="330"/>
      <c r="J461" s="1"/>
      <c r="K461" s="330"/>
      <c r="L461" s="1"/>
      <c r="M461" s="330"/>
      <c r="N461" s="330"/>
      <c r="O461" s="330"/>
      <c r="P461" s="330"/>
      <c r="Q461" s="329"/>
      <c r="R461" s="331">
        <f t="shared" si="36"/>
        <v>2763.4342948675676</v>
      </c>
      <c r="S461" s="331">
        <f t="shared" si="37"/>
        <v>2805.7426855578983</v>
      </c>
      <c r="T461" s="331">
        <f t="shared" si="38"/>
        <v>2848.4741601551318</v>
      </c>
      <c r="U461" s="331">
        <f t="shared" si="39"/>
        <v>2891.6329494983379</v>
      </c>
      <c r="V461" s="330"/>
      <c r="W461" s="330"/>
      <c r="X461" s="330"/>
      <c r="Y461" s="333"/>
      <c r="Z461"/>
      <c r="AA461"/>
      <c r="AB461"/>
    </row>
    <row r="462" spans="1:28" x14ac:dyDescent="0.25">
      <c r="A462" s="330"/>
      <c r="B462" s="332">
        <v>1.6459594484414706E-3</v>
      </c>
      <c r="C462" s="332">
        <v>5.2491947623241386E-2</v>
      </c>
      <c r="D462" s="332">
        <v>1.3757053206074576</v>
      </c>
      <c r="E462" s="332">
        <v>0.26520878067274078</v>
      </c>
      <c r="F462" s="332">
        <v>2.9663221765864167E-2</v>
      </c>
      <c r="G462" s="330"/>
      <c r="H462" s="331">
        <f t="shared" si="35"/>
        <v>3216.3689750783424</v>
      </c>
      <c r="I462" s="330"/>
      <c r="J462" s="1"/>
      <c r="K462" s="330"/>
      <c r="L462" s="1"/>
      <c r="M462" s="330"/>
      <c r="N462" s="330"/>
      <c r="O462" s="330"/>
      <c r="P462" s="330"/>
      <c r="Q462" s="329"/>
      <c r="R462" s="331">
        <f t="shared" si="36"/>
        <v>3251.782928715812</v>
      </c>
      <c r="S462" s="331">
        <f t="shared" si="37"/>
        <v>3287.5510218896561</v>
      </c>
      <c r="T462" s="331">
        <f t="shared" si="38"/>
        <v>3323.676795995239</v>
      </c>
      <c r="U462" s="331">
        <f t="shared" si="39"/>
        <v>3360.1638278418773</v>
      </c>
      <c r="V462" s="330"/>
      <c r="W462" s="330"/>
      <c r="X462" s="330"/>
      <c r="Y462" s="333"/>
      <c r="Z462"/>
      <c r="AA462"/>
      <c r="AB462"/>
    </row>
    <row r="463" spans="1:28" x14ac:dyDescent="0.25">
      <c r="A463" s="330"/>
      <c r="B463" s="332">
        <v>1.2684949492112255E-3</v>
      </c>
      <c r="C463" s="332">
        <v>4.1241395030582315E-2</v>
      </c>
      <c r="D463" s="332">
        <v>1.5602182377533982</v>
      </c>
      <c r="E463" s="332">
        <v>0.27790281833579833</v>
      </c>
      <c r="F463" s="332">
        <v>2.1932353521232486E-2</v>
      </c>
      <c r="G463" s="330"/>
      <c r="H463" s="331">
        <f t="shared" si="35"/>
        <v>3108.9692011650959</v>
      </c>
      <c r="I463" s="330"/>
      <c r="J463" s="1"/>
      <c r="K463" s="330"/>
      <c r="L463" s="1"/>
      <c r="M463" s="330"/>
      <c r="N463" s="330"/>
      <c r="O463" s="330"/>
      <c r="P463" s="330"/>
      <c r="Q463" s="329"/>
      <c r="R463" s="331">
        <f t="shared" si="36"/>
        <v>3142.5497277434151</v>
      </c>
      <c r="S463" s="331">
        <f t="shared" si="37"/>
        <v>3176.4660595875184</v>
      </c>
      <c r="T463" s="331">
        <f t="shared" si="38"/>
        <v>3210.7215547500609</v>
      </c>
      <c r="U463" s="331">
        <f t="shared" si="39"/>
        <v>3245.3196048642299</v>
      </c>
      <c r="V463" s="330"/>
      <c r="W463" s="330"/>
      <c r="X463" s="330"/>
      <c r="Y463" s="333"/>
      <c r="Z463"/>
      <c r="AA463"/>
      <c r="AB463"/>
    </row>
    <row r="464" spans="1:28" x14ac:dyDescent="0.25">
      <c r="A464" s="330"/>
      <c r="B464" s="332">
        <v>4.566098149356936E-4</v>
      </c>
      <c r="C464" s="332">
        <v>7.4506952082147401E-2</v>
      </c>
      <c r="D464" s="332"/>
      <c r="E464" s="332">
        <v>0.18418780939672416</v>
      </c>
      <c r="F464" s="332">
        <v>5.2640207297738717E-2</v>
      </c>
      <c r="G464" s="330"/>
      <c r="H464" s="331">
        <f t="shared" si="35"/>
        <v>3398.849105048253</v>
      </c>
      <c r="I464" s="330"/>
      <c r="J464" s="1"/>
      <c r="K464" s="330"/>
      <c r="L464" s="1"/>
      <c r="M464" s="330"/>
      <c r="N464" s="330"/>
      <c r="O464" s="330"/>
      <c r="P464" s="330"/>
      <c r="Q464" s="329"/>
      <c r="R464" s="331">
        <f t="shared" si="36"/>
        <v>3432.6692905277519</v>
      </c>
      <c r="S464" s="331">
        <f t="shared" si="37"/>
        <v>3466.8276778620448</v>
      </c>
      <c r="T464" s="331">
        <f t="shared" si="38"/>
        <v>3501.3276490696808</v>
      </c>
      <c r="U464" s="331">
        <f t="shared" si="39"/>
        <v>3536.1726199893938</v>
      </c>
      <c r="V464" s="330"/>
      <c r="W464" s="330"/>
      <c r="X464" s="330"/>
      <c r="Y464" s="333"/>
      <c r="Z464"/>
      <c r="AA464"/>
      <c r="AB464"/>
    </row>
    <row r="465" spans="1:28" x14ac:dyDescent="0.25">
      <c r="A465" s="330"/>
      <c r="B465" s="332">
        <v>5.1167571512553706E-3</v>
      </c>
      <c r="C465" s="332">
        <v>-0.28704468709755759</v>
      </c>
      <c r="D465" s="332">
        <v>3.1412018219314484</v>
      </c>
      <c r="E465" s="332">
        <v>0.42595429633584009</v>
      </c>
      <c r="F465" s="332"/>
      <c r="G465" s="330"/>
      <c r="H465" s="331">
        <f t="shared" si="35"/>
        <v>2218.6429614473536</v>
      </c>
      <c r="I465" s="330"/>
      <c r="J465" s="1"/>
      <c r="K465" s="330"/>
      <c r="L465" s="1"/>
      <c r="M465" s="330"/>
      <c r="N465" s="330"/>
      <c r="O465" s="330"/>
      <c r="P465" s="330"/>
      <c r="Q465" s="329"/>
      <c r="R465" s="331">
        <f t="shared" si="36"/>
        <v>2258.9695644875351</v>
      </c>
      <c r="S465" s="331">
        <f t="shared" si="37"/>
        <v>2299.6994335581185</v>
      </c>
      <c r="T465" s="331">
        <f t="shared" si="38"/>
        <v>2340.8366013194081</v>
      </c>
      <c r="U465" s="331">
        <f t="shared" si="39"/>
        <v>2382.3851407583106</v>
      </c>
      <c r="V465" s="330"/>
      <c r="W465" s="330"/>
      <c r="X465" s="330"/>
      <c r="Y465" s="333"/>
      <c r="Z465"/>
      <c r="AA465"/>
      <c r="AB465"/>
    </row>
    <row r="466" spans="1:28" x14ac:dyDescent="0.25">
      <c r="A466" s="330"/>
      <c r="B466" s="332">
        <v>1.7097974787893854E-3</v>
      </c>
      <c r="C466" s="332">
        <v>4.060567015968819E-2</v>
      </c>
      <c r="D466" s="332">
        <v>1.7319985686830739</v>
      </c>
      <c r="E466" s="332">
        <v>0.29696544423890342</v>
      </c>
      <c r="F466" s="332">
        <v>1.7998251650718316E-2</v>
      </c>
      <c r="G466" s="330"/>
      <c r="H466" s="331">
        <f t="shared" si="35"/>
        <v>3012.8616418432089</v>
      </c>
      <c r="I466" s="330"/>
      <c r="J466" s="1"/>
      <c r="K466" s="330"/>
      <c r="L466" s="1"/>
      <c r="M466" s="330"/>
      <c r="N466" s="330"/>
      <c r="O466" s="330"/>
      <c r="P466" s="330"/>
      <c r="Q466" s="329"/>
      <c r="R466" s="331">
        <f t="shared" si="36"/>
        <v>3046.6150817996945</v>
      </c>
      <c r="S466" s="331">
        <f t="shared" si="37"/>
        <v>3080.706056155745</v>
      </c>
      <c r="T466" s="331">
        <f t="shared" si="38"/>
        <v>3115.1379402553562</v>
      </c>
      <c r="U466" s="331">
        <f t="shared" si="39"/>
        <v>3149.9141431959633</v>
      </c>
      <c r="V466" s="330"/>
      <c r="W466" s="330"/>
      <c r="X466" s="330"/>
      <c r="Y466" s="333"/>
      <c r="Z466"/>
      <c r="AA466"/>
      <c r="AB466"/>
    </row>
    <row r="467" spans="1:28" x14ac:dyDescent="0.25">
      <c r="A467" s="330"/>
      <c r="B467" s="332">
        <v>0.11461960123864272</v>
      </c>
      <c r="C467" s="332">
        <v>1.018907864623861</v>
      </c>
      <c r="D467" s="332">
        <v>3.3052299667607664E-2</v>
      </c>
      <c r="E467" s="332">
        <v>1.4481064784547268</v>
      </c>
      <c r="F467" s="332">
        <v>0.2770789883940199</v>
      </c>
      <c r="G467" s="330"/>
      <c r="H467" s="331">
        <f t="shared" si="35"/>
        <v>-7033.0999689859727</v>
      </c>
      <c r="I467" s="330"/>
      <c r="J467" s="1"/>
      <c r="K467" s="330"/>
      <c r="L467" s="1"/>
      <c r="M467" s="330"/>
      <c r="N467" s="330"/>
      <c r="O467" s="330"/>
      <c r="P467" s="330"/>
      <c r="Q467" s="329"/>
      <c r="R467" s="331">
        <f t="shared" si="36"/>
        <v>-6830.0336406972528</v>
      </c>
      <c r="S467" s="331">
        <f t="shared" si="37"/>
        <v>-6624.9366491256478</v>
      </c>
      <c r="T467" s="331">
        <f t="shared" si="38"/>
        <v>-6417.7886876383254</v>
      </c>
      <c r="U467" s="331">
        <f t="shared" si="39"/>
        <v>-6208.569246536128</v>
      </c>
      <c r="V467" s="330"/>
      <c r="W467" s="330"/>
      <c r="X467" s="330"/>
      <c r="Y467" s="333"/>
      <c r="Z467"/>
      <c r="AA467"/>
      <c r="AB467"/>
    </row>
    <row r="468" spans="1:28" x14ac:dyDescent="0.25">
      <c r="A468" s="330"/>
      <c r="B468" s="332">
        <v>1.9840723014996364E-3</v>
      </c>
      <c r="C468" s="332">
        <v>5.3000287125198511E-2</v>
      </c>
      <c r="D468" s="332">
        <v>1.5742026539506657</v>
      </c>
      <c r="E468" s="332">
        <v>0.28400177082283912</v>
      </c>
      <c r="F468" s="332">
        <v>2.5426141970756728E-2</v>
      </c>
      <c r="G468" s="330"/>
      <c r="H468" s="331">
        <f t="shared" si="35"/>
        <v>3148.6769648435293</v>
      </c>
      <c r="I468" s="330"/>
      <c r="J468" s="1"/>
      <c r="K468" s="330"/>
      <c r="L468" s="1"/>
      <c r="M468" s="330"/>
      <c r="N468" s="330"/>
      <c r="O468" s="330"/>
      <c r="P468" s="330"/>
      <c r="Q468" s="329"/>
      <c r="R468" s="331">
        <f t="shared" si="36"/>
        <v>3184.2650596451285</v>
      </c>
      <c r="S468" s="331">
        <f t="shared" si="37"/>
        <v>3220.2090353947438</v>
      </c>
      <c r="T468" s="331">
        <f t="shared" si="38"/>
        <v>3256.5124509018551</v>
      </c>
      <c r="U468" s="331">
        <f t="shared" si="39"/>
        <v>3293.178900564038</v>
      </c>
      <c r="V468" s="330"/>
      <c r="W468" s="330"/>
      <c r="X468" s="330"/>
      <c r="Y468" s="333"/>
      <c r="Z468"/>
      <c r="AA468"/>
      <c r="AB468"/>
    </row>
    <row r="469" spans="1:28" x14ac:dyDescent="0.25">
      <c r="A469" s="330"/>
      <c r="B469" s="332"/>
      <c r="C469" s="332">
        <v>-0.66467735536006822</v>
      </c>
      <c r="D469" s="332">
        <v>1.9800874506977919</v>
      </c>
      <c r="E469" s="332">
        <v>0.3427568851639452</v>
      </c>
      <c r="F469" s="332"/>
      <c r="G469" s="330"/>
      <c r="H469" s="331">
        <f t="shared" si="35"/>
        <v>1741.2785166998722</v>
      </c>
      <c r="I469" s="330"/>
      <c r="J469" s="1"/>
      <c r="K469" s="330"/>
      <c r="L469" s="1"/>
      <c r="M469" s="330"/>
      <c r="N469" s="330"/>
      <c r="O469" s="330"/>
      <c r="P469" s="330"/>
      <c r="Q469" s="329"/>
      <c r="R469" s="331">
        <f t="shared" si="36"/>
        <v>1770.5552476739217</v>
      </c>
      <c r="S469" s="331">
        <f t="shared" si="37"/>
        <v>1800.1247459577121</v>
      </c>
      <c r="T469" s="331">
        <f t="shared" si="38"/>
        <v>1829.9899392243401</v>
      </c>
      <c r="U469" s="331">
        <f t="shared" si="39"/>
        <v>1860.1537844236343</v>
      </c>
      <c r="V469" s="330"/>
      <c r="W469" s="330"/>
      <c r="X469" s="330"/>
      <c r="Y469" s="333"/>
      <c r="Z469"/>
      <c r="AA469"/>
      <c r="AB469"/>
    </row>
    <row r="470" spans="1:28" x14ac:dyDescent="0.25">
      <c r="A470" s="330"/>
      <c r="B470" s="332">
        <v>1.9709333758846006E-3</v>
      </c>
      <c r="C470" s="332">
        <v>5.2259434915238497E-2</v>
      </c>
      <c r="D470" s="332">
        <v>1.5768412031361505</v>
      </c>
      <c r="E470" s="332">
        <v>0.28383085592675045</v>
      </c>
      <c r="F470" s="332">
        <v>2.5370275543346112E-2</v>
      </c>
      <c r="G470" s="330"/>
      <c r="H470" s="331">
        <f t="shared" si="35"/>
        <v>3148.7644005144025</v>
      </c>
      <c r="I470" s="330"/>
      <c r="J470" s="1"/>
      <c r="K470" s="330"/>
      <c r="L470" s="1"/>
      <c r="M470" s="330"/>
      <c r="N470" s="330"/>
      <c r="O470" s="330"/>
      <c r="P470" s="330"/>
      <c r="Q470" s="329"/>
      <c r="R470" s="331">
        <f t="shared" si="36"/>
        <v>3184.3331687981727</v>
      </c>
      <c r="S470" s="331">
        <f t="shared" si="37"/>
        <v>3220.2576247647803</v>
      </c>
      <c r="T470" s="331">
        <f t="shared" si="38"/>
        <v>3256.5413252910548</v>
      </c>
      <c r="U470" s="331">
        <f t="shared" si="39"/>
        <v>3293.1878628225909</v>
      </c>
      <c r="V470" s="330"/>
      <c r="W470" s="330"/>
      <c r="X470" s="330"/>
      <c r="Y470"/>
      <c r="Z470"/>
      <c r="AA470"/>
      <c r="AB470"/>
    </row>
    <row r="471" spans="1:28" x14ac:dyDescent="0.25">
      <c r="A471" s="330"/>
      <c r="B471" s="332">
        <v>2.4464420373396726E-3</v>
      </c>
      <c r="C471" s="332">
        <v>-5.494777562130132E-2</v>
      </c>
      <c r="D471" s="332">
        <v>0.40354873499820626</v>
      </c>
      <c r="E471" s="332">
        <v>0.25110063014144024</v>
      </c>
      <c r="F471" s="332">
        <v>5.2734647560631939E-2</v>
      </c>
      <c r="G471" s="330"/>
      <c r="H471" s="331">
        <f t="shared" si="35"/>
        <v>3247.3242950726535</v>
      </c>
      <c r="I471" s="330"/>
      <c r="J471" s="1"/>
      <c r="K471" s="330"/>
      <c r="L471" s="1"/>
      <c r="M471" s="330"/>
      <c r="N471" s="330"/>
      <c r="O471" s="330"/>
      <c r="P471" s="330"/>
      <c r="Q471" s="329"/>
      <c r="R471" s="331">
        <f t="shared" si="36"/>
        <v>3287.0018828439856</v>
      </c>
      <c r="S471" s="331">
        <f t="shared" si="37"/>
        <v>3327.0762464930308</v>
      </c>
      <c r="T471" s="331">
        <f t="shared" si="38"/>
        <v>3367.5513537785664</v>
      </c>
      <c r="U471" s="331">
        <f t="shared" si="39"/>
        <v>3408.4312121369576</v>
      </c>
      <c r="V471" s="330"/>
      <c r="W471" s="330"/>
      <c r="X471" s="330"/>
      <c r="Y471"/>
      <c r="Z471"/>
      <c r="AA471"/>
      <c r="AB471"/>
    </row>
    <row r="472" spans="1:28" x14ac:dyDescent="0.25">
      <c r="A472" s="330"/>
      <c r="B472" s="332">
        <v>1.4933467602891389E-3</v>
      </c>
      <c r="C472" s="332">
        <v>4.4113749430010257E-2</v>
      </c>
      <c r="D472" s="332">
        <v>1.5492672870454183</v>
      </c>
      <c r="E472" s="332">
        <v>0.27985978284153029</v>
      </c>
      <c r="F472" s="332">
        <v>2.3367571684640348E-2</v>
      </c>
      <c r="G472" s="330"/>
      <c r="H472" s="331">
        <f t="shared" si="35"/>
        <v>3126.8408374330884</v>
      </c>
      <c r="I472" s="330"/>
      <c r="J472" s="1"/>
      <c r="K472" s="330"/>
      <c r="L472" s="1"/>
      <c r="M472" s="330"/>
      <c r="N472" s="330"/>
      <c r="O472" s="330"/>
      <c r="P472" s="330"/>
      <c r="Q472" s="329"/>
      <c r="R472" s="331">
        <f t="shared" si="36"/>
        <v>3161.1208179917885</v>
      </c>
      <c r="S472" s="331">
        <f t="shared" si="37"/>
        <v>3195.7435983560749</v>
      </c>
      <c r="T472" s="331">
        <f t="shared" si="38"/>
        <v>3230.7126065240054</v>
      </c>
      <c r="U472" s="331">
        <f t="shared" si="39"/>
        <v>3266.0313047736145</v>
      </c>
      <c r="V472" s="330"/>
      <c r="W472" s="330"/>
      <c r="X472" s="330"/>
      <c r="Y472" s="333"/>
      <c r="Z472"/>
      <c r="AA472"/>
      <c r="AB472"/>
    </row>
    <row r="473" spans="1:28" x14ac:dyDescent="0.25">
      <c r="A473" s="330"/>
      <c r="B473" s="332">
        <v>1.4857813344538404E-2</v>
      </c>
      <c r="C473" s="332">
        <v>-0.97959491655150921</v>
      </c>
      <c r="D473" s="332">
        <v>3.6016774908198359</v>
      </c>
      <c r="E473" s="332">
        <v>0.58604893342162367</v>
      </c>
      <c r="F473" s="332">
        <v>4.750695724156434E-2</v>
      </c>
      <c r="G473" s="330"/>
      <c r="H473" s="331">
        <f t="shared" si="35"/>
        <v>1791.6665426761206</v>
      </c>
      <c r="I473" s="330"/>
      <c r="J473" s="1"/>
      <c r="K473" s="330"/>
      <c r="L473" s="1"/>
      <c r="M473" s="330"/>
      <c r="N473" s="330"/>
      <c r="O473" s="330"/>
      <c r="P473" s="330"/>
      <c r="Q473" s="329"/>
      <c r="R473" s="331">
        <f t="shared" si="36"/>
        <v>1864.8653796088465</v>
      </c>
      <c r="S473" s="331">
        <f t="shared" si="37"/>
        <v>1938.7962049108992</v>
      </c>
      <c r="T473" s="331">
        <f t="shared" si="38"/>
        <v>2013.4663384659725</v>
      </c>
      <c r="U473" s="331">
        <f t="shared" si="39"/>
        <v>2088.8831733565962</v>
      </c>
      <c r="V473" s="330"/>
      <c r="W473" s="330"/>
      <c r="X473" s="330"/>
      <c r="Y473"/>
      <c r="Z473"/>
      <c r="AA473"/>
      <c r="AB473"/>
    </row>
    <row r="474" spans="1:28" x14ac:dyDescent="0.25">
      <c r="A474" s="330"/>
      <c r="B474" s="332"/>
      <c r="C474" s="332">
        <v>-5.847005767080353E-2</v>
      </c>
      <c r="D474" s="332">
        <v>0.13701205698098082</v>
      </c>
      <c r="E474" s="332">
        <v>0.19668293900220121</v>
      </c>
      <c r="F474" s="332">
        <v>5.0298330768728819E-2</v>
      </c>
      <c r="G474" s="330"/>
      <c r="H474" s="331">
        <f t="shared" si="35"/>
        <v>3314.0489942964273</v>
      </c>
      <c r="I474" s="330"/>
      <c r="J474" s="1"/>
      <c r="K474" s="330"/>
      <c r="L474" s="1"/>
      <c r="M474" s="330"/>
      <c r="N474" s="330"/>
      <c r="O474" s="330"/>
      <c r="P474" s="330"/>
      <c r="Q474" s="329"/>
      <c r="R474" s="331">
        <f t="shared" si="36"/>
        <v>3348.2331268277057</v>
      </c>
      <c r="S474" s="331">
        <f t="shared" si="37"/>
        <v>3382.7591006842968</v>
      </c>
      <c r="T474" s="331">
        <f t="shared" si="38"/>
        <v>3417.6303342794536</v>
      </c>
      <c r="U474" s="331">
        <f t="shared" si="39"/>
        <v>3452.8502802105618</v>
      </c>
      <c r="V474" s="330"/>
      <c r="W474" s="330"/>
      <c r="X474" s="330"/>
      <c r="Y474" s="333"/>
      <c r="Z474"/>
      <c r="AA474"/>
      <c r="AB474"/>
    </row>
    <row r="475" spans="1:28" x14ac:dyDescent="0.25">
      <c r="A475" s="330"/>
      <c r="B475" s="332">
        <v>9.8929460897292723E-3</v>
      </c>
      <c r="C475" s="332">
        <v>-0.7926158347896034</v>
      </c>
      <c r="D475" s="332">
        <v>3.9087559113613839</v>
      </c>
      <c r="E475" s="332">
        <v>0.54824067245154862</v>
      </c>
      <c r="F475" s="332">
        <v>1.2586055169580239E-2</v>
      </c>
      <c r="G475" s="330"/>
      <c r="H475" s="331">
        <f t="shared" si="35"/>
        <v>1761.0448707334431</v>
      </c>
      <c r="I475" s="330"/>
      <c r="J475" s="1"/>
      <c r="K475" s="330"/>
      <c r="L475" s="1"/>
      <c r="M475" s="330"/>
      <c r="N475" s="330"/>
      <c r="O475" s="330"/>
      <c r="P475" s="330"/>
      <c r="Q475" s="329"/>
      <c r="R475" s="331">
        <f t="shared" si="36"/>
        <v>1817.9698034705016</v>
      </c>
      <c r="S475" s="331">
        <f t="shared" si="37"/>
        <v>1875.463985534931</v>
      </c>
      <c r="T475" s="331">
        <f t="shared" si="38"/>
        <v>1933.5331094200048</v>
      </c>
      <c r="U475" s="331">
        <f t="shared" si="39"/>
        <v>1992.1829245439294</v>
      </c>
      <c r="V475" s="330"/>
      <c r="W475" s="330"/>
      <c r="X475" s="330"/>
      <c r="Y475" s="333"/>
      <c r="Z475"/>
      <c r="AA475"/>
      <c r="AB475"/>
    </row>
    <row r="476" spans="1:28" x14ac:dyDescent="0.25">
      <c r="A476" s="330"/>
      <c r="B476" s="332">
        <v>1.2694152049600746E-3</v>
      </c>
      <c r="C476" s="332">
        <v>4.1269669784951647E-2</v>
      </c>
      <c r="D476" s="332">
        <v>1.5601021154968764</v>
      </c>
      <c r="E476" s="332">
        <v>0.27789708141956104</v>
      </c>
      <c r="F476" s="332">
        <v>2.1943889076165273E-2</v>
      </c>
      <c r="G476" s="330"/>
      <c r="H476" s="331">
        <f t="shared" si="35"/>
        <v>3109.2199733615598</v>
      </c>
      <c r="I476" s="330"/>
      <c r="J476" s="1"/>
      <c r="K476" s="330"/>
      <c r="L476" s="1"/>
      <c r="M476" s="330"/>
      <c r="N476" s="330"/>
      <c r="O476" s="330"/>
      <c r="P476" s="330"/>
      <c r="Q476" s="329"/>
      <c r="R476" s="331">
        <f t="shared" si="36"/>
        <v>3142.8048440449074</v>
      </c>
      <c r="S476" s="331">
        <f t="shared" si="37"/>
        <v>3176.7255634350886</v>
      </c>
      <c r="T476" s="331">
        <f t="shared" si="38"/>
        <v>3210.9854900191722</v>
      </c>
      <c r="U476" s="331">
        <f t="shared" si="39"/>
        <v>3245.5880158690957</v>
      </c>
      <c r="V476" s="330"/>
      <c r="W476" s="330"/>
      <c r="X476" s="330"/>
      <c r="Y476"/>
      <c r="Z476"/>
      <c r="AA476"/>
      <c r="AB476"/>
    </row>
    <row r="477" spans="1:28" x14ac:dyDescent="0.25">
      <c r="A477" s="330"/>
      <c r="B477" s="332">
        <v>1.2590904044604962E-3</v>
      </c>
      <c r="C477" s="332">
        <v>4.1793160987598207E-2</v>
      </c>
      <c r="D477" s="332">
        <v>1.5541181080833539</v>
      </c>
      <c r="E477" s="332">
        <v>0.27694057555960827</v>
      </c>
      <c r="F477" s="332">
        <v>2.2138965124057379E-2</v>
      </c>
      <c r="G477" s="330"/>
      <c r="H477" s="331">
        <f t="shared" si="35"/>
        <v>3113.3334074769391</v>
      </c>
      <c r="I477" s="330"/>
      <c r="J477" s="1"/>
      <c r="K477" s="330"/>
      <c r="L477" s="1"/>
      <c r="M477" s="330"/>
      <c r="N477" s="330"/>
      <c r="O477" s="330"/>
      <c r="P477" s="330"/>
      <c r="Q477" s="329"/>
      <c r="R477" s="331">
        <f t="shared" si="36"/>
        <v>3146.923803064964</v>
      </c>
      <c r="S477" s="331">
        <f t="shared" si="37"/>
        <v>3180.8501026088688</v>
      </c>
      <c r="T477" s="331">
        <f t="shared" si="38"/>
        <v>3215.1156651482133</v>
      </c>
      <c r="U477" s="331">
        <f t="shared" si="39"/>
        <v>3249.7238833129504</v>
      </c>
      <c r="V477" s="330"/>
      <c r="W477" s="330"/>
      <c r="X477" s="330"/>
      <c r="Y477"/>
      <c r="Z477"/>
      <c r="AA477"/>
      <c r="AB477"/>
    </row>
    <row r="478" spans="1:28" x14ac:dyDescent="0.25">
      <c r="A478" s="330"/>
      <c r="B478" s="332">
        <v>1.1809239595299728E-3</v>
      </c>
      <c r="C478" s="332">
        <v>3.0487334076895769E-2</v>
      </c>
      <c r="D478" s="332">
        <v>1.1299251637413108</v>
      </c>
      <c r="E478" s="332">
        <v>0.24729087069308792</v>
      </c>
      <c r="F478" s="332">
        <v>3.4098244984000201E-2</v>
      </c>
      <c r="G478" s="330"/>
      <c r="H478" s="331">
        <f t="shared" si="35"/>
        <v>3264.2441581052121</v>
      </c>
      <c r="I478" s="330"/>
      <c r="J478" s="1"/>
      <c r="K478" s="330"/>
      <c r="L478" s="1"/>
      <c r="M478" s="330"/>
      <c r="N478" s="330"/>
      <c r="O478" s="330"/>
      <c r="P478" s="330"/>
      <c r="Q478" s="329"/>
      <c r="R478" s="331">
        <f t="shared" si="36"/>
        <v>3299.3466111422508</v>
      </c>
      <c r="S478" s="331">
        <f t="shared" si="37"/>
        <v>3334.80008870966</v>
      </c>
      <c r="T478" s="331">
        <f t="shared" si="38"/>
        <v>3370.6081010527432</v>
      </c>
      <c r="U478" s="331">
        <f t="shared" si="39"/>
        <v>3406.7741935192571</v>
      </c>
      <c r="V478" s="330"/>
      <c r="W478" s="330"/>
      <c r="X478" s="330"/>
      <c r="Y478" s="333"/>
      <c r="Z478"/>
      <c r="AA478"/>
      <c r="AB478"/>
    </row>
    <row r="479" spans="1:28" x14ac:dyDescent="0.25">
      <c r="A479" s="330"/>
      <c r="B479" s="332">
        <v>1.7097974787893817E-3</v>
      </c>
      <c r="C479" s="332">
        <v>4.0605670159693463E-2</v>
      </c>
      <c r="D479" s="332">
        <v>1.7319985686830515</v>
      </c>
      <c r="E479" s="332">
        <v>0.29696544423890286</v>
      </c>
      <c r="F479" s="332">
        <v>1.7998251650718562E-2</v>
      </c>
      <c r="G479" s="330"/>
      <c r="H479" s="331">
        <f t="shared" si="35"/>
        <v>3012.8616418432148</v>
      </c>
      <c r="I479" s="330"/>
      <c r="J479" s="1"/>
      <c r="K479" s="330"/>
      <c r="L479" s="1"/>
      <c r="M479" s="330"/>
      <c r="N479" s="330"/>
      <c r="O479" s="330"/>
      <c r="P479" s="330"/>
      <c r="Q479" s="329"/>
      <c r="R479" s="331">
        <f t="shared" si="36"/>
        <v>3046.6150817997</v>
      </c>
      <c r="S479" s="331">
        <f t="shared" si="37"/>
        <v>3080.706056155751</v>
      </c>
      <c r="T479" s="331">
        <f t="shared" si="38"/>
        <v>3115.1379402553621</v>
      </c>
      <c r="U479" s="331">
        <f t="shared" si="39"/>
        <v>3149.9141431959692</v>
      </c>
      <c r="V479" s="330"/>
      <c r="W479" s="330"/>
      <c r="X479" s="330"/>
      <c r="Y479"/>
      <c r="Z479"/>
      <c r="AA479"/>
      <c r="AB479"/>
    </row>
    <row r="480" spans="1:28" x14ac:dyDescent="0.25">
      <c r="A480" s="330"/>
      <c r="B480" s="332">
        <v>3.3811547772621144E-3</v>
      </c>
      <c r="C480" s="332">
        <v>-0.22787749594599419</v>
      </c>
      <c r="D480" s="332">
        <v>2.1438297544294591</v>
      </c>
      <c r="E480" s="332">
        <v>0.34862468390007173</v>
      </c>
      <c r="F480" s="332">
        <v>2.1459831315766804E-2</v>
      </c>
      <c r="G480" s="330"/>
      <c r="H480" s="331">
        <f t="shared" si="35"/>
        <v>2774.9182521862213</v>
      </c>
      <c r="I480" s="330"/>
      <c r="J480" s="1"/>
      <c r="K480" s="330"/>
      <c r="L480" s="1"/>
      <c r="M480" s="330"/>
      <c r="N480" s="330"/>
      <c r="O480" s="330"/>
      <c r="P480" s="330"/>
      <c r="Q480" s="329"/>
      <c r="R480" s="331">
        <f t="shared" si="36"/>
        <v>2815.3362750356096</v>
      </c>
      <c r="S480" s="331">
        <f t="shared" si="37"/>
        <v>2856.1584781134925</v>
      </c>
      <c r="T480" s="331">
        <f t="shared" si="38"/>
        <v>2897.3889032221537</v>
      </c>
      <c r="U480" s="331">
        <f t="shared" si="39"/>
        <v>2939.0316325819012</v>
      </c>
      <c r="V480" s="330"/>
      <c r="W480" s="330"/>
      <c r="X480" s="330"/>
      <c r="Y480" s="333"/>
      <c r="Z480"/>
      <c r="AA480"/>
      <c r="AB480"/>
    </row>
    <row r="481" spans="1:28" x14ac:dyDescent="0.25">
      <c r="A481" s="330"/>
      <c r="B481" s="332">
        <v>2.2130320161209997E-3</v>
      </c>
      <c r="C481" s="332">
        <v>-3.3860321594930819E-2</v>
      </c>
      <c r="D481" s="332">
        <v>1.7961558791630601</v>
      </c>
      <c r="E481" s="332">
        <v>0.29460165964046031</v>
      </c>
      <c r="F481" s="332">
        <v>2.4694026114837186E-2</v>
      </c>
      <c r="G481" s="330"/>
      <c r="H481" s="331">
        <f t="shared" si="35"/>
        <v>3085.3380227950038</v>
      </c>
      <c r="I481" s="330"/>
      <c r="J481" s="1"/>
      <c r="K481" s="330"/>
      <c r="L481" s="1"/>
      <c r="M481" s="330"/>
      <c r="N481" s="330"/>
      <c r="O481" s="330"/>
      <c r="P481" s="330"/>
      <c r="Q481" s="329"/>
      <c r="R481" s="331">
        <f t="shared" si="36"/>
        <v>3122.4255758214367</v>
      </c>
      <c r="S481" s="331">
        <f t="shared" si="37"/>
        <v>3159.8840043781343</v>
      </c>
      <c r="T481" s="331">
        <f t="shared" si="38"/>
        <v>3197.7170172203987</v>
      </c>
      <c r="U481" s="331">
        <f t="shared" si="39"/>
        <v>3235.9283601910856</v>
      </c>
      <c r="V481" s="330"/>
      <c r="W481" s="330"/>
      <c r="X481" s="330"/>
      <c r="Y481" s="333"/>
      <c r="Z481"/>
      <c r="AA481"/>
      <c r="AB481"/>
    </row>
    <row r="482" spans="1:28" x14ac:dyDescent="0.25">
      <c r="A482" s="330"/>
      <c r="B482" s="332">
        <v>1.3929464981512553E-2</v>
      </c>
      <c r="C482" s="332">
        <v>-0.4966748102737048</v>
      </c>
      <c r="D482" s="332">
        <v>3.5775004955167984</v>
      </c>
      <c r="E482" s="332">
        <v>0.5370447040046068</v>
      </c>
      <c r="F482" s="332">
        <v>3.8206662697213303E-2</v>
      </c>
      <c r="G482" s="330"/>
      <c r="H482" s="331">
        <f t="shared" si="35"/>
        <v>2192.7680597670665</v>
      </c>
      <c r="I482" s="330"/>
      <c r="J482" s="1"/>
      <c r="K482" s="330"/>
      <c r="L482" s="1"/>
      <c r="M482" s="330"/>
      <c r="N482" s="330"/>
      <c r="O482" s="330"/>
      <c r="P482" s="330"/>
      <c r="Q482" s="329"/>
      <c r="R482" s="331">
        <f t="shared" si="36"/>
        <v>2258.9965326593951</v>
      </c>
      <c r="S482" s="331">
        <f t="shared" si="37"/>
        <v>2325.8872902806479</v>
      </c>
      <c r="T482" s="331">
        <f t="shared" si="38"/>
        <v>2393.4469554781126</v>
      </c>
      <c r="U482" s="331">
        <f t="shared" si="39"/>
        <v>2461.6822173275518</v>
      </c>
      <c r="V482" s="330"/>
      <c r="W482" s="330"/>
      <c r="X482" s="330"/>
      <c r="Y482"/>
      <c r="Z482"/>
      <c r="AA482"/>
      <c r="AB482"/>
    </row>
    <row r="483" spans="1:28" x14ac:dyDescent="0.25">
      <c r="A483" s="330"/>
      <c r="B483" s="332">
        <v>1.7097974787893869E-3</v>
      </c>
      <c r="C483" s="332">
        <v>4.0605670159688377E-2</v>
      </c>
      <c r="D483" s="332">
        <v>1.7319985686830679</v>
      </c>
      <c r="E483" s="332">
        <v>0.29696544423890309</v>
      </c>
      <c r="F483" s="332">
        <v>1.7998251650718583E-2</v>
      </c>
      <c r="G483" s="330"/>
      <c r="H483" s="331">
        <f t="shared" si="35"/>
        <v>3012.8616418432161</v>
      </c>
      <c r="I483" s="330"/>
      <c r="J483" s="1"/>
      <c r="K483" s="330"/>
      <c r="L483" s="1"/>
      <c r="M483" s="330"/>
      <c r="N483" s="330"/>
      <c r="O483" s="330"/>
      <c r="P483" s="330"/>
      <c r="Q483" s="329"/>
      <c r="R483" s="331">
        <f t="shared" si="36"/>
        <v>3046.6150817997013</v>
      </c>
      <c r="S483" s="331">
        <f t="shared" si="37"/>
        <v>3080.7060561557523</v>
      </c>
      <c r="T483" s="331">
        <f t="shared" si="38"/>
        <v>3115.1379402553634</v>
      </c>
      <c r="U483" s="331">
        <f t="shared" si="39"/>
        <v>3149.9141431959706</v>
      </c>
      <c r="V483" s="330"/>
      <c r="W483" s="330"/>
      <c r="X483" s="330"/>
      <c r="Y483" s="333"/>
      <c r="Z483"/>
      <c r="AA483"/>
      <c r="AB483"/>
    </row>
    <row r="484" spans="1:28" x14ac:dyDescent="0.25">
      <c r="A484" s="330"/>
      <c r="B484" s="332">
        <v>1.283945843164846E-3</v>
      </c>
      <c r="C484" s="332">
        <v>3.8642868144344325E-2</v>
      </c>
      <c r="D484" s="332">
        <v>1.5649425021658143</v>
      </c>
      <c r="E484" s="332">
        <v>0.27735101230912346</v>
      </c>
      <c r="F484" s="332">
        <v>2.2275399141995646E-2</v>
      </c>
      <c r="G484" s="330"/>
      <c r="H484" s="331">
        <f t="shared" si="35"/>
        <v>3116.0781428448363</v>
      </c>
      <c r="I484" s="330"/>
      <c r="J484" s="1"/>
      <c r="K484" s="330"/>
      <c r="L484" s="1"/>
      <c r="M484" s="330"/>
      <c r="N484" s="330"/>
      <c r="O484" s="330"/>
      <c r="P484" s="330"/>
      <c r="Q484" s="329"/>
      <c r="R484" s="331">
        <f t="shared" si="36"/>
        <v>3149.8154463740043</v>
      </c>
      <c r="S484" s="331">
        <f t="shared" si="37"/>
        <v>3183.8901229384628</v>
      </c>
      <c r="T484" s="331">
        <f t="shared" si="38"/>
        <v>3218.305546268567</v>
      </c>
      <c r="U484" s="331">
        <f t="shared" si="39"/>
        <v>3253.0651238319715</v>
      </c>
      <c r="V484" s="330"/>
      <c r="W484" s="330"/>
      <c r="X484" s="330"/>
      <c r="Y484"/>
      <c r="Z484"/>
      <c r="AA484"/>
      <c r="AB484"/>
    </row>
    <row r="485" spans="1:28" x14ac:dyDescent="0.25">
      <c r="A485" s="330"/>
      <c r="B485" s="332">
        <v>1.1527334189780629E-3</v>
      </c>
      <c r="C485" s="332">
        <v>4.7935480444934335E-2</v>
      </c>
      <c r="D485" s="332">
        <v>1.5058584174920953</v>
      </c>
      <c r="E485" s="332">
        <v>0.26634640935270099</v>
      </c>
      <c r="F485" s="332">
        <v>2.3800397747364768E-2</v>
      </c>
      <c r="G485" s="330"/>
      <c r="H485" s="331">
        <f t="shared" si="35"/>
        <v>3144.9136225957177</v>
      </c>
      <c r="I485" s="330"/>
      <c r="J485" s="1"/>
      <c r="K485" s="330"/>
      <c r="L485" s="1"/>
      <c r="M485" s="330"/>
      <c r="N485" s="330"/>
      <c r="O485" s="330"/>
      <c r="P485" s="330"/>
      <c r="Q485" s="329"/>
      <c r="R485" s="331">
        <f t="shared" si="36"/>
        <v>3178.4396204694231</v>
      </c>
      <c r="S485" s="331">
        <f t="shared" si="37"/>
        <v>3212.3008783218661</v>
      </c>
      <c r="T485" s="331">
        <f t="shared" si="38"/>
        <v>3246.5007487528333</v>
      </c>
      <c r="U485" s="331">
        <f t="shared" si="39"/>
        <v>3281.0426178881103</v>
      </c>
      <c r="V485" s="330"/>
      <c r="W485" s="330"/>
      <c r="X485" s="330"/>
      <c r="Y485"/>
      <c r="Z485"/>
      <c r="AA485"/>
      <c r="AB485"/>
    </row>
    <row r="486" spans="1:28" x14ac:dyDescent="0.25">
      <c r="A486" s="330"/>
      <c r="B486" s="332">
        <v>1.2748684711434079E-3</v>
      </c>
      <c r="C486" s="332">
        <v>4.1437357349268122E-2</v>
      </c>
      <c r="D486" s="332">
        <v>1.554428332712529</v>
      </c>
      <c r="E486" s="332">
        <v>0.27794997671765537</v>
      </c>
      <c r="F486" s="332">
        <v>2.2077326939197742E-2</v>
      </c>
      <c r="G486" s="330"/>
      <c r="H486" s="331">
        <f t="shared" si="35"/>
        <v>3111.2668440112298</v>
      </c>
      <c r="I486" s="330"/>
      <c r="J486" s="1"/>
      <c r="K486" s="330"/>
      <c r="L486" s="1"/>
      <c r="M486" s="330"/>
      <c r="N486" s="330"/>
      <c r="O486" s="330"/>
      <c r="P486" s="330"/>
      <c r="Q486" s="329"/>
      <c r="R486" s="331">
        <f t="shared" si="36"/>
        <v>3144.8830630313641</v>
      </c>
      <c r="S486" s="331">
        <f t="shared" si="37"/>
        <v>3178.8354442416994</v>
      </c>
      <c r="T486" s="331">
        <f t="shared" si="38"/>
        <v>3213.127349264138</v>
      </c>
      <c r="U486" s="331">
        <f t="shared" si="39"/>
        <v>3247.762173336801</v>
      </c>
      <c r="V486" s="330"/>
      <c r="W486" s="330"/>
      <c r="X486" s="330"/>
      <c r="Y486" s="333"/>
      <c r="Z486"/>
      <c r="AA486"/>
      <c r="AB486"/>
    </row>
    <row r="487" spans="1:28" x14ac:dyDescent="0.25">
      <c r="A487" s="330"/>
      <c r="B487" s="332">
        <v>2.229252299275869E-3</v>
      </c>
      <c r="C487" s="332">
        <v>5.7581043901240608E-2</v>
      </c>
      <c r="D487" s="332">
        <v>1.5592565488706871</v>
      </c>
      <c r="E487" s="332">
        <v>0.28844599178884817</v>
      </c>
      <c r="F487" s="332">
        <v>2.5980010556831343E-2</v>
      </c>
      <c r="G487" s="330"/>
      <c r="H487" s="331">
        <f t="shared" si="35"/>
        <v>3134.4212627886864</v>
      </c>
      <c r="I487" s="330"/>
      <c r="J487" s="1"/>
      <c r="K487" s="330"/>
      <c r="L487" s="1"/>
      <c r="M487" s="330"/>
      <c r="N487" s="330"/>
      <c r="O487" s="330"/>
      <c r="P487" s="330"/>
      <c r="Q487" s="329"/>
      <c r="R487" s="331">
        <f t="shared" si="36"/>
        <v>3170.4087580464475</v>
      </c>
      <c r="S487" s="331">
        <f t="shared" si="37"/>
        <v>3206.7561282567872</v>
      </c>
      <c r="T487" s="331">
        <f t="shared" si="38"/>
        <v>3243.4669721692308</v>
      </c>
      <c r="U487" s="331">
        <f t="shared" si="39"/>
        <v>3280.5449245207974</v>
      </c>
      <c r="V487" s="330"/>
      <c r="W487" s="330"/>
      <c r="X487" s="330"/>
      <c r="Y487" s="333"/>
      <c r="Z487"/>
      <c r="AA487"/>
      <c r="AB487"/>
    </row>
    <row r="488" spans="1:28" x14ac:dyDescent="0.25">
      <c r="A488" s="330"/>
      <c r="B488" s="332">
        <v>5.6201335402192555E-2</v>
      </c>
      <c r="C488" s="332">
        <v>-2.1392171606976462</v>
      </c>
      <c r="D488" s="332">
        <v>1.5235340622613911</v>
      </c>
      <c r="E488" s="332">
        <v>1.5731394660731981</v>
      </c>
      <c r="F488" s="332">
        <v>0.16012494405684466</v>
      </c>
      <c r="G488" s="330"/>
      <c r="H488" s="331">
        <f t="shared" si="35"/>
        <v>-1684.4269915813138</v>
      </c>
      <c r="I488" s="330"/>
      <c r="J488" s="1"/>
      <c r="K488" s="330"/>
      <c r="L488" s="1"/>
      <c r="M488" s="330"/>
      <c r="N488" s="330"/>
      <c r="O488" s="330"/>
      <c r="P488" s="330"/>
      <c r="Q488" s="329"/>
      <c r="R488" s="331">
        <f t="shared" si="36"/>
        <v>-1520.1158457691927</v>
      </c>
      <c r="S488" s="331">
        <f t="shared" si="37"/>
        <v>-1354.1615884989478</v>
      </c>
      <c r="T488" s="331">
        <f t="shared" si="38"/>
        <v>-1186.547788656002</v>
      </c>
      <c r="U488" s="331">
        <f t="shared" si="39"/>
        <v>-1017.2578508146262</v>
      </c>
      <c r="V488" s="330"/>
      <c r="W488" s="330"/>
      <c r="X488" s="330"/>
      <c r="Y488" s="333"/>
      <c r="Z488"/>
      <c r="AA488"/>
      <c r="AB488"/>
    </row>
    <row r="489" spans="1:28" x14ac:dyDescent="0.25">
      <c r="A489" s="330"/>
      <c r="B489" s="332">
        <v>1.4768408110999065E-3</v>
      </c>
      <c r="C489" s="332">
        <v>9.2692225626945748E-2</v>
      </c>
      <c r="D489" s="332"/>
      <c r="E489" s="332">
        <v>0.19342571906796793</v>
      </c>
      <c r="F489" s="332">
        <v>5.5819318699616732E-2</v>
      </c>
      <c r="G489" s="330"/>
      <c r="H489" s="331">
        <f t="shared" si="35"/>
        <v>3366.2256652050455</v>
      </c>
      <c r="I489" s="330"/>
      <c r="J489" s="1"/>
      <c r="K489" s="330"/>
      <c r="L489" s="1"/>
      <c r="M489" s="330"/>
      <c r="N489" s="330"/>
      <c r="O489" s="330"/>
      <c r="P489" s="330"/>
      <c r="Q489" s="329"/>
      <c r="R489" s="331">
        <f t="shared" si="36"/>
        <v>3401.9904181279489</v>
      </c>
      <c r="S489" s="331">
        <f t="shared" si="37"/>
        <v>3438.1128185800808</v>
      </c>
      <c r="T489" s="331">
        <f t="shared" si="38"/>
        <v>3474.5964430367344</v>
      </c>
      <c r="U489" s="331">
        <f t="shared" si="39"/>
        <v>3511.4449037379545</v>
      </c>
      <c r="V489" s="330"/>
      <c r="W489" s="330"/>
      <c r="X489" s="330"/>
      <c r="Y489" s="333"/>
      <c r="Z489"/>
      <c r="AA489"/>
      <c r="AB489"/>
    </row>
    <row r="490" spans="1:28" x14ac:dyDescent="0.25">
      <c r="A490" s="330"/>
      <c r="B490" s="332">
        <v>5.9660947005331648E-4</v>
      </c>
      <c r="C490" s="332">
        <v>8.2688422189915428E-2</v>
      </c>
      <c r="D490" s="332">
        <v>0.35307504504582515</v>
      </c>
      <c r="E490" s="332">
        <v>0.18612152163070125</v>
      </c>
      <c r="F490" s="332">
        <v>4.7656769436874323E-2</v>
      </c>
      <c r="G490" s="330"/>
      <c r="H490" s="331">
        <f t="shared" si="35"/>
        <v>3362.8808985474493</v>
      </c>
      <c r="I490" s="330"/>
      <c r="J490" s="1"/>
      <c r="K490" s="330"/>
      <c r="L490" s="1"/>
      <c r="M490" s="330"/>
      <c r="N490" s="330"/>
      <c r="O490" s="330"/>
      <c r="P490" s="330"/>
      <c r="Q490" s="329"/>
      <c r="R490" s="331">
        <f t="shared" si="36"/>
        <v>3396.5515184530295</v>
      </c>
      <c r="S490" s="331">
        <f t="shared" si="37"/>
        <v>3430.558844557665</v>
      </c>
      <c r="T490" s="331">
        <f t="shared" si="38"/>
        <v>3464.9062439233467</v>
      </c>
      <c r="U490" s="331">
        <f t="shared" si="39"/>
        <v>3499.5971172826858</v>
      </c>
      <c r="V490" s="330"/>
      <c r="W490" s="330"/>
      <c r="X490" s="330"/>
      <c r="Y490"/>
      <c r="Z490"/>
      <c r="AA490"/>
      <c r="AB490"/>
    </row>
    <row r="491" spans="1:28" x14ac:dyDescent="0.25">
      <c r="A491" s="330"/>
      <c r="B491" s="332"/>
      <c r="C491" s="332">
        <v>9.5682898223509699E-2</v>
      </c>
      <c r="D491" s="332">
        <v>0.23464856547750179</v>
      </c>
      <c r="E491" s="332">
        <v>0.14688258698321643</v>
      </c>
      <c r="F491" s="332">
        <v>4.9805379954198453E-2</v>
      </c>
      <c r="G491" s="330"/>
      <c r="H491" s="331">
        <f t="shared" si="35"/>
        <v>3364.4195300414394</v>
      </c>
      <c r="I491" s="330"/>
      <c r="J491" s="1"/>
      <c r="K491" s="330"/>
      <c r="L491" s="1"/>
      <c r="M491" s="330"/>
      <c r="N491" s="330"/>
      <c r="O491" s="330"/>
      <c r="P491" s="330"/>
      <c r="Q491" s="329"/>
      <c r="R491" s="331">
        <f t="shared" si="36"/>
        <v>3396.3558640614428</v>
      </c>
      <c r="S491" s="331">
        <f t="shared" si="37"/>
        <v>3428.6115614216469</v>
      </c>
      <c r="T491" s="331">
        <f t="shared" si="38"/>
        <v>3461.1898157554529</v>
      </c>
      <c r="U491" s="331">
        <f t="shared" si="39"/>
        <v>3494.0938526325963</v>
      </c>
      <c r="V491" s="330"/>
      <c r="W491" s="330"/>
      <c r="X491" s="330"/>
      <c r="Y491" s="333"/>
      <c r="Z491"/>
      <c r="AA491"/>
      <c r="AB491"/>
    </row>
    <row r="492" spans="1:28" x14ac:dyDescent="0.25">
      <c r="A492" s="330"/>
      <c r="B492" s="332">
        <v>1.3631252220142277E-3</v>
      </c>
      <c r="C492" s="332">
        <v>4.8857332418721797E-2</v>
      </c>
      <c r="D492" s="332">
        <v>1.4927003340040252</v>
      </c>
      <c r="E492" s="332">
        <v>0.27024300142043589</v>
      </c>
      <c r="F492" s="332">
        <v>2.4981440965845671E-2</v>
      </c>
      <c r="G492" s="330"/>
      <c r="H492" s="331">
        <f t="shared" si="35"/>
        <v>3160.0659865517764</v>
      </c>
      <c r="I492" s="330"/>
      <c r="J492" s="1"/>
      <c r="K492" s="330"/>
      <c r="L492" s="1"/>
      <c r="M492" s="330"/>
      <c r="N492" s="330"/>
      <c r="O492" s="330"/>
      <c r="P492" s="330"/>
      <c r="Q492" s="329"/>
      <c r="R492" s="331">
        <f t="shared" si="36"/>
        <v>3194.2622753343294</v>
      </c>
      <c r="S492" s="331">
        <f t="shared" si="37"/>
        <v>3228.8005270047088</v>
      </c>
      <c r="T492" s="331">
        <f t="shared" si="38"/>
        <v>3263.6841611917912</v>
      </c>
      <c r="U492" s="331">
        <f t="shared" si="39"/>
        <v>3298.9166317207446</v>
      </c>
      <c r="V492" s="330"/>
      <c r="W492" s="330"/>
      <c r="X492" s="330"/>
      <c r="Y492" s="333"/>
      <c r="Z492"/>
      <c r="AA492"/>
      <c r="AB492"/>
    </row>
    <row r="493" spans="1:28" x14ac:dyDescent="0.25">
      <c r="A493" s="330"/>
      <c r="B493" s="332">
        <v>1.716915520785275E-3</v>
      </c>
      <c r="C493" s="332">
        <v>4.3676927402304715E-2</v>
      </c>
      <c r="D493" s="332">
        <v>1.5463415855782281</v>
      </c>
      <c r="E493" s="332">
        <v>0.27217920574382798</v>
      </c>
      <c r="F493" s="332">
        <v>2.6832719655262856E-2</v>
      </c>
      <c r="G493" s="330"/>
      <c r="H493" s="331">
        <f t="shared" si="35"/>
        <v>3187.2574235194834</v>
      </c>
      <c r="I493" s="330"/>
      <c r="J493" s="1"/>
      <c r="K493" s="330"/>
      <c r="L493" s="1"/>
      <c r="M493" s="330"/>
      <c r="N493" s="330"/>
      <c r="O493" s="330"/>
      <c r="P493" s="330"/>
      <c r="Q493" s="329"/>
      <c r="R493" s="331">
        <f t="shared" si="36"/>
        <v>3222.718109654561</v>
      </c>
      <c r="S493" s="331">
        <f t="shared" si="37"/>
        <v>3258.533402650989</v>
      </c>
      <c r="T493" s="331">
        <f t="shared" si="38"/>
        <v>3294.7068485773816</v>
      </c>
      <c r="U493" s="331">
        <f t="shared" si="39"/>
        <v>3331.2420289630381</v>
      </c>
      <c r="V493" s="330"/>
      <c r="W493" s="330"/>
      <c r="X493" s="330"/>
      <c r="Y493" s="333"/>
      <c r="Z493"/>
      <c r="AA493"/>
      <c r="AB493"/>
    </row>
    <row r="494" spans="1:28" x14ac:dyDescent="0.25">
      <c r="A494" s="330"/>
      <c r="B494" s="332">
        <v>1.7414199516544596E-3</v>
      </c>
      <c r="C494" s="332">
        <v>7.6858988868893238E-2</v>
      </c>
      <c r="D494" s="332">
        <v>1.8730107753034844</v>
      </c>
      <c r="E494" s="332">
        <v>0.26040788657055036</v>
      </c>
      <c r="F494" s="332">
        <v>1.7100652338212709E-2</v>
      </c>
      <c r="G494" s="330"/>
      <c r="H494" s="331">
        <f t="shared" si="35"/>
        <v>2920.0184787613744</v>
      </c>
      <c r="I494" s="330"/>
      <c r="J494" s="1"/>
      <c r="K494" s="330"/>
      <c r="L494" s="1"/>
      <c r="M494" s="330"/>
      <c r="N494" s="330"/>
      <c r="O494" s="330"/>
      <c r="P494" s="330"/>
      <c r="Q494" s="329"/>
      <c r="R494" s="331">
        <f t="shared" si="36"/>
        <v>2952.2768403631244</v>
      </c>
      <c r="S494" s="331">
        <f t="shared" si="37"/>
        <v>2984.8577855808926</v>
      </c>
      <c r="T494" s="331">
        <f t="shared" si="38"/>
        <v>3017.7645402508383</v>
      </c>
      <c r="U494" s="331">
        <f t="shared" si="39"/>
        <v>3051.0003624674841</v>
      </c>
      <c r="V494" s="330"/>
      <c r="W494" s="330"/>
      <c r="X494" s="330"/>
      <c r="Y494"/>
      <c r="Z494"/>
      <c r="AA494"/>
      <c r="AB494"/>
    </row>
    <row r="495" spans="1:28" x14ac:dyDescent="0.25">
      <c r="A495" s="330"/>
      <c r="B495" s="332">
        <v>3.882980218668306E-3</v>
      </c>
      <c r="C495" s="332">
        <v>-0.27999906910082673</v>
      </c>
      <c r="D495" s="332">
        <v>2.1891788824262357</v>
      </c>
      <c r="E495" s="332">
        <v>0.3636422954934464</v>
      </c>
      <c r="F495" s="332">
        <v>2.2533925479812082E-2</v>
      </c>
      <c r="G495" s="330"/>
      <c r="H495" s="331">
        <f t="shared" si="35"/>
        <v>2707.9914040682606</v>
      </c>
      <c r="I495" s="330"/>
      <c r="J495" s="1"/>
      <c r="K495" s="330"/>
      <c r="L495" s="1"/>
      <c r="M495" s="330"/>
      <c r="N495" s="330"/>
      <c r="O495" s="330"/>
      <c r="P495" s="330"/>
      <c r="Q495" s="329"/>
      <c r="R495" s="331">
        <f t="shared" si="36"/>
        <v>2749.9470935072632</v>
      </c>
      <c r="S495" s="331">
        <f t="shared" si="37"/>
        <v>2792.3223398406567</v>
      </c>
      <c r="T495" s="331">
        <f t="shared" si="38"/>
        <v>2835.1213386373838</v>
      </c>
      <c r="U495" s="331">
        <f t="shared" si="39"/>
        <v>2878.348327422078</v>
      </c>
      <c r="V495" s="330"/>
      <c r="W495" s="330"/>
      <c r="X495" s="330"/>
      <c r="Y495" s="333"/>
      <c r="Z495"/>
      <c r="AA495"/>
      <c r="AB495"/>
    </row>
    <row r="496" spans="1:28" x14ac:dyDescent="0.25">
      <c r="A496" s="330"/>
      <c r="B496" s="332"/>
      <c r="C496" s="332">
        <v>7.4109705261058978E-2</v>
      </c>
      <c r="D496" s="332"/>
      <c r="E496" s="332">
        <v>0.17659141297685527</v>
      </c>
      <c r="F496" s="332">
        <v>5.1095170980175818E-2</v>
      </c>
      <c r="G496" s="330"/>
      <c r="H496" s="331">
        <f t="shared" si="35"/>
        <v>3403.6571644984083</v>
      </c>
      <c r="I496" s="330"/>
      <c r="J496" s="1"/>
      <c r="K496" s="330"/>
      <c r="L496" s="1"/>
      <c r="M496" s="330"/>
      <c r="N496" s="330"/>
      <c r="O496" s="330"/>
      <c r="P496" s="330"/>
      <c r="Q496" s="329"/>
      <c r="R496" s="331">
        <f t="shared" si="36"/>
        <v>3436.3709386689434</v>
      </c>
      <c r="S496" s="331">
        <f t="shared" si="37"/>
        <v>3469.4118505811839</v>
      </c>
      <c r="T496" s="331">
        <f t="shared" si="38"/>
        <v>3502.7831716125465</v>
      </c>
      <c r="U496" s="331">
        <f t="shared" si="39"/>
        <v>3536.4882058542235</v>
      </c>
      <c r="V496" s="330"/>
      <c r="W496" s="330"/>
      <c r="X496" s="330"/>
      <c r="Y496" s="333"/>
      <c r="Z496"/>
      <c r="AA496"/>
      <c r="AB496"/>
    </row>
    <row r="497" spans="1:28" x14ac:dyDescent="0.25">
      <c r="A497" s="330"/>
      <c r="B497" s="332">
        <v>1.7851412659650409E-3</v>
      </c>
      <c r="C497" s="332">
        <v>5.8817812081974646E-2</v>
      </c>
      <c r="D497" s="332">
        <v>1.2897047375612385</v>
      </c>
      <c r="E497" s="332">
        <v>0.26352328684368176</v>
      </c>
      <c r="F497" s="332">
        <v>3.1527177934786967E-2</v>
      </c>
      <c r="G497" s="330"/>
      <c r="H497" s="331">
        <f t="shared" si="35"/>
        <v>3219.5424905631517</v>
      </c>
      <c r="I497" s="330"/>
      <c r="J497" s="1"/>
      <c r="K497" s="330"/>
      <c r="L497" s="1"/>
      <c r="M497" s="330"/>
      <c r="N497" s="330"/>
      <c r="O497" s="330"/>
      <c r="P497" s="330"/>
      <c r="Q497" s="329"/>
      <c r="R497" s="331">
        <f t="shared" si="36"/>
        <v>3255.229336366087</v>
      </c>
      <c r="S497" s="331">
        <f t="shared" si="37"/>
        <v>3291.2730506270518</v>
      </c>
      <c r="T497" s="331">
        <f t="shared" si="38"/>
        <v>3327.6772020306266</v>
      </c>
      <c r="U497" s="331">
        <f t="shared" si="39"/>
        <v>3364.4453949482368</v>
      </c>
      <c r="V497" s="330"/>
      <c r="W497" s="330"/>
      <c r="X497" s="330"/>
      <c r="Y497" s="333"/>
      <c r="Z497"/>
      <c r="AA497"/>
      <c r="AB497"/>
    </row>
    <row r="498" spans="1:28" x14ac:dyDescent="0.25">
      <c r="A498" s="330"/>
      <c r="B498" s="332"/>
      <c r="C498" s="332">
        <v>-5.8470057670803093E-2</v>
      </c>
      <c r="D498" s="332">
        <v>0.13701205698098079</v>
      </c>
      <c r="E498" s="332">
        <v>0.19668293900220113</v>
      </c>
      <c r="F498" s="332">
        <v>5.029833076872884E-2</v>
      </c>
      <c r="G498" s="330"/>
      <c r="H498" s="331">
        <f t="shared" si="35"/>
        <v>3314.0489942964286</v>
      </c>
      <c r="I498" s="330"/>
      <c r="J498" s="1"/>
      <c r="K498" s="330"/>
      <c r="L498" s="1"/>
      <c r="M498" s="330"/>
      <c r="N498" s="330"/>
      <c r="O498" s="330"/>
      <c r="P498" s="330"/>
      <c r="Q498" s="329"/>
      <c r="R498" s="331">
        <f t="shared" si="36"/>
        <v>3348.2331268277067</v>
      </c>
      <c r="S498" s="331">
        <f t="shared" si="37"/>
        <v>3382.7591006842977</v>
      </c>
      <c r="T498" s="331">
        <f t="shared" si="38"/>
        <v>3417.6303342794545</v>
      </c>
      <c r="U498" s="331">
        <f t="shared" si="39"/>
        <v>3452.8502802105631</v>
      </c>
      <c r="V498" s="330"/>
      <c r="W498" s="330"/>
      <c r="X498" s="330"/>
      <c r="Y498" s="333"/>
      <c r="Z498"/>
      <c r="AA498"/>
      <c r="AB498"/>
    </row>
    <row r="499" spans="1:28" x14ac:dyDescent="0.25">
      <c r="A499" s="330"/>
      <c r="B499" s="332"/>
      <c r="C499" s="332">
        <v>7.4109705261062031E-2</v>
      </c>
      <c r="D499" s="332"/>
      <c r="E499" s="332">
        <v>0.17659141297685504</v>
      </c>
      <c r="F499" s="332">
        <v>5.1095170980175672E-2</v>
      </c>
      <c r="G499" s="330"/>
      <c r="H499" s="331">
        <f t="shared" si="35"/>
        <v>3403.657164498406</v>
      </c>
      <c r="I499" s="330"/>
      <c r="J499" s="1"/>
      <c r="K499" s="330"/>
      <c r="L499" s="1"/>
      <c r="M499" s="330"/>
      <c r="N499" s="330"/>
      <c r="O499" s="330"/>
      <c r="P499" s="330"/>
      <c r="Q499" s="329"/>
      <c r="R499" s="331">
        <f t="shared" si="36"/>
        <v>3436.3709386689407</v>
      </c>
      <c r="S499" s="331">
        <f t="shared" si="37"/>
        <v>3469.4118505811812</v>
      </c>
      <c r="T499" s="331">
        <f t="shared" si="38"/>
        <v>3502.7831716125443</v>
      </c>
      <c r="U499" s="331">
        <f t="shared" si="39"/>
        <v>3536.4882058542207</v>
      </c>
      <c r="V499" s="330"/>
      <c r="W499" s="330"/>
      <c r="X499" s="330"/>
      <c r="Y499" s="333"/>
      <c r="Z499"/>
      <c r="AA499"/>
      <c r="AB499"/>
    </row>
    <row r="500" spans="1:28" x14ac:dyDescent="0.25">
      <c r="A500" s="330"/>
      <c r="B500" s="332">
        <v>8.7458151688043139E-4</v>
      </c>
      <c r="C500" s="332">
        <v>4.2533572438691235E-2</v>
      </c>
      <c r="D500" s="332">
        <v>1.2385599452684339</v>
      </c>
      <c r="E500" s="332">
        <v>0.25375563978513904</v>
      </c>
      <c r="F500" s="332">
        <v>2.8204523877609008E-2</v>
      </c>
      <c r="G500" s="330"/>
      <c r="H500" s="331">
        <f t="shared" si="35"/>
        <v>3188.6553262330099</v>
      </c>
      <c r="I500" s="330"/>
      <c r="J500" s="1"/>
      <c r="K500" s="330"/>
      <c r="L500" s="1"/>
      <c r="M500" s="330"/>
      <c r="N500" s="330"/>
      <c r="O500" s="330"/>
      <c r="P500" s="330"/>
      <c r="Q500" s="329"/>
      <c r="R500" s="331">
        <f t="shared" si="36"/>
        <v>3222.007562396253</v>
      </c>
      <c r="S500" s="331">
        <f t="shared" si="37"/>
        <v>3255.6933209211297</v>
      </c>
      <c r="T500" s="331">
        <f t="shared" si="38"/>
        <v>3289.7159370312547</v>
      </c>
      <c r="U500" s="331">
        <f t="shared" si="39"/>
        <v>3324.0787793024811</v>
      </c>
      <c r="V500" s="330"/>
      <c r="W500" s="330"/>
      <c r="X500" s="330"/>
      <c r="Y500" s="333"/>
      <c r="Z500"/>
      <c r="AA500"/>
      <c r="AB500"/>
    </row>
    <row r="501" spans="1:28" x14ac:dyDescent="0.25">
      <c r="A501" s="330"/>
      <c r="B501" s="332">
        <v>4.4659880407496485E-4</v>
      </c>
      <c r="C501" s="332">
        <v>7.4275108327284373E-2</v>
      </c>
      <c r="D501" s="332"/>
      <c r="E501" s="332">
        <v>0.18412245347754874</v>
      </c>
      <c r="F501" s="332">
        <v>5.2608069082561014E-2</v>
      </c>
      <c r="G501" s="330"/>
      <c r="H501" s="331">
        <f t="shared" si="35"/>
        <v>3399.1618025199518</v>
      </c>
      <c r="I501" s="330"/>
      <c r="J501" s="1"/>
      <c r="K501" s="330"/>
      <c r="L501" s="1"/>
      <c r="M501" s="330"/>
      <c r="N501" s="330"/>
      <c r="O501" s="330"/>
      <c r="P501" s="330"/>
      <c r="Q501" s="329"/>
      <c r="R501" s="331">
        <f t="shared" si="36"/>
        <v>3432.9637859055701</v>
      </c>
      <c r="S501" s="331">
        <f t="shared" si="37"/>
        <v>3467.1037891250453</v>
      </c>
      <c r="T501" s="331">
        <f t="shared" si="38"/>
        <v>3501.5851923767145</v>
      </c>
      <c r="U501" s="331">
        <f t="shared" si="39"/>
        <v>3536.411409660901</v>
      </c>
      <c r="V501" s="330"/>
      <c r="W501" s="330"/>
      <c r="X501" s="330"/>
      <c r="Y501" s="333"/>
      <c r="Z501"/>
      <c r="AA501"/>
      <c r="AB501"/>
    </row>
    <row r="502" spans="1:28" x14ac:dyDescent="0.25">
      <c r="A502" s="330"/>
      <c r="B502" s="332">
        <v>1.2748684711434023E-3</v>
      </c>
      <c r="C502" s="332">
        <v>4.1437357349268469E-2</v>
      </c>
      <c r="D502" s="332">
        <v>1.5544283327125417</v>
      </c>
      <c r="E502" s="332">
        <v>0.27794997671765465</v>
      </c>
      <c r="F502" s="332">
        <v>2.2077326939197645E-2</v>
      </c>
      <c r="G502" s="330"/>
      <c r="H502" s="331">
        <f t="shared" si="35"/>
        <v>3111.2668440112311</v>
      </c>
      <c r="I502" s="330"/>
      <c r="J502" s="1"/>
      <c r="K502" s="330"/>
      <c r="L502" s="1"/>
      <c r="M502" s="330"/>
      <c r="N502" s="330"/>
      <c r="O502" s="330"/>
      <c r="P502" s="330"/>
      <c r="Q502" s="329"/>
      <c r="R502" s="331">
        <f t="shared" si="36"/>
        <v>3144.8830630313651</v>
      </c>
      <c r="S502" s="331">
        <f t="shared" si="37"/>
        <v>3178.8354442417003</v>
      </c>
      <c r="T502" s="331">
        <f t="shared" si="38"/>
        <v>3213.1273492641394</v>
      </c>
      <c r="U502" s="331">
        <f t="shared" si="39"/>
        <v>3247.7621733368023</v>
      </c>
      <c r="V502" s="330"/>
      <c r="W502" s="330"/>
      <c r="X502" s="330"/>
      <c r="Y502" s="333"/>
      <c r="Z502"/>
      <c r="AA502"/>
      <c r="AB502"/>
    </row>
    <row r="503" spans="1:28" x14ac:dyDescent="0.25">
      <c r="A503" s="330"/>
      <c r="B503" s="332">
        <v>3.8829802186683554E-3</v>
      </c>
      <c r="C503" s="332">
        <v>-0.27999906910083217</v>
      </c>
      <c r="D503" s="332">
        <v>2.1891788824262326</v>
      </c>
      <c r="E503" s="332">
        <v>0.36364229549344884</v>
      </c>
      <c r="F503" s="332">
        <v>2.2533925479812107E-2</v>
      </c>
      <c r="G503" s="330"/>
      <c r="H503" s="331">
        <f t="shared" si="35"/>
        <v>2707.9914040682502</v>
      </c>
      <c r="I503" s="330"/>
      <c r="J503" s="1"/>
      <c r="K503" s="330"/>
      <c r="L503" s="1"/>
      <c r="M503" s="330"/>
      <c r="N503" s="330"/>
      <c r="O503" s="330"/>
      <c r="P503" s="330"/>
      <c r="Q503" s="329"/>
      <c r="R503" s="331">
        <f t="shared" si="36"/>
        <v>2749.9470935072532</v>
      </c>
      <c r="S503" s="331">
        <f t="shared" si="37"/>
        <v>2792.3223398406467</v>
      </c>
      <c r="T503" s="331">
        <f t="shared" si="38"/>
        <v>2835.1213386373743</v>
      </c>
      <c r="U503" s="331">
        <f t="shared" si="39"/>
        <v>2878.348327422068</v>
      </c>
      <c r="V503" s="330"/>
      <c r="W503" s="330"/>
      <c r="X503" s="330"/>
      <c r="Y503" s="333"/>
      <c r="Z503"/>
      <c r="AA503"/>
      <c r="AB503"/>
    </row>
    <row r="504" spans="1:28" x14ac:dyDescent="0.25">
      <c r="A504" s="330"/>
      <c r="B504" s="332">
        <v>7.3566418006852468E-4</v>
      </c>
      <c r="C504" s="332">
        <v>4.7538940649168304E-2</v>
      </c>
      <c r="D504" s="332">
        <v>1.3397262524656013</v>
      </c>
      <c r="E504" s="332">
        <v>0.25204061594753874</v>
      </c>
      <c r="F504" s="332">
        <v>2.5494172380065568E-2</v>
      </c>
      <c r="G504" s="330"/>
      <c r="H504" s="331">
        <f t="shared" si="35"/>
        <v>3157.7695988939413</v>
      </c>
      <c r="I504" s="330"/>
      <c r="J504" s="1"/>
      <c r="K504" s="330"/>
      <c r="L504" s="1"/>
      <c r="M504" s="330"/>
      <c r="N504" s="330"/>
      <c r="O504" s="330"/>
      <c r="P504" s="330"/>
      <c r="Q504" s="329"/>
      <c r="R504" s="331">
        <f t="shared" si="36"/>
        <v>3190.3702403806537</v>
      </c>
      <c r="S504" s="331">
        <f t="shared" si="37"/>
        <v>3223.2968882822347</v>
      </c>
      <c r="T504" s="331">
        <f t="shared" si="38"/>
        <v>3256.5528026628308</v>
      </c>
      <c r="U504" s="331">
        <f t="shared" si="39"/>
        <v>3290.141276187233</v>
      </c>
      <c r="V504" s="330"/>
      <c r="W504" s="330"/>
      <c r="X504" s="330"/>
      <c r="Y504" s="333"/>
      <c r="Z504"/>
      <c r="AA504"/>
      <c r="AB504"/>
    </row>
    <row r="505" spans="1:28" x14ac:dyDescent="0.25">
      <c r="A505" s="330"/>
      <c r="B505" s="332">
        <v>1.1984632751716438E-3</v>
      </c>
      <c r="C505" s="332">
        <v>4.0896313219331848E-2</v>
      </c>
      <c r="D505" s="332">
        <v>1.5537210338176579</v>
      </c>
      <c r="E505" s="332">
        <v>0.27615986475690124</v>
      </c>
      <c r="F505" s="332">
        <v>2.173942115345209E-2</v>
      </c>
      <c r="G505" s="330"/>
      <c r="H505" s="331">
        <f t="shared" si="35"/>
        <v>3104.4618100609955</v>
      </c>
      <c r="I505" s="330"/>
      <c r="J505" s="1"/>
      <c r="K505" s="330"/>
      <c r="L505" s="1"/>
      <c r="M505" s="330"/>
      <c r="N505" s="330"/>
      <c r="O505" s="330"/>
      <c r="P505" s="330"/>
      <c r="Q505" s="329"/>
      <c r="R505" s="331">
        <f t="shared" si="36"/>
        <v>3137.8252666283556</v>
      </c>
      <c r="S505" s="331">
        <f t="shared" si="37"/>
        <v>3171.5223577613897</v>
      </c>
      <c r="T505" s="331">
        <f t="shared" si="38"/>
        <v>3205.5564198057536</v>
      </c>
      <c r="U505" s="331">
        <f t="shared" si="39"/>
        <v>3239.9308224705619</v>
      </c>
      <c r="V505" s="330"/>
      <c r="W505" s="330"/>
      <c r="X505" s="330"/>
      <c r="Y505" s="333"/>
      <c r="Z505"/>
      <c r="AA505"/>
      <c r="AB505"/>
    </row>
    <row r="506" spans="1:28" x14ac:dyDescent="0.25">
      <c r="A506" s="330"/>
      <c r="B506" s="332"/>
      <c r="C506" s="332">
        <v>-1.3141980500988656E-2</v>
      </c>
      <c r="D506" s="332">
        <v>1.1277822733719693</v>
      </c>
      <c r="E506" s="332">
        <v>0.24373154191664673</v>
      </c>
      <c r="F506" s="332">
        <v>2.6757744410768065E-2</v>
      </c>
      <c r="G506" s="330"/>
      <c r="H506" s="331">
        <f t="shared" si="35"/>
        <v>3128.8461819060417</v>
      </c>
      <c r="I506" s="330"/>
      <c r="J506" s="1"/>
      <c r="K506" s="330"/>
      <c r="L506" s="1"/>
      <c r="M506" s="330"/>
      <c r="N506" s="330"/>
      <c r="O506" s="330"/>
      <c r="P506" s="330"/>
      <c r="Q506" s="329"/>
      <c r="R506" s="331">
        <f t="shared" si="36"/>
        <v>3160.3692173015957</v>
      </c>
      <c r="S506" s="331">
        <f t="shared" si="37"/>
        <v>3192.2074830511056</v>
      </c>
      <c r="T506" s="331">
        <f t="shared" si="38"/>
        <v>3224.36413145811</v>
      </c>
      <c r="U506" s="331">
        <f t="shared" si="39"/>
        <v>3256.8423463491845</v>
      </c>
      <c r="V506" s="330"/>
      <c r="W506" s="330"/>
      <c r="X506" s="330"/>
      <c r="Y506" s="333"/>
      <c r="Z506"/>
      <c r="AA506"/>
      <c r="AB506"/>
    </row>
    <row r="507" spans="1:28" x14ac:dyDescent="0.25">
      <c r="A507" s="330"/>
      <c r="B507" s="332">
        <v>8.2119154829665025E-4</v>
      </c>
      <c r="C507" s="332">
        <v>9.4975200244212757E-2</v>
      </c>
      <c r="D507" s="332"/>
      <c r="E507" s="332">
        <v>0.18246393010998985</v>
      </c>
      <c r="F507" s="332">
        <v>5.2833338843247063E-2</v>
      </c>
      <c r="G507" s="330"/>
      <c r="H507" s="331">
        <f t="shared" si="35"/>
        <v>3342.5814860615601</v>
      </c>
      <c r="I507" s="330"/>
      <c r="J507" s="1"/>
      <c r="K507" s="330"/>
      <c r="L507" s="1"/>
      <c r="M507" s="330"/>
      <c r="N507" s="330"/>
      <c r="O507" s="330"/>
      <c r="P507" s="330"/>
      <c r="Q507" s="329"/>
      <c r="R507" s="331">
        <f t="shared" si="36"/>
        <v>3376.4011235359967</v>
      </c>
      <c r="S507" s="331">
        <f t="shared" si="37"/>
        <v>3410.5589573851771</v>
      </c>
      <c r="T507" s="331">
        <f t="shared" si="38"/>
        <v>3445.0583695728496</v>
      </c>
      <c r="U507" s="331">
        <f t="shared" si="39"/>
        <v>3479.9027758823991</v>
      </c>
      <c r="V507" s="330"/>
      <c r="W507" s="330"/>
      <c r="X507" s="330"/>
      <c r="Y507" s="333"/>
      <c r="Z507"/>
      <c r="AA507"/>
      <c r="AB507"/>
    </row>
    <row r="508" spans="1:28" x14ac:dyDescent="0.25">
      <c r="A508" s="330"/>
      <c r="B508" s="332">
        <v>2.2918725561547238E-3</v>
      </c>
      <c r="C508" s="332">
        <v>4.1392168590664989E-2</v>
      </c>
      <c r="D508" s="332">
        <v>1.5370214747093656</v>
      </c>
      <c r="E508" s="332">
        <v>0.28526331041850206</v>
      </c>
      <c r="F508" s="332">
        <v>2.8367352287455429E-2</v>
      </c>
      <c r="G508" s="330"/>
      <c r="H508" s="331">
        <f t="shared" ref="H508:H571" si="40">SUMPRODUCT(B508:F508,B$56:F$56)</f>
        <v>3170.1766359549965</v>
      </c>
      <c r="I508" s="330"/>
      <c r="J508" s="1"/>
      <c r="K508" s="330"/>
      <c r="L508" s="1"/>
      <c r="M508" s="330"/>
      <c r="N508" s="330"/>
      <c r="O508" s="330"/>
      <c r="P508" s="330"/>
      <c r="Q508" s="329"/>
      <c r="R508" s="331">
        <f t="shared" ref="R508:R571" si="41">SUMPRODUCT($B508:$F508,$K$59:$O$59)</f>
        <v>3206.9699445116812</v>
      </c>
      <c r="S508" s="331">
        <f t="shared" ref="S508:S571" si="42">SUMPRODUCT($B508:$F508,$K$60:$O$60)</f>
        <v>3244.1311861539325</v>
      </c>
      <c r="T508" s="331">
        <f t="shared" ref="T508:T571" si="43">SUMPRODUCT($B508:$F508,$K$61:$O$61)</f>
        <v>3281.6640402126068</v>
      </c>
      <c r="U508" s="331">
        <f t="shared" ref="U508:U571" si="44">SUMPRODUCT($B508:$F508,$K$62:$O$62)</f>
        <v>3319.5722228118675</v>
      </c>
      <c r="V508" s="330"/>
      <c r="W508" s="330"/>
      <c r="X508" s="330"/>
      <c r="Y508" s="333"/>
      <c r="Z508"/>
      <c r="AA508"/>
      <c r="AB508"/>
    </row>
    <row r="509" spans="1:28" x14ac:dyDescent="0.25">
      <c r="A509" s="330"/>
      <c r="B509" s="332">
        <v>3.6297322915089269E-3</v>
      </c>
      <c r="C509" s="332">
        <v>-9.5544664597773332E-2</v>
      </c>
      <c r="D509" s="332">
        <v>1.6895282539368586</v>
      </c>
      <c r="E509" s="332">
        <v>0.32009831430478625</v>
      </c>
      <c r="F509" s="332">
        <v>3.2201487571718868E-2</v>
      </c>
      <c r="G509" s="330"/>
      <c r="H509" s="331">
        <f t="shared" si="40"/>
        <v>3031.3748031120394</v>
      </c>
      <c r="I509" s="330"/>
      <c r="J509" s="1"/>
      <c r="K509" s="330"/>
      <c r="L509" s="1"/>
      <c r="M509" s="330"/>
      <c r="N509" s="330"/>
      <c r="O509" s="330"/>
      <c r="P509" s="330"/>
      <c r="Q509" s="329"/>
      <c r="R509" s="331">
        <f t="shared" si="41"/>
        <v>3072.6277222003437</v>
      </c>
      <c r="S509" s="331">
        <f t="shared" si="42"/>
        <v>3114.293170479531</v>
      </c>
      <c r="T509" s="331">
        <f t="shared" si="43"/>
        <v>3156.3752732415105</v>
      </c>
      <c r="U509" s="331">
        <f t="shared" si="44"/>
        <v>3198.8781970311093</v>
      </c>
      <c r="V509" s="330"/>
      <c r="W509" s="330"/>
      <c r="X509" s="330"/>
      <c r="Y509" s="333"/>
      <c r="Z509"/>
      <c r="AA509"/>
      <c r="AB509"/>
    </row>
    <row r="510" spans="1:28" x14ac:dyDescent="0.25">
      <c r="A510" s="330"/>
      <c r="B510" s="332">
        <v>1.8426457965241257E-3</v>
      </c>
      <c r="C510" s="332">
        <v>5.0611959411711899E-2</v>
      </c>
      <c r="D510" s="332">
        <v>1.5719577942275109</v>
      </c>
      <c r="E510" s="332">
        <v>0.28359909581086828</v>
      </c>
      <c r="F510" s="332">
        <v>2.4611341153550032E-2</v>
      </c>
      <c r="G510" s="330"/>
      <c r="H510" s="331">
        <f t="shared" si="40"/>
        <v>3139.4575965179301</v>
      </c>
      <c r="I510" s="330"/>
      <c r="J510" s="1"/>
      <c r="K510" s="330"/>
      <c r="L510" s="1"/>
      <c r="M510" s="330"/>
      <c r="N510" s="330"/>
      <c r="O510" s="330"/>
      <c r="P510" s="330"/>
      <c r="Q510" s="329"/>
      <c r="R510" s="331">
        <f t="shared" si="41"/>
        <v>3174.6363485002748</v>
      </c>
      <c r="S510" s="331">
        <f t="shared" si="42"/>
        <v>3210.1668880024426</v>
      </c>
      <c r="T510" s="331">
        <f t="shared" si="43"/>
        <v>3246.0527328996322</v>
      </c>
      <c r="U510" s="331">
        <f t="shared" si="44"/>
        <v>3282.2974362457935</v>
      </c>
      <c r="V510" s="330"/>
      <c r="W510" s="330"/>
      <c r="X510" s="330"/>
      <c r="Y510"/>
      <c r="Z510"/>
      <c r="AA510"/>
      <c r="AB510"/>
    </row>
    <row r="511" spans="1:28" x14ac:dyDescent="0.25">
      <c r="A511" s="330"/>
      <c r="B511" s="332">
        <v>4.2494231537982462E-4</v>
      </c>
      <c r="C511" s="332">
        <v>6.90303300791969E-2</v>
      </c>
      <c r="D511" s="332"/>
      <c r="E511" s="332">
        <v>0.18425241582268936</v>
      </c>
      <c r="F511" s="332">
        <v>5.2718239591756873E-2</v>
      </c>
      <c r="G511" s="330"/>
      <c r="H511" s="331">
        <f t="shared" si="40"/>
        <v>3401.0606550373304</v>
      </c>
      <c r="I511" s="330"/>
      <c r="J511" s="1"/>
      <c r="K511" s="330"/>
      <c r="L511" s="1"/>
      <c r="M511" s="330"/>
      <c r="N511" s="330"/>
      <c r="O511" s="330"/>
      <c r="P511" s="330"/>
      <c r="Q511" s="329"/>
      <c r="R511" s="331">
        <f t="shared" si="41"/>
        <v>3434.9201493943842</v>
      </c>
      <c r="S511" s="331">
        <f t="shared" si="42"/>
        <v>3469.1182386950086</v>
      </c>
      <c r="T511" s="331">
        <f t="shared" si="43"/>
        <v>3503.6583088886391</v>
      </c>
      <c r="U511" s="331">
        <f t="shared" si="44"/>
        <v>3538.543779784206</v>
      </c>
      <c r="V511" s="330"/>
      <c r="W511" s="330"/>
      <c r="X511" s="330"/>
      <c r="Y511"/>
      <c r="Z511"/>
      <c r="AA511"/>
      <c r="AB511"/>
    </row>
    <row r="512" spans="1:28" x14ac:dyDescent="0.25">
      <c r="A512" s="330"/>
      <c r="B512" s="332">
        <v>2.0639229648864912E-3</v>
      </c>
      <c r="C512" s="332">
        <v>5.473647673123707E-2</v>
      </c>
      <c r="D512" s="332">
        <v>1.4974961907949107</v>
      </c>
      <c r="E512" s="332">
        <v>0.27780401495224544</v>
      </c>
      <c r="F512" s="332">
        <v>2.8313928788802199E-2</v>
      </c>
      <c r="G512" s="330"/>
      <c r="H512" s="331">
        <f t="shared" si="40"/>
        <v>3187.8754003439244</v>
      </c>
      <c r="I512" s="330"/>
      <c r="J512" s="1"/>
      <c r="K512" s="330"/>
      <c r="L512" s="1"/>
      <c r="M512" s="330"/>
      <c r="N512" s="330"/>
      <c r="O512" s="330"/>
      <c r="P512" s="330"/>
      <c r="Q512" s="329"/>
      <c r="R512" s="331">
        <f t="shared" si="41"/>
        <v>3224.0276242675604</v>
      </c>
      <c r="S512" s="331">
        <f t="shared" si="42"/>
        <v>3260.5413704304328</v>
      </c>
      <c r="T512" s="331">
        <f t="shared" si="43"/>
        <v>3297.4202540549345</v>
      </c>
      <c r="U512" s="331">
        <f t="shared" si="44"/>
        <v>3334.6679265156804</v>
      </c>
      <c r="V512" s="330"/>
      <c r="W512" s="330"/>
      <c r="X512" s="330"/>
      <c r="Y512" s="333"/>
      <c r="Z512"/>
      <c r="AA512"/>
      <c r="AB512"/>
    </row>
    <row r="513" spans="1:28" x14ac:dyDescent="0.25">
      <c r="A513" s="330"/>
      <c r="B513" s="332">
        <v>2.0639229648864166E-3</v>
      </c>
      <c r="C513" s="332">
        <v>5.4736476731237056E-2</v>
      </c>
      <c r="D513" s="332">
        <v>1.497496190794892</v>
      </c>
      <c r="E513" s="332">
        <v>0.27780401495224327</v>
      </c>
      <c r="F513" s="332">
        <v>2.8313928788802404E-2</v>
      </c>
      <c r="G513" s="330"/>
      <c r="H513" s="331">
        <f t="shared" si="40"/>
        <v>3187.8754003439308</v>
      </c>
      <c r="I513" s="330"/>
      <c r="J513" s="1"/>
      <c r="K513" s="330"/>
      <c r="L513" s="1"/>
      <c r="M513" s="330"/>
      <c r="N513" s="330"/>
      <c r="O513" s="330"/>
      <c r="P513" s="330"/>
      <c r="Q513" s="329"/>
      <c r="R513" s="331">
        <f t="shared" si="41"/>
        <v>3224.0276242675668</v>
      </c>
      <c r="S513" s="331">
        <f t="shared" si="42"/>
        <v>3260.5413704304392</v>
      </c>
      <c r="T513" s="331">
        <f t="shared" si="43"/>
        <v>3297.4202540549404</v>
      </c>
      <c r="U513" s="331">
        <f t="shared" si="44"/>
        <v>3334.6679265156863</v>
      </c>
      <c r="V513" s="330"/>
      <c r="W513" s="330"/>
      <c r="X513" s="330"/>
      <c r="Y513" s="333"/>
      <c r="Z513"/>
      <c r="AA513"/>
      <c r="AB513"/>
    </row>
    <row r="514" spans="1:28" x14ac:dyDescent="0.25">
      <c r="A514" s="330"/>
      <c r="B514" s="332"/>
      <c r="C514" s="332">
        <v>-1.7920756058394053E-2</v>
      </c>
      <c r="D514" s="332">
        <v>1.0706060063627052</v>
      </c>
      <c r="E514" s="332">
        <v>0.24289040555700872</v>
      </c>
      <c r="F514" s="332">
        <v>2.8007529356521E-2</v>
      </c>
      <c r="G514" s="330"/>
      <c r="H514" s="331">
        <f t="shared" si="40"/>
        <v>3140.3972004695697</v>
      </c>
      <c r="I514" s="330"/>
      <c r="J514" s="1"/>
      <c r="K514" s="330"/>
      <c r="L514" s="1"/>
      <c r="M514" s="330"/>
      <c r="N514" s="330"/>
      <c r="O514" s="330"/>
      <c r="P514" s="330"/>
      <c r="Q514" s="329"/>
      <c r="R514" s="331">
        <f t="shared" si="41"/>
        <v>3172.1210432762173</v>
      </c>
      <c r="S514" s="331">
        <f t="shared" si="42"/>
        <v>3204.1621245109318</v>
      </c>
      <c r="T514" s="331">
        <f t="shared" si="43"/>
        <v>3236.5236165579927</v>
      </c>
      <c r="U514" s="331">
        <f t="shared" si="44"/>
        <v>3269.2087235255244</v>
      </c>
      <c r="V514" s="330"/>
      <c r="W514" s="330"/>
      <c r="X514" s="330"/>
      <c r="Y514" s="333"/>
      <c r="Z514"/>
      <c r="AA514"/>
      <c r="AB514"/>
    </row>
    <row r="515" spans="1:28" x14ac:dyDescent="0.25">
      <c r="A515" s="330"/>
      <c r="B515" s="332"/>
      <c r="C515" s="332">
        <v>5.6229534108358778E-2</v>
      </c>
      <c r="D515" s="332">
        <v>0.99305377989635912</v>
      </c>
      <c r="E515" s="332">
        <v>0.21707884545646713</v>
      </c>
      <c r="F515" s="332">
        <v>3.0412561383734445E-2</v>
      </c>
      <c r="G515" s="330"/>
      <c r="H515" s="331">
        <f t="shared" si="40"/>
        <v>3204.5606678241779</v>
      </c>
      <c r="I515" s="330"/>
      <c r="J515" s="1"/>
      <c r="K515" s="330"/>
      <c r="L515" s="1"/>
      <c r="M515" s="330"/>
      <c r="N515" s="330"/>
      <c r="O515" s="330"/>
      <c r="P515" s="330"/>
      <c r="Q515" s="329"/>
      <c r="R515" s="331">
        <f t="shared" si="41"/>
        <v>3235.6026234226324</v>
      </c>
      <c r="S515" s="331">
        <f t="shared" si="42"/>
        <v>3266.9549985770718</v>
      </c>
      <c r="T515" s="331">
        <f t="shared" si="43"/>
        <v>3298.6208974830552</v>
      </c>
      <c r="U515" s="331">
        <f t="shared" si="44"/>
        <v>3330.6034553780983</v>
      </c>
      <c r="V515" s="330"/>
      <c r="W515" s="330"/>
      <c r="X515" s="330"/>
      <c r="Y515" s="333"/>
      <c r="Z515"/>
      <c r="AA515"/>
      <c r="AB515"/>
    </row>
    <row r="516" spans="1:28" x14ac:dyDescent="0.25">
      <c r="A516" s="330"/>
      <c r="B516" s="332"/>
      <c r="C516" s="332">
        <v>6.9066840474106314E-2</v>
      </c>
      <c r="D516" s="332">
        <v>0.25030380693637455</v>
      </c>
      <c r="E516" s="332">
        <v>0.18660910457461186</v>
      </c>
      <c r="F516" s="332">
        <v>4.6659047342396891E-2</v>
      </c>
      <c r="G516" s="330"/>
      <c r="H516" s="331">
        <f t="shared" si="40"/>
        <v>3387.3454433152529</v>
      </c>
      <c r="I516" s="330"/>
      <c r="J516" s="1"/>
      <c r="K516" s="330"/>
      <c r="L516" s="1"/>
      <c r="M516" s="330"/>
      <c r="N516" s="330"/>
      <c r="O516" s="330"/>
      <c r="P516" s="330"/>
      <c r="Q516" s="329"/>
      <c r="R516" s="331">
        <f t="shared" si="41"/>
        <v>3419.9861112756289</v>
      </c>
      <c r="S516" s="331">
        <f t="shared" si="42"/>
        <v>3452.9531859156082</v>
      </c>
      <c r="T516" s="331">
        <f t="shared" si="43"/>
        <v>3486.2499313019871</v>
      </c>
      <c r="U516" s="331">
        <f t="shared" si="44"/>
        <v>3519.8796441422305</v>
      </c>
      <c r="V516" s="330"/>
      <c r="W516" s="330"/>
      <c r="X516" s="330"/>
      <c r="Y516" s="333"/>
      <c r="Z516"/>
      <c r="AA516"/>
      <c r="AB516"/>
    </row>
    <row r="517" spans="1:28" x14ac:dyDescent="0.25">
      <c r="A517" s="330"/>
      <c r="B517" s="332"/>
      <c r="C517" s="332">
        <v>7.073412522486533E-2</v>
      </c>
      <c r="D517" s="332">
        <v>0.23308692956318849</v>
      </c>
      <c r="E517" s="332">
        <v>0.18547659786309115</v>
      </c>
      <c r="F517" s="332">
        <v>4.6947303720973811E-2</v>
      </c>
      <c r="G517" s="330"/>
      <c r="H517" s="331">
        <f t="shared" si="40"/>
        <v>3387.7434699508594</v>
      </c>
      <c r="I517" s="330"/>
      <c r="J517" s="1"/>
      <c r="K517" s="330"/>
      <c r="L517" s="1"/>
      <c r="M517" s="330"/>
      <c r="N517" s="330"/>
      <c r="O517" s="330"/>
      <c r="P517" s="330"/>
      <c r="Q517" s="329"/>
      <c r="R517" s="331">
        <f t="shared" si="41"/>
        <v>3420.3583585118399</v>
      </c>
      <c r="S517" s="331">
        <f t="shared" si="42"/>
        <v>3453.2993959584305</v>
      </c>
      <c r="T517" s="331">
        <f t="shared" si="43"/>
        <v>3486.5698437794867</v>
      </c>
      <c r="U517" s="331">
        <f t="shared" si="44"/>
        <v>3520.1729960787534</v>
      </c>
      <c r="V517" s="330"/>
      <c r="W517" s="330"/>
      <c r="X517" s="330"/>
      <c r="Y517" s="333"/>
      <c r="Z517"/>
      <c r="AA517"/>
      <c r="AB517"/>
    </row>
    <row r="518" spans="1:28" x14ac:dyDescent="0.25">
      <c r="A518" s="330"/>
      <c r="B518" s="332">
        <v>2.4567292465043152E-3</v>
      </c>
      <c r="C518" s="332">
        <v>-3.635822975196411E-3</v>
      </c>
      <c r="D518" s="332">
        <v>1.6158477379094869</v>
      </c>
      <c r="E518" s="332">
        <v>0.29259596550028305</v>
      </c>
      <c r="F518" s="332">
        <v>2.8346271945523738E-2</v>
      </c>
      <c r="G518" s="330"/>
      <c r="H518" s="331">
        <f t="shared" si="40"/>
        <v>3130.6604846858449</v>
      </c>
      <c r="I518" s="330"/>
      <c r="J518" s="1"/>
      <c r="K518" s="330"/>
      <c r="L518" s="1"/>
      <c r="M518" s="330"/>
      <c r="N518" s="330"/>
      <c r="O518" s="330"/>
      <c r="P518" s="330"/>
      <c r="Q518" s="329"/>
      <c r="R518" s="331">
        <f t="shared" si="41"/>
        <v>3168.2817279886594</v>
      </c>
      <c r="S518" s="331">
        <f t="shared" si="42"/>
        <v>3206.2791837245022</v>
      </c>
      <c r="T518" s="331">
        <f t="shared" si="43"/>
        <v>3244.6566140177038</v>
      </c>
      <c r="U518" s="331">
        <f t="shared" si="44"/>
        <v>3283.417818613837</v>
      </c>
      <c r="V518" s="330"/>
      <c r="W518" s="330"/>
      <c r="X518" s="330"/>
      <c r="Y518" s="333"/>
      <c r="Z518"/>
      <c r="AA518"/>
      <c r="AB518"/>
    </row>
    <row r="519" spans="1:28" x14ac:dyDescent="0.25">
      <c r="A519" s="330"/>
      <c r="B519" s="332">
        <v>2.4705759353884195E-3</v>
      </c>
      <c r="C519" s="332">
        <v>-7.5627502820840214E-2</v>
      </c>
      <c r="D519" s="332">
        <v>1.6890100464666229</v>
      </c>
      <c r="E519" s="332">
        <v>0.29768458886238747</v>
      </c>
      <c r="F519" s="332">
        <v>2.8333196645060742E-2</v>
      </c>
      <c r="G519" s="330"/>
      <c r="H519" s="331">
        <f t="shared" si="40"/>
        <v>3066.8638339321806</v>
      </c>
      <c r="I519" s="330"/>
      <c r="J519" s="1"/>
      <c r="K519" s="330"/>
      <c r="L519" s="1"/>
      <c r="M519" s="330"/>
      <c r="N519" s="330"/>
      <c r="O519" s="330"/>
      <c r="P519" s="330"/>
      <c r="Q519" s="329"/>
      <c r="R519" s="331">
        <f t="shared" si="41"/>
        <v>3105.1673281626126</v>
      </c>
      <c r="S519" s="331">
        <f t="shared" si="42"/>
        <v>3143.8538573353494</v>
      </c>
      <c r="T519" s="331">
        <f t="shared" si="43"/>
        <v>3182.9272517998133</v>
      </c>
      <c r="U519" s="331">
        <f t="shared" si="44"/>
        <v>3222.3913802089219</v>
      </c>
      <c r="V519" s="330"/>
      <c r="W519" s="330"/>
      <c r="X519" s="330"/>
      <c r="Y519" s="333"/>
      <c r="Z519"/>
      <c r="AA519"/>
      <c r="AB519"/>
    </row>
    <row r="520" spans="1:28" x14ac:dyDescent="0.25">
      <c r="A520" s="330"/>
      <c r="B520" s="332">
        <v>1.2733685696164989E-3</v>
      </c>
      <c r="C520" s="332">
        <v>9.0925838954860089E-2</v>
      </c>
      <c r="D520" s="332"/>
      <c r="E520" s="332">
        <v>0.19062845859346408</v>
      </c>
      <c r="F520" s="332">
        <v>5.5240801428204714E-2</v>
      </c>
      <c r="G520" s="330"/>
      <c r="H520" s="331">
        <f t="shared" si="40"/>
        <v>3373.6512993864217</v>
      </c>
      <c r="I520" s="330"/>
      <c r="J520" s="1"/>
      <c r="K520" s="330"/>
      <c r="L520" s="1"/>
      <c r="M520" s="330"/>
      <c r="N520" s="330"/>
      <c r="O520" s="330"/>
      <c r="P520" s="330"/>
      <c r="Q520" s="329"/>
      <c r="R520" s="331">
        <f t="shared" si="41"/>
        <v>3409.0042184992362</v>
      </c>
      <c r="S520" s="331">
        <f t="shared" si="42"/>
        <v>3444.7106668031793</v>
      </c>
      <c r="T520" s="331">
        <f t="shared" si="43"/>
        <v>3480.774179590162</v>
      </c>
      <c r="U520" s="331">
        <f t="shared" si="44"/>
        <v>3517.1983275050143</v>
      </c>
      <c r="V520" s="330"/>
      <c r="W520" s="330"/>
      <c r="X520" s="330"/>
      <c r="Y520" s="333"/>
      <c r="Z520"/>
      <c r="AA520"/>
      <c r="AB520"/>
    </row>
    <row r="521" spans="1:28" x14ac:dyDescent="0.25">
      <c r="A521" s="330"/>
      <c r="B521" s="332">
        <v>2.4569258944359498E-3</v>
      </c>
      <c r="C521" s="332">
        <v>-2.1943081270246297E-2</v>
      </c>
      <c r="D521" s="332">
        <v>1.5561922151630676</v>
      </c>
      <c r="E521" s="332">
        <v>0.29131522809898797</v>
      </c>
      <c r="F521" s="332">
        <v>2.9898545184904299E-2</v>
      </c>
      <c r="G521" s="330"/>
      <c r="H521" s="331">
        <f t="shared" si="40"/>
        <v>3128.2314720805316</v>
      </c>
      <c r="I521" s="330"/>
      <c r="J521" s="1"/>
      <c r="K521" s="330"/>
      <c r="L521" s="1"/>
      <c r="M521" s="330"/>
      <c r="N521" s="330"/>
      <c r="O521" s="330"/>
      <c r="P521" s="330"/>
      <c r="Q521" s="329"/>
      <c r="R521" s="331">
        <f t="shared" si="41"/>
        <v>3166.1556950654199</v>
      </c>
      <c r="S521" s="331">
        <f t="shared" si="42"/>
        <v>3204.4591602801565</v>
      </c>
      <c r="T521" s="331">
        <f t="shared" si="43"/>
        <v>3243.1456601470409</v>
      </c>
      <c r="U521" s="331">
        <f t="shared" si="44"/>
        <v>3282.2190250125941</v>
      </c>
      <c r="V521" s="330"/>
      <c r="W521" s="330"/>
      <c r="X521" s="330"/>
      <c r="Y521" s="333"/>
      <c r="Z521"/>
      <c r="AA521"/>
      <c r="AB521"/>
    </row>
    <row r="522" spans="1:28" x14ac:dyDescent="0.25">
      <c r="A522" s="330"/>
      <c r="B522" s="332"/>
      <c r="C522" s="332">
        <v>-1.81353329096779E-2</v>
      </c>
      <c r="D522" s="332">
        <v>1.0452876933998314</v>
      </c>
      <c r="E522" s="332">
        <v>0.24135052620255634</v>
      </c>
      <c r="F522" s="332">
        <v>2.8677375766309941E-2</v>
      </c>
      <c r="G522" s="330"/>
      <c r="H522" s="331">
        <f t="shared" si="40"/>
        <v>3148.2073472950924</v>
      </c>
      <c r="I522" s="330"/>
      <c r="J522" s="1"/>
      <c r="K522" s="330"/>
      <c r="L522" s="1"/>
      <c r="M522" s="330"/>
      <c r="N522" s="330"/>
      <c r="O522" s="330"/>
      <c r="P522" s="330"/>
      <c r="Q522" s="329"/>
      <c r="R522" s="331">
        <f t="shared" si="41"/>
        <v>3180.0131215908532</v>
      </c>
      <c r="S522" s="331">
        <f t="shared" si="42"/>
        <v>3212.1369536295715</v>
      </c>
      <c r="T522" s="331">
        <f t="shared" si="43"/>
        <v>3244.5820239886775</v>
      </c>
      <c r="U522" s="331">
        <f t="shared" si="44"/>
        <v>3277.3515450513742</v>
      </c>
      <c r="V522" s="330"/>
      <c r="W522" s="330"/>
      <c r="X522" s="330"/>
      <c r="Y522" s="333"/>
      <c r="Z522"/>
      <c r="AA522"/>
      <c r="AB522"/>
    </row>
    <row r="523" spans="1:28" x14ac:dyDescent="0.25">
      <c r="A523" s="330"/>
      <c r="B523" s="332">
        <v>1.8876921959472069E-3</v>
      </c>
      <c r="C523" s="332">
        <v>3.64678334466884E-2</v>
      </c>
      <c r="D523" s="332">
        <v>1.3627216353391556</v>
      </c>
      <c r="E523" s="332">
        <v>0.27078204489276864</v>
      </c>
      <c r="F523" s="332">
        <v>3.0962415356833032E-2</v>
      </c>
      <c r="G523" s="330"/>
      <c r="H523" s="331">
        <f t="shared" si="40"/>
        <v>3207.5542785506154</v>
      </c>
      <c r="I523" s="330"/>
      <c r="J523" s="1"/>
      <c r="K523" s="330"/>
      <c r="L523" s="1"/>
      <c r="M523" s="330"/>
      <c r="N523" s="330"/>
      <c r="O523" s="330"/>
      <c r="P523" s="330"/>
      <c r="Q523" s="329"/>
      <c r="R523" s="331">
        <f t="shared" si="41"/>
        <v>3243.781053195522</v>
      </c>
      <c r="S523" s="331">
        <f t="shared" si="42"/>
        <v>3280.3700955868781</v>
      </c>
      <c r="T523" s="331">
        <f t="shared" si="43"/>
        <v>3317.3250284021469</v>
      </c>
      <c r="U523" s="331">
        <f t="shared" si="44"/>
        <v>3354.6495105455688</v>
      </c>
      <c r="V523" s="330"/>
      <c r="W523" s="330"/>
      <c r="X523" s="330"/>
      <c r="Y523" s="333"/>
      <c r="Z523"/>
      <c r="AA523"/>
      <c r="AB523"/>
    </row>
    <row r="524" spans="1:28" x14ac:dyDescent="0.25">
      <c r="A524" s="330"/>
      <c r="B524" s="332"/>
      <c r="C524" s="332">
        <v>-3.8109505649388746E-2</v>
      </c>
      <c r="D524" s="332">
        <v>1.0897436406666594</v>
      </c>
      <c r="E524" s="332">
        <v>0.24598997004929929</v>
      </c>
      <c r="F524" s="332">
        <v>2.7524093544716816E-2</v>
      </c>
      <c r="G524" s="330"/>
      <c r="H524" s="331">
        <f t="shared" si="40"/>
        <v>3109.2764298619027</v>
      </c>
      <c r="I524" s="330"/>
      <c r="J524" s="1"/>
      <c r="K524" s="330"/>
      <c r="L524" s="1"/>
      <c r="M524" s="330"/>
      <c r="N524" s="330"/>
      <c r="O524" s="330"/>
      <c r="P524" s="330"/>
      <c r="Q524" s="329"/>
      <c r="R524" s="331">
        <f t="shared" si="41"/>
        <v>3141.0494175893955</v>
      </c>
      <c r="S524" s="331">
        <f t="shared" si="42"/>
        <v>3173.1401351941636</v>
      </c>
      <c r="T524" s="331">
        <f t="shared" si="43"/>
        <v>3205.5517599749792</v>
      </c>
      <c r="U524" s="331">
        <f t="shared" si="44"/>
        <v>3238.2875010036032</v>
      </c>
      <c r="V524" s="330"/>
      <c r="W524" s="330"/>
      <c r="X524" s="330"/>
      <c r="Y524" s="333"/>
      <c r="Z524"/>
      <c r="AA524"/>
      <c r="AB524"/>
    </row>
    <row r="525" spans="1:28" x14ac:dyDescent="0.25">
      <c r="A525" s="330"/>
      <c r="B525" s="332">
        <v>9.1504204411836188E-4</v>
      </c>
      <c r="C525" s="332">
        <v>1.2834372850828503E-2</v>
      </c>
      <c r="D525" s="332">
        <v>0.98053657684691875</v>
      </c>
      <c r="E525" s="332">
        <v>0.23757830093268936</v>
      </c>
      <c r="F525" s="332">
        <v>3.6644667668103793E-2</v>
      </c>
      <c r="G525" s="330"/>
      <c r="H525" s="331">
        <f t="shared" si="40"/>
        <v>3280.6827195729011</v>
      </c>
      <c r="I525" s="330"/>
      <c r="J525" s="1"/>
      <c r="K525" s="330"/>
      <c r="L525" s="1"/>
      <c r="M525" s="330"/>
      <c r="N525" s="330"/>
      <c r="O525" s="330"/>
      <c r="P525" s="330"/>
      <c r="Q525" s="329"/>
      <c r="R525" s="331">
        <f t="shared" si="41"/>
        <v>3315.5882646938849</v>
      </c>
      <c r="S525" s="331">
        <f t="shared" si="42"/>
        <v>3350.8428652660787</v>
      </c>
      <c r="T525" s="331">
        <f t="shared" si="43"/>
        <v>3386.4500118439937</v>
      </c>
      <c r="U525" s="331">
        <f t="shared" si="44"/>
        <v>3422.4132298876884</v>
      </c>
      <c r="V525" s="330"/>
      <c r="W525" s="330"/>
      <c r="X525" s="330"/>
      <c r="Y525" s="333"/>
      <c r="Z525"/>
      <c r="AA525"/>
      <c r="AB525"/>
    </row>
    <row r="526" spans="1:28" x14ac:dyDescent="0.25">
      <c r="A526" s="330"/>
      <c r="B526" s="332">
        <v>1.10268430663945E-3</v>
      </c>
      <c r="C526" s="332">
        <v>3.068501692299417E-2</v>
      </c>
      <c r="D526" s="332">
        <v>1.1806689166923279</v>
      </c>
      <c r="E526" s="332">
        <v>0.25133098604654852</v>
      </c>
      <c r="F526" s="332">
        <v>3.1949597935861461E-2</v>
      </c>
      <c r="G526" s="330"/>
      <c r="H526" s="331">
        <f t="shared" si="40"/>
        <v>3235.8916244740467</v>
      </c>
      <c r="I526" s="330"/>
      <c r="J526" s="1"/>
      <c r="K526" s="330"/>
      <c r="L526" s="1"/>
      <c r="M526" s="330"/>
      <c r="N526" s="330"/>
      <c r="O526" s="330"/>
      <c r="P526" s="330"/>
      <c r="Q526" s="329"/>
      <c r="R526" s="331">
        <f t="shared" si="41"/>
        <v>3270.5079876646014</v>
      </c>
      <c r="S526" s="331">
        <f t="shared" si="42"/>
        <v>3305.4705144870613</v>
      </c>
      <c r="T526" s="331">
        <f t="shared" si="43"/>
        <v>3340.7826665777466</v>
      </c>
      <c r="U526" s="331">
        <f t="shared" si="44"/>
        <v>3376.4479401893377</v>
      </c>
      <c r="V526" s="330"/>
      <c r="W526" s="330"/>
      <c r="X526" s="330"/>
      <c r="Y526" s="333"/>
      <c r="Z526"/>
      <c r="AA526"/>
      <c r="AB526"/>
    </row>
    <row r="527" spans="1:28" x14ac:dyDescent="0.25">
      <c r="A527" s="330"/>
      <c r="B527" s="332"/>
      <c r="C527" s="332">
        <v>6.9066840474106744E-2</v>
      </c>
      <c r="D527" s="332">
        <v>0.25030380693636667</v>
      </c>
      <c r="E527" s="332">
        <v>0.18660910457461166</v>
      </c>
      <c r="F527" s="332">
        <v>4.6659047342397043E-2</v>
      </c>
      <c r="G527" s="330"/>
      <c r="H527" s="331">
        <f t="shared" si="40"/>
        <v>3387.3454433152556</v>
      </c>
      <c r="I527" s="330"/>
      <c r="J527" s="1"/>
      <c r="K527" s="330"/>
      <c r="L527" s="1"/>
      <c r="M527" s="330"/>
      <c r="N527" s="330"/>
      <c r="O527" s="330"/>
      <c r="P527" s="330"/>
      <c r="Q527" s="329"/>
      <c r="R527" s="331">
        <f t="shared" si="41"/>
        <v>3419.9861112756307</v>
      </c>
      <c r="S527" s="331">
        <f t="shared" si="42"/>
        <v>3452.9531859156104</v>
      </c>
      <c r="T527" s="331">
        <f t="shared" si="43"/>
        <v>3486.2499313019898</v>
      </c>
      <c r="U527" s="331">
        <f t="shared" si="44"/>
        <v>3519.8796441422328</v>
      </c>
      <c r="V527" s="330"/>
      <c r="W527" s="330"/>
      <c r="X527" s="330"/>
      <c r="Y527" s="333"/>
      <c r="Z527"/>
      <c r="AA527"/>
      <c r="AB527"/>
    </row>
    <row r="528" spans="1:28" x14ac:dyDescent="0.25">
      <c r="A528" s="330"/>
      <c r="B528" s="332">
        <v>2.229105225266364E-3</v>
      </c>
      <c r="C528" s="332">
        <v>5.6553616423307425E-2</v>
      </c>
      <c r="D528" s="332">
        <v>1.5526304304839054</v>
      </c>
      <c r="E528" s="332">
        <v>0.28712053408798355</v>
      </c>
      <c r="F528" s="332">
        <v>2.6509250910010801E-2</v>
      </c>
      <c r="G528" s="330"/>
      <c r="H528" s="331">
        <f t="shared" si="40"/>
        <v>3146.2855794680145</v>
      </c>
      <c r="I528" s="330"/>
      <c r="J528" s="1"/>
      <c r="K528" s="330"/>
      <c r="L528" s="1"/>
      <c r="M528" s="330"/>
      <c r="N528" s="330"/>
      <c r="O528" s="330"/>
      <c r="P528" s="330"/>
      <c r="Q528" s="329"/>
      <c r="R528" s="331">
        <f t="shared" si="41"/>
        <v>3182.4096824849648</v>
      </c>
      <c r="S528" s="331">
        <f t="shared" si="42"/>
        <v>3218.8950265320846</v>
      </c>
      <c r="T528" s="331">
        <f t="shared" si="43"/>
        <v>3255.7452240196762</v>
      </c>
      <c r="U528" s="331">
        <f t="shared" si="44"/>
        <v>3292.9639234821425</v>
      </c>
      <c r="V528" s="330"/>
      <c r="W528" s="330"/>
      <c r="X528" s="330"/>
      <c r="Y528" s="333"/>
      <c r="Z528"/>
      <c r="AA528"/>
      <c r="AB528"/>
    </row>
    <row r="529" spans="1:28" x14ac:dyDescent="0.25">
      <c r="A529" s="330"/>
      <c r="B529" s="332">
        <v>2.0930360504927067E-3</v>
      </c>
      <c r="C529" s="332">
        <v>5.4014270063520511E-2</v>
      </c>
      <c r="D529" s="332">
        <v>1.5610753331630642</v>
      </c>
      <c r="E529" s="332">
        <v>0.28468518015323258</v>
      </c>
      <c r="F529" s="332">
        <v>2.6191652044141929E-2</v>
      </c>
      <c r="G529" s="330"/>
      <c r="H529" s="331">
        <f t="shared" si="40"/>
        <v>3153.9801024233448</v>
      </c>
      <c r="I529" s="330"/>
      <c r="J529" s="1"/>
      <c r="K529" s="330"/>
      <c r="L529" s="1"/>
      <c r="M529" s="330"/>
      <c r="N529" s="330"/>
      <c r="O529" s="330"/>
      <c r="P529" s="330"/>
      <c r="Q529" s="329"/>
      <c r="R529" s="331">
        <f t="shared" si="41"/>
        <v>3189.880325754466</v>
      </c>
      <c r="S529" s="331">
        <f t="shared" si="42"/>
        <v>3226.1395513188986</v>
      </c>
      <c r="T529" s="331">
        <f t="shared" si="43"/>
        <v>3262.7613691389761</v>
      </c>
      <c r="U529" s="331">
        <f t="shared" si="44"/>
        <v>3299.7494051372537</v>
      </c>
      <c r="V529" s="330"/>
      <c r="W529" s="330"/>
      <c r="X529" s="330"/>
      <c r="Y529"/>
      <c r="Z529"/>
      <c r="AA529"/>
      <c r="AB529"/>
    </row>
    <row r="530" spans="1:28" x14ac:dyDescent="0.25">
      <c r="A530" s="330"/>
      <c r="B530" s="332">
        <v>1.3805230339611865E-3</v>
      </c>
      <c r="C530" s="332">
        <v>4.8567421495096227E-2</v>
      </c>
      <c r="D530" s="332">
        <v>1.502251847581259</v>
      </c>
      <c r="E530" s="332">
        <v>0.27533390891242771</v>
      </c>
      <c r="F530" s="332">
        <v>2.3874438623682593E-2</v>
      </c>
      <c r="G530" s="330"/>
      <c r="H530" s="331">
        <f t="shared" si="40"/>
        <v>3136.0934584731763</v>
      </c>
      <c r="I530" s="330"/>
      <c r="J530" s="1"/>
      <c r="K530" s="330"/>
      <c r="L530" s="1"/>
      <c r="M530" s="330"/>
      <c r="N530" s="330"/>
      <c r="O530" s="330"/>
      <c r="P530" s="330"/>
      <c r="Q530" s="329"/>
      <c r="R530" s="331">
        <f t="shared" si="41"/>
        <v>3170.0994554258968</v>
      </c>
      <c r="S530" s="331">
        <f t="shared" si="42"/>
        <v>3204.4455123481457</v>
      </c>
      <c r="T530" s="331">
        <f t="shared" si="43"/>
        <v>3239.1350298396169</v>
      </c>
      <c r="U530" s="331">
        <f t="shared" si="44"/>
        <v>3274.1714425060027</v>
      </c>
      <c r="V530" s="330"/>
      <c r="W530" s="330"/>
      <c r="X530" s="330"/>
      <c r="Y530"/>
      <c r="Z530"/>
      <c r="AA530"/>
      <c r="AB530"/>
    </row>
    <row r="531" spans="1:28" x14ac:dyDescent="0.25">
      <c r="A531" s="330"/>
      <c r="B531" s="332"/>
      <c r="C531" s="332">
        <v>6.9066840474106078E-2</v>
      </c>
      <c r="D531" s="332">
        <v>0.25030380693638676</v>
      </c>
      <c r="E531" s="332">
        <v>0.18660910457461261</v>
      </c>
      <c r="F531" s="332">
        <v>4.665904734239662E-2</v>
      </c>
      <c r="G531" s="330"/>
      <c r="H531" s="331">
        <f t="shared" si="40"/>
        <v>3387.345443315251</v>
      </c>
      <c r="I531" s="330"/>
      <c r="J531" s="1"/>
      <c r="K531" s="330"/>
      <c r="L531" s="1"/>
      <c r="M531" s="330"/>
      <c r="N531" s="330"/>
      <c r="O531" s="330"/>
      <c r="P531" s="330"/>
      <c r="Q531" s="329"/>
      <c r="R531" s="331">
        <f t="shared" si="41"/>
        <v>3419.9861112756266</v>
      </c>
      <c r="S531" s="331">
        <f t="shared" si="42"/>
        <v>3452.9531859156059</v>
      </c>
      <c r="T531" s="331">
        <f t="shared" si="43"/>
        <v>3486.2499313019853</v>
      </c>
      <c r="U531" s="331">
        <f t="shared" si="44"/>
        <v>3519.8796441422282</v>
      </c>
      <c r="V531" s="330"/>
      <c r="W531" s="330"/>
      <c r="X531" s="330"/>
      <c r="Y531" s="333"/>
      <c r="Z531"/>
      <c r="AA531"/>
      <c r="AB531"/>
    </row>
    <row r="532" spans="1:28" x14ac:dyDescent="0.25">
      <c r="A532" s="330"/>
      <c r="B532" s="332"/>
      <c r="C532" s="332">
        <v>-1.9511380599081522E-2</v>
      </c>
      <c r="D532" s="332">
        <v>0.69882176080780556</v>
      </c>
      <c r="E532" s="332">
        <v>0.21897014433974879</v>
      </c>
      <c r="F532" s="332">
        <v>3.7998957873926778E-2</v>
      </c>
      <c r="G532" s="330"/>
      <c r="H532" s="331">
        <f t="shared" si="40"/>
        <v>3258.223749087806</v>
      </c>
      <c r="I532" s="330"/>
      <c r="J532" s="1"/>
      <c r="K532" s="330"/>
      <c r="L532" s="1"/>
      <c r="M532" s="330"/>
      <c r="N532" s="330"/>
      <c r="O532" s="330"/>
      <c r="P532" s="330"/>
      <c r="Q532" s="329"/>
      <c r="R532" s="331">
        <f t="shared" si="41"/>
        <v>3291.1542487244928</v>
      </c>
      <c r="S532" s="331">
        <f t="shared" si="42"/>
        <v>3324.4140533575464</v>
      </c>
      <c r="T532" s="331">
        <f t="shared" si="43"/>
        <v>3358.006456036931</v>
      </c>
      <c r="U532" s="331">
        <f t="shared" si="44"/>
        <v>3391.9347827431093</v>
      </c>
      <c r="V532" s="330"/>
      <c r="W532" s="330"/>
      <c r="X532" s="330"/>
      <c r="Y532" s="333"/>
      <c r="Z532"/>
      <c r="AA532"/>
      <c r="AB532"/>
    </row>
    <row r="533" spans="1:28" x14ac:dyDescent="0.25">
      <c r="A533" s="330"/>
      <c r="B533" s="332"/>
      <c r="C533" s="332">
        <v>6.9066840474106633E-2</v>
      </c>
      <c r="D533" s="332">
        <v>0.25030380693636956</v>
      </c>
      <c r="E533" s="332">
        <v>0.1866091045746118</v>
      </c>
      <c r="F533" s="332">
        <v>4.6659047342396988E-2</v>
      </c>
      <c r="G533" s="330"/>
      <c r="H533" s="331">
        <f t="shared" si="40"/>
        <v>3387.3454433152547</v>
      </c>
      <c r="I533" s="330"/>
      <c r="J533" s="1"/>
      <c r="K533" s="330"/>
      <c r="L533" s="1"/>
      <c r="M533" s="330"/>
      <c r="N533" s="330"/>
      <c r="O533" s="330"/>
      <c r="P533" s="330"/>
      <c r="Q533" s="329"/>
      <c r="R533" s="331">
        <f t="shared" si="41"/>
        <v>3419.9861112756307</v>
      </c>
      <c r="S533" s="331">
        <f t="shared" si="42"/>
        <v>3452.95318591561</v>
      </c>
      <c r="T533" s="331">
        <f t="shared" si="43"/>
        <v>3486.2499313019894</v>
      </c>
      <c r="U533" s="331">
        <f t="shared" si="44"/>
        <v>3519.8796441422323</v>
      </c>
      <c r="V533" s="330"/>
      <c r="W533" s="330"/>
      <c r="X533" s="330"/>
      <c r="Y533"/>
      <c r="Z533"/>
      <c r="AA533"/>
      <c r="AB533"/>
    </row>
    <row r="534" spans="1:28" x14ac:dyDescent="0.25">
      <c r="A534" s="330"/>
      <c r="B534" s="332">
        <v>2.2292522992758534E-3</v>
      </c>
      <c r="C534" s="332">
        <v>5.7581043901240567E-2</v>
      </c>
      <c r="D534" s="332">
        <v>1.5592565488706851</v>
      </c>
      <c r="E534" s="332">
        <v>0.28844599178884806</v>
      </c>
      <c r="F534" s="332">
        <v>2.598001055683127E-2</v>
      </c>
      <c r="G534" s="330"/>
      <c r="H534" s="331">
        <f t="shared" si="40"/>
        <v>3134.4212627886845</v>
      </c>
      <c r="I534" s="330"/>
      <c r="J534" s="1"/>
      <c r="K534" s="330"/>
      <c r="L534" s="1"/>
      <c r="M534" s="330"/>
      <c r="N534" s="330"/>
      <c r="O534" s="330"/>
      <c r="P534" s="330"/>
      <c r="Q534" s="329"/>
      <c r="R534" s="331">
        <f t="shared" si="41"/>
        <v>3170.4087580464466</v>
      </c>
      <c r="S534" s="331">
        <f t="shared" si="42"/>
        <v>3206.7561282567858</v>
      </c>
      <c r="T534" s="331">
        <f t="shared" si="43"/>
        <v>3243.4669721692289</v>
      </c>
      <c r="U534" s="331">
        <f t="shared" si="44"/>
        <v>3280.5449245207965</v>
      </c>
      <c r="V534" s="330"/>
      <c r="W534" s="330"/>
      <c r="X534" s="330"/>
      <c r="Y534" s="333"/>
      <c r="Z534"/>
      <c r="AA534"/>
      <c r="AB534"/>
    </row>
    <row r="535" spans="1:28" x14ac:dyDescent="0.25">
      <c r="A535" s="330"/>
      <c r="B535" s="332">
        <v>2.2292522992758651E-3</v>
      </c>
      <c r="C535" s="332">
        <v>5.7581043901240685E-2</v>
      </c>
      <c r="D535" s="332">
        <v>1.5592565488706824</v>
      </c>
      <c r="E535" s="332">
        <v>0.28844599178884872</v>
      </c>
      <c r="F535" s="332">
        <v>2.5980010556831204E-2</v>
      </c>
      <c r="G535" s="330"/>
      <c r="H535" s="331">
        <f t="shared" si="40"/>
        <v>3134.4212627886805</v>
      </c>
      <c r="I535" s="330"/>
      <c r="J535" s="1"/>
      <c r="K535" s="330"/>
      <c r="L535" s="1"/>
      <c r="M535" s="330"/>
      <c r="N535" s="330"/>
      <c r="O535" s="330"/>
      <c r="P535" s="330"/>
      <c r="Q535" s="329"/>
      <c r="R535" s="331">
        <f t="shared" si="41"/>
        <v>3170.4087580464425</v>
      </c>
      <c r="S535" s="331">
        <f t="shared" si="42"/>
        <v>3206.7561282567822</v>
      </c>
      <c r="T535" s="331">
        <f t="shared" si="43"/>
        <v>3243.4669721692248</v>
      </c>
      <c r="U535" s="331">
        <f t="shared" si="44"/>
        <v>3280.5449245207924</v>
      </c>
      <c r="V535" s="330"/>
      <c r="W535" s="330"/>
      <c r="X535" s="330"/>
      <c r="Y535"/>
      <c r="Z535"/>
      <c r="AA535"/>
      <c r="AB535"/>
    </row>
    <row r="536" spans="1:28" x14ac:dyDescent="0.25">
      <c r="A536" s="330"/>
      <c r="B536" s="332"/>
      <c r="C536" s="332">
        <v>6.9066840474105801E-2</v>
      </c>
      <c r="D536" s="332">
        <v>0.25030380693638232</v>
      </c>
      <c r="E536" s="332">
        <v>0.18660910457461261</v>
      </c>
      <c r="F536" s="332">
        <v>4.6659047342396696E-2</v>
      </c>
      <c r="G536" s="330"/>
      <c r="H536" s="331">
        <f t="shared" si="40"/>
        <v>3387.3454433152519</v>
      </c>
      <c r="I536" s="330"/>
      <c r="J536" s="1"/>
      <c r="K536" s="330"/>
      <c r="L536" s="1"/>
      <c r="M536" s="330"/>
      <c r="N536" s="330"/>
      <c r="O536" s="330"/>
      <c r="P536" s="330"/>
      <c r="Q536" s="329"/>
      <c r="R536" s="331">
        <f t="shared" si="41"/>
        <v>3419.9861112756271</v>
      </c>
      <c r="S536" s="331">
        <f t="shared" si="42"/>
        <v>3452.9531859156068</v>
      </c>
      <c r="T536" s="331">
        <f t="shared" si="43"/>
        <v>3486.2499313019862</v>
      </c>
      <c r="U536" s="331">
        <f t="shared" si="44"/>
        <v>3519.8796441422292</v>
      </c>
      <c r="V536" s="330"/>
      <c r="W536" s="330"/>
      <c r="X536" s="330"/>
      <c r="Y536" s="333"/>
      <c r="Z536"/>
      <c r="AA536"/>
      <c r="AB536"/>
    </row>
    <row r="537" spans="1:28" x14ac:dyDescent="0.25">
      <c r="A537" s="330"/>
      <c r="B537" s="332"/>
      <c r="C537" s="332">
        <v>6.90668404741068E-2</v>
      </c>
      <c r="D537" s="332">
        <v>0.25030380693636489</v>
      </c>
      <c r="E537" s="332">
        <v>0.18660910457461138</v>
      </c>
      <c r="F537" s="332">
        <v>4.665904734239712E-2</v>
      </c>
      <c r="G537" s="330"/>
      <c r="H537" s="331">
        <f t="shared" si="40"/>
        <v>3387.3454433152565</v>
      </c>
      <c r="I537" s="330"/>
      <c r="J537" s="1"/>
      <c r="K537" s="330"/>
      <c r="L537" s="1"/>
      <c r="M537" s="330"/>
      <c r="N537" s="330"/>
      <c r="O537" s="330"/>
      <c r="P537" s="330"/>
      <c r="Q537" s="329"/>
      <c r="R537" s="331">
        <f t="shared" si="41"/>
        <v>3419.9861112756316</v>
      </c>
      <c r="S537" s="331">
        <f t="shared" si="42"/>
        <v>3452.9531859156118</v>
      </c>
      <c r="T537" s="331">
        <f t="shared" si="43"/>
        <v>3486.2499313019907</v>
      </c>
      <c r="U537" s="331">
        <f t="shared" si="44"/>
        <v>3519.8796441422337</v>
      </c>
      <c r="V537" s="330"/>
      <c r="W537" s="330"/>
      <c r="X537" s="330"/>
      <c r="Y537" s="333"/>
      <c r="Z537"/>
      <c r="AA537"/>
      <c r="AB537"/>
    </row>
    <row r="538" spans="1:28" x14ac:dyDescent="0.25">
      <c r="A538" s="330"/>
      <c r="B538" s="332">
        <v>1.2820179335136074E-3</v>
      </c>
      <c r="C538" s="332">
        <v>4.1406206309018936E-2</v>
      </c>
      <c r="D538" s="332">
        <v>1.5503018323965236</v>
      </c>
      <c r="E538" s="332">
        <v>0.27841004614955439</v>
      </c>
      <c r="F538" s="332">
        <v>2.2097187332702925E-2</v>
      </c>
      <c r="G538" s="330"/>
      <c r="H538" s="331">
        <f t="shared" si="40"/>
        <v>3110.3056398070444</v>
      </c>
      <c r="I538" s="330"/>
      <c r="J538" s="1"/>
      <c r="K538" s="330"/>
      <c r="L538" s="1"/>
      <c r="M538" s="330"/>
      <c r="N538" s="330"/>
      <c r="O538" s="330"/>
      <c r="P538" s="330"/>
      <c r="Q538" s="329"/>
      <c r="R538" s="331">
        <f t="shared" si="41"/>
        <v>3143.9309905222362</v>
      </c>
      <c r="S538" s="331">
        <f t="shared" si="42"/>
        <v>3177.8925947445796</v>
      </c>
      <c r="T538" s="331">
        <f t="shared" si="43"/>
        <v>3212.193815009146</v>
      </c>
      <c r="U538" s="331">
        <f t="shared" si="44"/>
        <v>3246.838047476359</v>
      </c>
      <c r="V538" s="330"/>
      <c r="W538" s="330"/>
      <c r="X538" s="330"/>
      <c r="Y538"/>
      <c r="Z538"/>
      <c r="AA538"/>
      <c r="AB538"/>
    </row>
    <row r="539" spans="1:28" x14ac:dyDescent="0.25">
      <c r="A539" s="330"/>
      <c r="B539" s="332">
        <v>1.3805230339611276E-3</v>
      </c>
      <c r="C539" s="332">
        <v>4.8567421495095957E-2</v>
      </c>
      <c r="D539" s="332">
        <v>1.5022518475812474</v>
      </c>
      <c r="E539" s="332">
        <v>0.27533390891242598</v>
      </c>
      <c r="F539" s="332">
        <v>2.387443862368276E-2</v>
      </c>
      <c r="G539" s="330"/>
      <c r="H539" s="331">
        <f t="shared" si="40"/>
        <v>3136.0934584731831</v>
      </c>
      <c r="I539" s="330"/>
      <c r="J539" s="1"/>
      <c r="K539" s="330"/>
      <c r="L539" s="1"/>
      <c r="M539" s="330"/>
      <c r="N539" s="330"/>
      <c r="O539" s="330"/>
      <c r="P539" s="330"/>
      <c r="Q539" s="329"/>
      <c r="R539" s="331">
        <f t="shared" si="41"/>
        <v>3170.0994554259037</v>
      </c>
      <c r="S539" s="331">
        <f t="shared" si="42"/>
        <v>3204.4455123481521</v>
      </c>
      <c r="T539" s="331">
        <f t="shared" si="43"/>
        <v>3239.1350298396228</v>
      </c>
      <c r="U539" s="331">
        <f t="shared" si="44"/>
        <v>3274.1714425060086</v>
      </c>
      <c r="V539" s="330"/>
      <c r="W539" s="330"/>
      <c r="X539" s="330"/>
      <c r="Y539"/>
      <c r="Z539"/>
      <c r="AA539"/>
      <c r="AB539"/>
    </row>
    <row r="540" spans="1:28" x14ac:dyDescent="0.25">
      <c r="A540" s="330"/>
      <c r="B540" s="332"/>
      <c r="C540" s="332">
        <v>7.0734125224865663E-2</v>
      </c>
      <c r="D540" s="332">
        <v>0.23308692956318394</v>
      </c>
      <c r="E540" s="332">
        <v>0.18547659786309084</v>
      </c>
      <c r="F540" s="332">
        <v>4.6947303720973908E-2</v>
      </c>
      <c r="G540" s="330"/>
      <c r="H540" s="331">
        <f t="shared" si="40"/>
        <v>3387.7434699508603</v>
      </c>
      <c r="I540" s="330"/>
      <c r="J540" s="1"/>
      <c r="K540" s="330"/>
      <c r="L540" s="1"/>
      <c r="M540" s="330"/>
      <c r="N540" s="330"/>
      <c r="O540" s="330"/>
      <c r="P540" s="330"/>
      <c r="Q540" s="329"/>
      <c r="R540" s="331">
        <f t="shared" si="41"/>
        <v>3420.3583585118408</v>
      </c>
      <c r="S540" s="331">
        <f t="shared" si="42"/>
        <v>3453.2993959584314</v>
      </c>
      <c r="T540" s="331">
        <f t="shared" si="43"/>
        <v>3486.5698437794877</v>
      </c>
      <c r="U540" s="331">
        <f t="shared" si="44"/>
        <v>3520.1729960787543</v>
      </c>
      <c r="V540" s="330"/>
      <c r="W540" s="330"/>
      <c r="X540" s="330"/>
      <c r="Y540" s="333"/>
      <c r="Z540"/>
      <c r="AA540"/>
      <c r="AB540"/>
    </row>
    <row r="541" spans="1:28" x14ac:dyDescent="0.25">
      <c r="A541" s="330"/>
      <c r="B541" s="332">
        <v>3.1377601595137736E-3</v>
      </c>
      <c r="C541" s="332">
        <v>1.6682041239500449E-2</v>
      </c>
      <c r="D541" s="332">
        <v>2.1959008601871588</v>
      </c>
      <c r="E541" s="332">
        <v>0.37846870056837556</v>
      </c>
      <c r="F541" s="332">
        <v>9.4215136995411629E-5</v>
      </c>
      <c r="G541" s="330"/>
      <c r="H541" s="331">
        <f t="shared" si="40"/>
        <v>2474.1108064535306</v>
      </c>
      <c r="I541" s="330"/>
      <c r="J541" s="1"/>
      <c r="K541" s="330"/>
      <c r="L541" s="1"/>
      <c r="M541" s="330"/>
      <c r="N541" s="330"/>
      <c r="O541" s="330"/>
      <c r="P541" s="330"/>
      <c r="Q541" s="329"/>
      <c r="R541" s="331">
        <f t="shared" si="41"/>
        <v>2506.5363892762375</v>
      </c>
      <c r="S541" s="331">
        <f t="shared" si="42"/>
        <v>2539.2862279271717</v>
      </c>
      <c r="T541" s="331">
        <f t="shared" si="43"/>
        <v>2572.3635649646153</v>
      </c>
      <c r="U541" s="331">
        <f t="shared" si="44"/>
        <v>2605.771675372433</v>
      </c>
      <c r="V541" s="330"/>
      <c r="W541" s="330"/>
      <c r="X541" s="330"/>
      <c r="Y541" s="333"/>
      <c r="Z541"/>
      <c r="AA541"/>
      <c r="AB541"/>
    </row>
    <row r="542" spans="1:28" x14ac:dyDescent="0.25">
      <c r="A542" s="330"/>
      <c r="B542" s="332">
        <v>2.2622398119529399E-3</v>
      </c>
      <c r="C542" s="332">
        <v>7.2415664280052736E-2</v>
      </c>
      <c r="D542" s="332">
        <v>2.2591134865670472</v>
      </c>
      <c r="E542" s="332">
        <v>0.31450839469667852</v>
      </c>
      <c r="F542" s="332"/>
      <c r="G542" s="330"/>
      <c r="H542" s="331">
        <f t="shared" si="40"/>
        <v>2496.4167603521769</v>
      </c>
      <c r="I542" s="330"/>
      <c r="J542" s="1"/>
      <c r="K542" s="330"/>
      <c r="L542" s="1"/>
      <c r="M542" s="330"/>
      <c r="N542" s="330"/>
      <c r="O542" s="330"/>
      <c r="P542" s="330"/>
      <c r="Q542" s="329"/>
      <c r="R542" s="331">
        <f t="shared" si="41"/>
        <v>2525.8433426279312</v>
      </c>
      <c r="S542" s="331">
        <f t="shared" si="42"/>
        <v>2555.5641907264426</v>
      </c>
      <c r="T542" s="331">
        <f t="shared" si="43"/>
        <v>2585.5822473059393</v>
      </c>
      <c r="U542" s="331">
        <f t="shared" si="44"/>
        <v>2615.900484451231</v>
      </c>
      <c r="V542" s="330"/>
      <c r="W542" s="330"/>
      <c r="X542" s="330"/>
      <c r="Y542" s="333"/>
      <c r="Z542"/>
      <c r="AA542"/>
      <c r="AB542"/>
    </row>
    <row r="543" spans="1:28" x14ac:dyDescent="0.25">
      <c r="A543" s="330"/>
      <c r="B543" s="332">
        <v>1.5851080668454166E-3</v>
      </c>
      <c r="C543" s="332">
        <v>5.0273553568794135E-2</v>
      </c>
      <c r="D543" s="332">
        <v>1.4526722989582419</v>
      </c>
      <c r="E543" s="332">
        <v>0.27340157877106935</v>
      </c>
      <c r="F543" s="332">
        <v>2.645656948596424E-2</v>
      </c>
      <c r="G543" s="330"/>
      <c r="H543" s="331">
        <f t="shared" si="40"/>
        <v>3167.2974867918383</v>
      </c>
      <c r="I543" s="330"/>
      <c r="J543" s="1"/>
      <c r="K543" s="330"/>
      <c r="L543" s="1"/>
      <c r="M543" s="330"/>
      <c r="N543" s="330"/>
      <c r="O543" s="330"/>
      <c r="P543" s="330"/>
      <c r="Q543" s="329"/>
      <c r="R543" s="331">
        <f t="shared" si="41"/>
        <v>3202.1055205358816</v>
      </c>
      <c r="S543" s="331">
        <f t="shared" si="42"/>
        <v>3237.2616346173663</v>
      </c>
      <c r="T543" s="331">
        <f t="shared" si="43"/>
        <v>3272.7693098396658</v>
      </c>
      <c r="U543" s="331">
        <f t="shared" si="44"/>
        <v>3308.6320618141876</v>
      </c>
      <c r="V543" s="330"/>
      <c r="W543" s="330"/>
      <c r="X543" s="330"/>
      <c r="Y543" s="333"/>
      <c r="Z543"/>
      <c r="AA543"/>
      <c r="AB543"/>
    </row>
    <row r="544" spans="1:28" x14ac:dyDescent="0.25">
      <c r="A544" s="330"/>
      <c r="B544" s="332">
        <v>1.3622154122251255E-3</v>
      </c>
      <c r="C544" s="332">
        <v>4.4910071900695701E-2</v>
      </c>
      <c r="D544" s="332">
        <v>1.2029325662945094</v>
      </c>
      <c r="E544" s="332">
        <v>0.25415668609929742</v>
      </c>
      <c r="F544" s="332">
        <v>3.2461496350683523E-2</v>
      </c>
      <c r="G544" s="330"/>
      <c r="H544" s="331">
        <f t="shared" si="40"/>
        <v>3246.4230843138967</v>
      </c>
      <c r="I544" s="330"/>
      <c r="J544" s="1"/>
      <c r="K544" s="330"/>
      <c r="L544" s="1"/>
      <c r="M544" s="330"/>
      <c r="N544" s="330"/>
      <c r="O544" s="330"/>
      <c r="P544" s="330"/>
      <c r="Q544" s="329"/>
      <c r="R544" s="331">
        <f t="shared" si="41"/>
        <v>3281.5510849473785</v>
      </c>
      <c r="S544" s="331">
        <f t="shared" si="42"/>
        <v>3317.0303655871958</v>
      </c>
      <c r="T544" s="331">
        <f t="shared" si="43"/>
        <v>3352.8644390334111</v>
      </c>
      <c r="U544" s="331">
        <f t="shared" si="44"/>
        <v>3389.0568532140887</v>
      </c>
      <c r="V544" s="330"/>
      <c r="W544" s="330"/>
      <c r="X544" s="330"/>
      <c r="Y544"/>
      <c r="Z544"/>
      <c r="AA544"/>
      <c r="AB544"/>
    </row>
    <row r="545" spans="1:28" x14ac:dyDescent="0.25">
      <c r="A545" s="330"/>
      <c r="B545" s="332">
        <v>1.8077668106736805E-3</v>
      </c>
      <c r="C545" s="332">
        <v>9.134432142614976E-2</v>
      </c>
      <c r="D545" s="332">
        <v>0.4738972273987469</v>
      </c>
      <c r="E545" s="332">
        <v>0.22957800988734584</v>
      </c>
      <c r="F545" s="332">
        <v>4.4438908371985525E-2</v>
      </c>
      <c r="G545" s="330"/>
      <c r="H545" s="331">
        <f t="shared" si="40"/>
        <v>3217.6772442644415</v>
      </c>
      <c r="I545" s="330"/>
      <c r="J545" s="1"/>
      <c r="K545" s="330"/>
      <c r="L545" s="1"/>
      <c r="M545" s="330"/>
      <c r="N545" s="330"/>
      <c r="O545" s="330"/>
      <c r="P545" s="330"/>
      <c r="Q545" s="329"/>
      <c r="R545" s="331">
        <f t="shared" si="41"/>
        <v>3252.8224238356579</v>
      </c>
      <c r="S545" s="331">
        <f t="shared" si="42"/>
        <v>3288.3190552025872</v>
      </c>
      <c r="T545" s="331">
        <f t="shared" si="43"/>
        <v>3324.1706528831864</v>
      </c>
      <c r="U545" s="331">
        <f t="shared" si="44"/>
        <v>3360.3807665405902</v>
      </c>
      <c r="V545" s="330"/>
      <c r="W545" s="330"/>
      <c r="X545" s="330"/>
      <c r="Y545"/>
      <c r="Z545"/>
      <c r="AA545"/>
      <c r="AB545"/>
    </row>
    <row r="546" spans="1:28" x14ac:dyDescent="0.25">
      <c r="A546" s="330"/>
      <c r="B546" s="332">
        <v>7.9687760136806195E-3</v>
      </c>
      <c r="C546" s="332">
        <v>0.1407930468512168</v>
      </c>
      <c r="D546" s="332"/>
      <c r="E546" s="332">
        <v>0.52360261927796248</v>
      </c>
      <c r="F546" s="332">
        <v>9.4992312163732988E-5</v>
      </c>
      <c r="G546" s="330"/>
      <c r="H546" s="331">
        <f t="shared" si="40"/>
        <v>947.92579383073041</v>
      </c>
      <c r="I546" s="330"/>
      <c r="J546" s="1"/>
      <c r="K546" s="330"/>
      <c r="L546" s="1"/>
      <c r="M546" s="330"/>
      <c r="N546" s="330"/>
      <c r="O546" s="330"/>
      <c r="P546" s="330"/>
      <c r="Q546" s="329"/>
      <c r="R546" s="331">
        <f t="shared" si="41"/>
        <v>975.16400270621682</v>
      </c>
      <c r="S546" s="331">
        <f t="shared" si="42"/>
        <v>1002.6745936704577</v>
      </c>
      <c r="T546" s="331">
        <f t="shared" si="43"/>
        <v>1030.4602905443417</v>
      </c>
      <c r="U546" s="331">
        <f t="shared" si="44"/>
        <v>1058.5238443869641</v>
      </c>
      <c r="V546" s="330"/>
      <c r="W546" s="330"/>
      <c r="X546" s="330"/>
      <c r="Y546" s="333"/>
      <c r="Z546"/>
      <c r="AA546"/>
      <c r="AB546"/>
    </row>
    <row r="547" spans="1:28" x14ac:dyDescent="0.25">
      <c r="A547" s="330"/>
      <c r="B547" s="332">
        <v>2.2292522992758716E-3</v>
      </c>
      <c r="C547" s="332">
        <v>5.7581043901240567E-2</v>
      </c>
      <c r="D547" s="332">
        <v>1.5592565488706824</v>
      </c>
      <c r="E547" s="332">
        <v>0.28844599178884889</v>
      </c>
      <c r="F547" s="332">
        <v>2.5980010556831256E-2</v>
      </c>
      <c r="G547" s="330"/>
      <c r="H547" s="331">
        <f t="shared" si="40"/>
        <v>3134.4212627886818</v>
      </c>
      <c r="I547" s="330"/>
      <c r="J547" s="1"/>
      <c r="K547" s="330"/>
      <c r="L547" s="1"/>
      <c r="M547" s="330"/>
      <c r="N547" s="330"/>
      <c r="O547" s="330"/>
      <c r="P547" s="330"/>
      <c r="Q547" s="329"/>
      <c r="R547" s="331">
        <f t="shared" si="41"/>
        <v>3170.4087580464438</v>
      </c>
      <c r="S547" s="331">
        <f t="shared" si="42"/>
        <v>3206.7561282567831</v>
      </c>
      <c r="T547" s="331">
        <f t="shared" si="43"/>
        <v>3243.4669721692262</v>
      </c>
      <c r="U547" s="331">
        <f t="shared" si="44"/>
        <v>3280.5449245207938</v>
      </c>
      <c r="V547" s="330"/>
      <c r="W547" s="330"/>
      <c r="X547" s="330"/>
      <c r="Y547" s="333"/>
      <c r="Z547"/>
      <c r="AA547"/>
      <c r="AB547"/>
    </row>
    <row r="548" spans="1:28" x14ac:dyDescent="0.25">
      <c r="A548" s="330"/>
      <c r="B548" s="332">
        <v>1.3876904136133494E-2</v>
      </c>
      <c r="C548" s="332">
        <v>6.0362073040264946E-2</v>
      </c>
      <c r="D548" s="332">
        <v>2.3915370431860881</v>
      </c>
      <c r="E548" s="332">
        <v>0.64618558422760952</v>
      </c>
      <c r="F548" s="332"/>
      <c r="G548" s="330"/>
      <c r="H548" s="331">
        <f t="shared" si="40"/>
        <v>1319.5943580481244</v>
      </c>
      <c r="I548" s="330"/>
      <c r="J548" s="1"/>
      <c r="K548" s="330"/>
      <c r="L548" s="1"/>
      <c r="M548" s="330"/>
      <c r="N548" s="330"/>
      <c r="O548" s="330"/>
      <c r="P548" s="330"/>
      <c r="Q548" s="329"/>
      <c r="R548" s="331">
        <f t="shared" si="41"/>
        <v>1367.0147312856514</v>
      </c>
      <c r="S548" s="331">
        <f t="shared" si="42"/>
        <v>1414.9093082555542</v>
      </c>
      <c r="T548" s="331">
        <f t="shared" si="43"/>
        <v>1463.2828309951556</v>
      </c>
      <c r="U548" s="331">
        <f t="shared" si="44"/>
        <v>1512.140088962153</v>
      </c>
      <c r="V548" s="330"/>
      <c r="W548" s="330"/>
      <c r="X548" s="330"/>
      <c r="Y548"/>
      <c r="Z548"/>
      <c r="AA548"/>
      <c r="AB548"/>
    </row>
    <row r="549" spans="1:28" x14ac:dyDescent="0.25">
      <c r="A549" s="330"/>
      <c r="B549" s="332">
        <v>2.4840859015069065E-3</v>
      </c>
      <c r="C549" s="332">
        <v>5.7257437788567442E-2</v>
      </c>
      <c r="D549" s="332">
        <v>1.5462954114060103</v>
      </c>
      <c r="E549" s="332">
        <v>0.29102682932644025</v>
      </c>
      <c r="F549" s="332">
        <v>2.739844506643617E-2</v>
      </c>
      <c r="G549" s="330"/>
      <c r="H549" s="331">
        <f t="shared" si="40"/>
        <v>3140.2631995057968</v>
      </c>
      <c r="I549" s="330"/>
      <c r="J549" s="1"/>
      <c r="K549" s="330"/>
      <c r="L549" s="1"/>
      <c r="M549" s="330"/>
      <c r="N549" s="330"/>
      <c r="O549" s="330"/>
      <c r="P549" s="330"/>
      <c r="Q549" s="329"/>
      <c r="R549" s="331">
        <f t="shared" si="41"/>
        <v>3176.9631685372005</v>
      </c>
      <c r="S549" s="331">
        <f t="shared" si="42"/>
        <v>3214.0301372589174</v>
      </c>
      <c r="T549" s="331">
        <f t="shared" si="43"/>
        <v>3251.4677756678529</v>
      </c>
      <c r="U549" s="331">
        <f t="shared" si="44"/>
        <v>3289.2797904608769</v>
      </c>
      <c r="V549" s="330"/>
      <c r="W549" s="330"/>
      <c r="X549" s="330"/>
      <c r="Y549" s="333"/>
      <c r="Z549"/>
      <c r="AA549"/>
      <c r="AB549"/>
    </row>
    <row r="550" spans="1:28" x14ac:dyDescent="0.25">
      <c r="A550" s="330"/>
      <c r="B550" s="332">
        <v>9.5275859788355433E-5</v>
      </c>
      <c r="C550" s="332">
        <v>6.9504549981375854E-2</v>
      </c>
      <c r="D550" s="332">
        <v>0.30949958263517907</v>
      </c>
      <c r="E550" s="332">
        <v>0.19167588983083547</v>
      </c>
      <c r="F550" s="332">
        <v>4.5495409606091795E-2</v>
      </c>
      <c r="G550" s="330"/>
      <c r="H550" s="331">
        <f t="shared" si="40"/>
        <v>3370.8948841774823</v>
      </c>
      <c r="I550" s="330"/>
      <c r="J550" s="1"/>
      <c r="K550" s="330"/>
      <c r="L550" s="1"/>
      <c r="M550" s="330"/>
      <c r="N550" s="330"/>
      <c r="O550" s="330"/>
      <c r="P550" s="330"/>
      <c r="Q550" s="329"/>
      <c r="R550" s="331">
        <f t="shared" si="41"/>
        <v>3403.6056087056304</v>
      </c>
      <c r="S550" s="331">
        <f t="shared" si="42"/>
        <v>3436.6434404790602</v>
      </c>
      <c r="T550" s="331">
        <f t="shared" si="43"/>
        <v>3470.011650570224</v>
      </c>
      <c r="U550" s="331">
        <f t="shared" si="44"/>
        <v>3503.7135427622998</v>
      </c>
      <c r="V550" s="330"/>
      <c r="W550" s="330"/>
      <c r="X550" s="330"/>
      <c r="Y550" s="333"/>
      <c r="Z550"/>
      <c r="AA550"/>
      <c r="AB550"/>
    </row>
    <row r="551" spans="1:28" x14ac:dyDescent="0.25">
      <c r="A551" s="330"/>
      <c r="B551" s="332">
        <v>2.7687590688057345E-3</v>
      </c>
      <c r="C551" s="332">
        <v>0.37333421903626829</v>
      </c>
      <c r="D551" s="332"/>
      <c r="E551" s="332"/>
      <c r="F551" s="332"/>
      <c r="G551" s="330"/>
      <c r="H551" s="331">
        <f t="shared" si="40"/>
        <v>-37.981365445777101</v>
      </c>
      <c r="I551" s="330"/>
      <c r="J551" s="1"/>
      <c r="K551" s="330"/>
      <c r="L551" s="1"/>
      <c r="M551" s="330"/>
      <c r="N551" s="330"/>
      <c r="O551" s="330"/>
      <c r="P551" s="330"/>
      <c r="Q551" s="329"/>
      <c r="R551" s="331">
        <f t="shared" si="41"/>
        <v>-37.981365445777101</v>
      </c>
      <c r="S551" s="331">
        <f t="shared" si="42"/>
        <v>-37.981365445777101</v>
      </c>
      <c r="T551" s="331">
        <f t="shared" si="43"/>
        <v>-37.981365445777101</v>
      </c>
      <c r="U551" s="331">
        <f t="shared" si="44"/>
        <v>-37.981365445777101</v>
      </c>
      <c r="V551" s="330"/>
      <c r="W551" s="330"/>
      <c r="X551" s="330"/>
      <c r="Y551" s="333"/>
      <c r="Z551"/>
      <c r="AA551"/>
      <c r="AB551"/>
    </row>
    <row r="552" spans="1:28" x14ac:dyDescent="0.25">
      <c r="A552" s="330"/>
      <c r="B552" s="332">
        <v>1.9169982090762774E-5</v>
      </c>
      <c r="C552" s="332">
        <v>6.9073252979369365E-2</v>
      </c>
      <c r="D552" s="332">
        <v>0.26713698651067669</v>
      </c>
      <c r="E552" s="332">
        <v>0.18778701162376851</v>
      </c>
      <c r="F552" s="332">
        <v>4.6348352640209756E-2</v>
      </c>
      <c r="G552" s="330"/>
      <c r="H552" s="331">
        <f t="shared" si="40"/>
        <v>3384.0377153144573</v>
      </c>
      <c r="I552" s="330"/>
      <c r="J552" s="1"/>
      <c r="K552" s="330"/>
      <c r="L552" s="1"/>
      <c r="M552" s="330"/>
      <c r="N552" s="330"/>
      <c r="O552" s="330"/>
      <c r="P552" s="330"/>
      <c r="Q552" s="329"/>
      <c r="R552" s="331">
        <f t="shared" si="41"/>
        <v>3416.6939585885543</v>
      </c>
      <c r="S552" s="331">
        <f t="shared" si="42"/>
        <v>3449.6767642953923</v>
      </c>
      <c r="T552" s="331">
        <f t="shared" si="43"/>
        <v>3482.9893980592988</v>
      </c>
      <c r="U552" s="331">
        <f t="shared" si="44"/>
        <v>3516.6351581608442</v>
      </c>
      <c r="V552" s="330"/>
      <c r="W552" s="330"/>
      <c r="X552" s="330"/>
      <c r="Y552" s="333"/>
      <c r="Z552"/>
      <c r="AA552"/>
      <c r="AB552"/>
    </row>
    <row r="553" spans="1:28" x14ac:dyDescent="0.25">
      <c r="A553" s="330"/>
      <c r="B553" s="332">
        <v>3.8769847380588189E-3</v>
      </c>
      <c r="C553" s="332">
        <v>5.7696930349436848E-2</v>
      </c>
      <c r="D553" s="332">
        <v>1.510053988621427</v>
      </c>
      <c r="E553" s="332">
        <v>0.32007697626425546</v>
      </c>
      <c r="F553" s="332">
        <v>3.0069077547255567E-2</v>
      </c>
      <c r="G553" s="330"/>
      <c r="H553" s="331">
        <f t="shared" si="40"/>
        <v>3039.6295153823548</v>
      </c>
      <c r="I553" s="330"/>
      <c r="J553" s="1"/>
      <c r="K553" s="330"/>
      <c r="L553" s="1"/>
      <c r="M553" s="330"/>
      <c r="N553" s="330"/>
      <c r="O553" s="330"/>
      <c r="P553" s="330"/>
      <c r="Q553" s="329"/>
      <c r="R553" s="331">
        <f t="shared" si="41"/>
        <v>3078.8587371597705</v>
      </c>
      <c r="S553" s="331">
        <f t="shared" si="42"/>
        <v>3118.4802511549597</v>
      </c>
      <c r="T553" s="331">
        <f t="shared" si="43"/>
        <v>3158.4979802901016</v>
      </c>
      <c r="U553" s="331">
        <f t="shared" si="44"/>
        <v>3198.9158867165947</v>
      </c>
      <c r="V553" s="330"/>
      <c r="W553" s="330"/>
      <c r="X553" s="330"/>
      <c r="Y553" s="333"/>
      <c r="Z553"/>
      <c r="AA553"/>
      <c r="AB553"/>
    </row>
    <row r="554" spans="1:28" x14ac:dyDescent="0.25">
      <c r="A554" s="330"/>
      <c r="B554" s="332">
        <v>5.6933252328135835E-5</v>
      </c>
      <c r="C554" s="332">
        <v>7.1052106547047078E-2</v>
      </c>
      <c r="D554" s="332">
        <v>0.23535768148059022</v>
      </c>
      <c r="E554" s="332">
        <v>0.18678397583292913</v>
      </c>
      <c r="F554" s="332">
        <v>4.7031277312355443E-2</v>
      </c>
      <c r="G554" s="330"/>
      <c r="H554" s="331">
        <f t="shared" si="40"/>
        <v>3385.8028045016658</v>
      </c>
      <c r="I554" s="330"/>
      <c r="J554" s="1"/>
      <c r="K554" s="330"/>
      <c r="L554" s="1"/>
      <c r="M554" s="330"/>
      <c r="N554" s="330"/>
      <c r="O554" s="330"/>
      <c r="P554" s="330"/>
      <c r="Q554" s="329"/>
      <c r="R554" s="331">
        <f t="shared" si="41"/>
        <v>3418.5374447895492</v>
      </c>
      <c r="S554" s="331">
        <f t="shared" si="42"/>
        <v>3451.599431480312</v>
      </c>
      <c r="T554" s="331">
        <f t="shared" si="43"/>
        <v>3484.9920380379817</v>
      </c>
      <c r="U554" s="331">
        <f t="shared" si="44"/>
        <v>3518.7185706612281</v>
      </c>
      <c r="V554" s="330"/>
      <c r="W554" s="330"/>
      <c r="X554" s="330"/>
      <c r="Y554" s="333"/>
      <c r="Z554"/>
      <c r="AA554"/>
      <c r="AB554"/>
    </row>
    <row r="555" spans="1:28" x14ac:dyDescent="0.25">
      <c r="A555" s="330"/>
      <c r="B555" s="332"/>
      <c r="C555" s="332">
        <v>-0.28580153827681454</v>
      </c>
      <c r="D555" s="332">
        <v>1.3056432808457685</v>
      </c>
      <c r="E555" s="332">
        <v>0.274393836676463</v>
      </c>
      <c r="F555" s="332">
        <v>2.4030668871722904E-2</v>
      </c>
      <c r="G555" s="330"/>
      <c r="H555" s="331">
        <f t="shared" si="40"/>
        <v>2778.8455864747193</v>
      </c>
      <c r="I555" s="330"/>
      <c r="J555" s="1"/>
      <c r="K555" s="330"/>
      <c r="L555" s="1"/>
      <c r="M555" s="330"/>
      <c r="N555" s="330"/>
      <c r="O555" s="330"/>
      <c r="P555" s="330"/>
      <c r="Q555" s="329"/>
      <c r="R555" s="331">
        <f t="shared" si="41"/>
        <v>2811.7353654616472</v>
      </c>
      <c r="S555" s="331">
        <f t="shared" si="42"/>
        <v>2844.9540422384434</v>
      </c>
      <c r="T555" s="331">
        <f t="shared" si="43"/>
        <v>2878.5049057830083</v>
      </c>
      <c r="U555" s="331">
        <f t="shared" si="44"/>
        <v>2912.3912779630186</v>
      </c>
      <c r="V555" s="330"/>
      <c r="W555" s="330"/>
      <c r="X555" s="330"/>
      <c r="Y555"/>
      <c r="Z555"/>
      <c r="AA555"/>
      <c r="AB555"/>
    </row>
    <row r="556" spans="1:28" x14ac:dyDescent="0.25">
      <c r="A556" s="330"/>
      <c r="B556" s="332">
        <v>2.2291052252662443E-3</v>
      </c>
      <c r="C556" s="332">
        <v>5.6553616423305891E-2</v>
      </c>
      <c r="D556" s="332">
        <v>1.552630430483902</v>
      </c>
      <c r="E556" s="332">
        <v>0.28712053408797905</v>
      </c>
      <c r="F556" s="332">
        <v>2.6509250910011151E-2</v>
      </c>
      <c r="G556" s="330"/>
      <c r="H556" s="331">
        <f t="shared" si="40"/>
        <v>3146.2855794680327</v>
      </c>
      <c r="I556" s="330"/>
      <c r="J556" s="1"/>
      <c r="K556" s="330"/>
      <c r="L556" s="1"/>
      <c r="M556" s="330"/>
      <c r="N556" s="330"/>
      <c r="O556" s="330"/>
      <c r="P556" s="330"/>
      <c r="Q556" s="329"/>
      <c r="R556" s="331">
        <f t="shared" si="41"/>
        <v>3182.409682484983</v>
      </c>
      <c r="S556" s="331">
        <f t="shared" si="42"/>
        <v>3218.8950265321027</v>
      </c>
      <c r="T556" s="331">
        <f t="shared" si="43"/>
        <v>3255.7452240196944</v>
      </c>
      <c r="U556" s="331">
        <f t="shared" si="44"/>
        <v>3292.9639234821611</v>
      </c>
      <c r="V556" s="330"/>
      <c r="W556" s="330"/>
      <c r="X556" s="330"/>
      <c r="Y556"/>
      <c r="Z556"/>
      <c r="AA556"/>
      <c r="AB556"/>
    </row>
    <row r="557" spans="1:28" x14ac:dyDescent="0.25">
      <c r="A557" s="330"/>
      <c r="B557" s="332">
        <v>1.6518599944788173E-3</v>
      </c>
      <c r="C557" s="332">
        <v>2.4319545156949139E-3</v>
      </c>
      <c r="D557" s="332">
        <v>1.8468668313824825</v>
      </c>
      <c r="E557" s="332">
        <v>0.34071082944243053</v>
      </c>
      <c r="F557" s="332"/>
      <c r="G557" s="330"/>
      <c r="H557" s="331">
        <f t="shared" si="40"/>
        <v>2423.9626684976929</v>
      </c>
      <c r="I557" s="330"/>
      <c r="J557" s="1"/>
      <c r="K557" s="330"/>
      <c r="L557" s="1"/>
      <c r="M557" s="330"/>
      <c r="N557" s="330"/>
      <c r="O557" s="330"/>
      <c r="P557" s="330"/>
      <c r="Q557" s="329"/>
      <c r="R557" s="331">
        <f t="shared" si="41"/>
        <v>2452.3610994643523</v>
      </c>
      <c r="S557" s="331">
        <f t="shared" si="42"/>
        <v>2481.0435147406774</v>
      </c>
      <c r="T557" s="331">
        <f t="shared" si="43"/>
        <v>2510.0127541697666</v>
      </c>
      <c r="U557" s="331">
        <f t="shared" si="44"/>
        <v>2539.2716859931461</v>
      </c>
      <c r="V557" s="330"/>
      <c r="W557" s="330"/>
      <c r="X557" s="330"/>
      <c r="Y557" s="333"/>
      <c r="Z557"/>
      <c r="AA557"/>
      <c r="AB557"/>
    </row>
    <row r="558" spans="1:28" x14ac:dyDescent="0.25">
      <c r="A558" s="330"/>
      <c r="B558" s="332">
        <v>1.6826576524693409E-4</v>
      </c>
      <c r="C558" s="332">
        <v>6.6827776308769293E-2</v>
      </c>
      <c r="D558" s="332">
        <v>0.43668071300026245</v>
      </c>
      <c r="E558" s="332">
        <v>0.19967412876390075</v>
      </c>
      <c r="F558" s="332">
        <v>4.2989679714614072E-2</v>
      </c>
      <c r="G558" s="330"/>
      <c r="H558" s="331">
        <f t="shared" si="40"/>
        <v>3347.3413631137673</v>
      </c>
      <c r="I558" s="330"/>
      <c r="J558" s="1"/>
      <c r="K558" s="330"/>
      <c r="L558" s="1"/>
      <c r="M558" s="330"/>
      <c r="N558" s="330"/>
      <c r="O558" s="330"/>
      <c r="P558" s="330"/>
      <c r="Q558" s="329"/>
      <c r="R558" s="331">
        <f t="shared" si="41"/>
        <v>3380.0500117012352</v>
      </c>
      <c r="S558" s="331">
        <f t="shared" si="42"/>
        <v>3413.0857467745786</v>
      </c>
      <c r="T558" s="331">
        <f t="shared" si="43"/>
        <v>3446.4518391986558</v>
      </c>
      <c r="U558" s="331">
        <f t="shared" si="44"/>
        <v>3480.1515925469726</v>
      </c>
      <c r="V558" s="330"/>
      <c r="W558" s="330"/>
      <c r="X558" s="330"/>
      <c r="Y558" s="333"/>
      <c r="Z558"/>
      <c r="AA558"/>
      <c r="AB558"/>
    </row>
    <row r="559" spans="1:28" x14ac:dyDescent="0.25">
      <c r="A559" s="330"/>
      <c r="B559" s="332"/>
      <c r="C559" s="332">
        <v>7.0734125224865954E-2</v>
      </c>
      <c r="D559" s="332">
        <v>0.23308692956317512</v>
      </c>
      <c r="E559" s="332">
        <v>0.18547659786309006</v>
      </c>
      <c r="F559" s="332">
        <v>4.6947303720974116E-2</v>
      </c>
      <c r="G559" s="330"/>
      <c r="H559" s="331">
        <f t="shared" si="40"/>
        <v>3387.7434699508613</v>
      </c>
      <c r="I559" s="330"/>
      <c r="J559" s="1"/>
      <c r="K559" s="330"/>
      <c r="L559" s="1"/>
      <c r="M559" s="330"/>
      <c r="N559" s="330"/>
      <c r="O559" s="330"/>
      <c r="P559" s="330"/>
      <c r="Q559" s="329"/>
      <c r="R559" s="331">
        <f t="shared" si="41"/>
        <v>3420.3583585118417</v>
      </c>
      <c r="S559" s="331">
        <f t="shared" si="42"/>
        <v>3453.2993959584319</v>
      </c>
      <c r="T559" s="331">
        <f t="shared" si="43"/>
        <v>3486.5698437794886</v>
      </c>
      <c r="U559" s="331">
        <f t="shared" si="44"/>
        <v>3520.1729960787552</v>
      </c>
      <c r="V559" s="330"/>
      <c r="W559" s="330"/>
      <c r="X559" s="330"/>
      <c r="Y559" s="333"/>
      <c r="Z559"/>
      <c r="AA559"/>
      <c r="AB559"/>
    </row>
    <row r="560" spans="1:28" x14ac:dyDescent="0.25">
      <c r="A560" s="330"/>
      <c r="B560" s="332">
        <v>2.8953802268054918E-3</v>
      </c>
      <c r="C560" s="332">
        <v>4.7879031545082343E-2</v>
      </c>
      <c r="D560" s="332">
        <v>1.4178710887663415</v>
      </c>
      <c r="E560" s="332">
        <v>0.29127391069805197</v>
      </c>
      <c r="F560" s="332">
        <v>3.2222895990739263E-2</v>
      </c>
      <c r="G560" s="330"/>
      <c r="H560" s="331">
        <f t="shared" si="40"/>
        <v>3168.0393531278478</v>
      </c>
      <c r="I560" s="330"/>
      <c r="J560" s="1"/>
      <c r="K560" s="330"/>
      <c r="L560" s="1"/>
      <c r="M560" s="330"/>
      <c r="N560" s="330"/>
      <c r="O560" s="330"/>
      <c r="P560" s="330"/>
      <c r="Q560" s="329"/>
      <c r="R560" s="331">
        <f t="shared" si="41"/>
        <v>3206.2307836538398</v>
      </c>
      <c r="S560" s="331">
        <f t="shared" si="42"/>
        <v>3244.8041284850924</v>
      </c>
      <c r="T560" s="331">
        <f t="shared" si="43"/>
        <v>3283.7632067646573</v>
      </c>
      <c r="U560" s="331">
        <f t="shared" si="44"/>
        <v>3323.1118758270177</v>
      </c>
      <c r="V560" s="330"/>
      <c r="W560" s="330"/>
      <c r="X560" s="330"/>
      <c r="Y560" s="333"/>
      <c r="Z560"/>
      <c r="AA560"/>
      <c r="AB560"/>
    </row>
    <row r="561" spans="1:28" x14ac:dyDescent="0.25">
      <c r="A561" s="330"/>
      <c r="B561" s="332">
        <v>1.3866103459488652E-3</v>
      </c>
      <c r="C561" s="332">
        <v>4.6863884523399249E-2</v>
      </c>
      <c r="D561" s="332">
        <v>1.488433835344676</v>
      </c>
      <c r="E561" s="332">
        <v>0.27370823902454228</v>
      </c>
      <c r="F561" s="332">
        <v>2.4613099772140642E-2</v>
      </c>
      <c r="G561" s="330"/>
      <c r="H561" s="331">
        <f t="shared" si="40"/>
        <v>3149.0870329331183</v>
      </c>
      <c r="I561" s="330"/>
      <c r="J561" s="1"/>
      <c r="K561" s="330"/>
      <c r="L561" s="1"/>
      <c r="M561" s="330"/>
      <c r="N561" s="330"/>
      <c r="O561" s="330"/>
      <c r="P561" s="330"/>
      <c r="Q561" s="329"/>
      <c r="R561" s="331">
        <f t="shared" si="41"/>
        <v>3183.2688580512231</v>
      </c>
      <c r="S561" s="331">
        <f t="shared" si="42"/>
        <v>3217.7925014205089</v>
      </c>
      <c r="T561" s="331">
        <f t="shared" si="43"/>
        <v>3252.6613812234873</v>
      </c>
      <c r="U561" s="331">
        <f t="shared" si="44"/>
        <v>3287.878949824496</v>
      </c>
      <c r="V561" s="330"/>
      <c r="W561" s="330"/>
      <c r="X561" s="330"/>
      <c r="Y561" s="333"/>
      <c r="Z561"/>
      <c r="AA561"/>
      <c r="AB561"/>
    </row>
    <row r="562" spans="1:28" x14ac:dyDescent="0.25">
      <c r="A562" s="330"/>
      <c r="B562" s="332">
        <v>2.0812043475530728E-3</v>
      </c>
      <c r="C562" s="332">
        <v>5.0419859986950734E-2</v>
      </c>
      <c r="D562" s="332">
        <v>1.5372530018939488</v>
      </c>
      <c r="E562" s="332">
        <v>0.28445003112159944</v>
      </c>
      <c r="F562" s="332">
        <v>2.6634154842428478E-2</v>
      </c>
      <c r="G562" s="330"/>
      <c r="H562" s="331">
        <f t="shared" si="40"/>
        <v>3155.9359052163645</v>
      </c>
      <c r="I562" s="330"/>
      <c r="J562" s="1"/>
      <c r="K562" s="330"/>
      <c r="L562" s="1"/>
      <c r="M562" s="330"/>
      <c r="N562" s="330"/>
      <c r="O562" s="330"/>
      <c r="P562" s="330"/>
      <c r="Q562" s="329"/>
      <c r="R562" s="331">
        <f t="shared" si="41"/>
        <v>3191.8897448492867</v>
      </c>
      <c r="S562" s="331">
        <f t="shared" si="42"/>
        <v>3228.2031228785381</v>
      </c>
      <c r="T562" s="331">
        <f t="shared" si="43"/>
        <v>3264.8796346880822</v>
      </c>
      <c r="U562" s="331">
        <f t="shared" si="44"/>
        <v>3301.9229116157212</v>
      </c>
      <c r="V562" s="330"/>
      <c r="W562" s="330"/>
      <c r="X562" s="330"/>
      <c r="Y562" s="333"/>
      <c r="Z562"/>
      <c r="AA562"/>
      <c r="AB562"/>
    </row>
    <row r="563" spans="1:28" x14ac:dyDescent="0.25">
      <c r="A563" s="330"/>
      <c r="B563" s="332"/>
      <c r="C563" s="332">
        <v>-1.9321411174489919E-2</v>
      </c>
      <c r="D563" s="332">
        <v>1.0818390203107917</v>
      </c>
      <c r="E563" s="332">
        <v>0.24435983443268325</v>
      </c>
      <c r="F563" s="332">
        <v>2.7564496900585499E-2</v>
      </c>
      <c r="G563" s="330"/>
      <c r="H563" s="331">
        <f t="shared" si="40"/>
        <v>3131.6259127184612</v>
      </c>
      <c r="I563" s="330"/>
      <c r="J563" s="1"/>
      <c r="K563" s="330"/>
      <c r="L563" s="1"/>
      <c r="M563" s="330"/>
      <c r="N563" s="330"/>
      <c r="O563" s="330"/>
      <c r="P563" s="330"/>
      <c r="Q563" s="329"/>
      <c r="R563" s="331">
        <f t="shared" si="41"/>
        <v>3163.2870431929864</v>
      </c>
      <c r="S563" s="331">
        <f t="shared" si="42"/>
        <v>3195.2647849722571</v>
      </c>
      <c r="T563" s="331">
        <f t="shared" si="43"/>
        <v>3227.5623041693202</v>
      </c>
      <c r="U563" s="331">
        <f t="shared" si="44"/>
        <v>3260.1827985583545</v>
      </c>
      <c r="V563" s="330"/>
      <c r="W563" s="330"/>
      <c r="X563" s="330"/>
      <c r="Y563" s="333"/>
      <c r="Z563"/>
      <c r="AA563"/>
      <c r="AB563"/>
    </row>
    <row r="564" spans="1:28" x14ac:dyDescent="0.25">
      <c r="A564" s="330"/>
      <c r="B564" s="332">
        <v>1.5949583212418689E-3</v>
      </c>
      <c r="C564" s="332">
        <v>-5.9270475579939481E-2</v>
      </c>
      <c r="D564" s="332">
        <v>1.7365729045581173</v>
      </c>
      <c r="E564" s="332">
        <v>0.29640507146496081</v>
      </c>
      <c r="F564" s="332">
        <v>2.0944602623751762E-2</v>
      </c>
      <c r="G564" s="330"/>
      <c r="H564" s="331">
        <f t="shared" si="40"/>
        <v>2999.2988502746935</v>
      </c>
      <c r="I564" s="330"/>
      <c r="J564" s="1"/>
      <c r="K564" s="330"/>
      <c r="L564" s="1"/>
      <c r="M564" s="330"/>
      <c r="N564" s="330"/>
      <c r="O564" s="330"/>
      <c r="P564" s="330"/>
      <c r="Q564" s="329"/>
      <c r="R564" s="331">
        <f t="shared" si="41"/>
        <v>3034.4072270925694</v>
      </c>
      <c r="S564" s="331">
        <f t="shared" si="42"/>
        <v>3069.8666876786237</v>
      </c>
      <c r="T564" s="331">
        <f t="shared" si="43"/>
        <v>3105.6807428705392</v>
      </c>
      <c r="U564" s="331">
        <f t="shared" si="44"/>
        <v>3141.8529386143732</v>
      </c>
      <c r="V564" s="330"/>
      <c r="W564" s="330"/>
      <c r="X564" s="330"/>
      <c r="Y564" s="333"/>
      <c r="Z564"/>
      <c r="AA564"/>
      <c r="AB564"/>
    </row>
    <row r="565" spans="1:28" x14ac:dyDescent="0.25">
      <c r="A565" s="330"/>
      <c r="B565" s="332"/>
      <c r="C565" s="332">
        <v>7.9402428844809192E-2</v>
      </c>
      <c r="D565" s="332"/>
      <c r="E565" s="332">
        <v>0.17409276718208408</v>
      </c>
      <c r="F565" s="332">
        <v>5.1095961990940214E-2</v>
      </c>
      <c r="G565" s="330"/>
      <c r="H565" s="331">
        <f t="shared" si="40"/>
        <v>3400.1634274550088</v>
      </c>
      <c r="I565" s="330"/>
      <c r="J565" s="1"/>
      <c r="K565" s="330"/>
      <c r="L565" s="1"/>
      <c r="M565" s="330"/>
      <c r="N565" s="330"/>
      <c r="O565" s="330"/>
      <c r="P565" s="330"/>
      <c r="Q565" s="329"/>
      <c r="R565" s="331">
        <f t="shared" si="41"/>
        <v>3432.7477934787807</v>
      </c>
      <c r="S565" s="331">
        <f t="shared" si="42"/>
        <v>3465.65800316279</v>
      </c>
      <c r="T565" s="331">
        <f t="shared" si="43"/>
        <v>3498.8973149436397</v>
      </c>
      <c r="U565" s="331">
        <f t="shared" si="44"/>
        <v>3532.4690198422986</v>
      </c>
      <c r="V565" s="330"/>
      <c r="W565" s="330"/>
      <c r="X565" s="330"/>
      <c r="Y565" s="333"/>
      <c r="Z565"/>
      <c r="AA565"/>
      <c r="AB565"/>
    </row>
    <row r="566" spans="1:28" x14ac:dyDescent="0.25">
      <c r="A566" s="330"/>
      <c r="B566" s="332">
        <v>6.0301907985009767E-3</v>
      </c>
      <c r="C566" s="332">
        <v>-3.9204240487566794E-2</v>
      </c>
      <c r="D566" s="332">
        <v>1.020348643411386</v>
      </c>
      <c r="E566" s="332">
        <v>0.34690207846788995</v>
      </c>
      <c r="F566" s="332">
        <v>4.9348111446013948E-2</v>
      </c>
      <c r="G566" s="330"/>
      <c r="H566" s="331">
        <f t="shared" si="40"/>
        <v>3062.7211751131867</v>
      </c>
      <c r="I566" s="330"/>
      <c r="J566" s="1"/>
      <c r="K566" s="330"/>
      <c r="L566" s="1"/>
      <c r="M566" s="330"/>
      <c r="N566" s="330"/>
      <c r="O566" s="330"/>
      <c r="P566" s="330"/>
      <c r="Q566" s="329"/>
      <c r="R566" s="331">
        <f t="shared" si="41"/>
        <v>3109.3885208405991</v>
      </c>
      <c r="S566" s="331">
        <f t="shared" si="42"/>
        <v>3156.5225400252857</v>
      </c>
      <c r="T566" s="331">
        <f t="shared" si="43"/>
        <v>3204.1278994018189</v>
      </c>
      <c r="U566" s="331">
        <f t="shared" si="44"/>
        <v>3252.2093123721179</v>
      </c>
      <c r="V566" s="330"/>
      <c r="W566" s="330"/>
      <c r="X566" s="330"/>
      <c r="Y566"/>
      <c r="Z566"/>
      <c r="AA566"/>
      <c r="AB566"/>
    </row>
    <row r="567" spans="1:28" x14ac:dyDescent="0.25">
      <c r="A567" s="330"/>
      <c r="B567" s="332">
        <v>2.5459892874234798E-3</v>
      </c>
      <c r="C567" s="332">
        <v>-1.1208944802146632</v>
      </c>
      <c r="D567" s="332"/>
      <c r="E567" s="332">
        <v>0.28751955306651528</v>
      </c>
      <c r="F567" s="332">
        <v>6.6271249194562676E-2</v>
      </c>
      <c r="G567" s="330"/>
      <c r="H567" s="331">
        <f t="shared" si="40"/>
        <v>1898.3590400120654</v>
      </c>
      <c r="I567" s="330"/>
      <c r="J567" s="1"/>
      <c r="K567" s="330"/>
      <c r="L567" s="1"/>
      <c r="M567" s="330"/>
      <c r="N567" s="330"/>
      <c r="O567" s="330"/>
      <c r="P567" s="330"/>
      <c r="Q567" s="329"/>
      <c r="R567" s="331">
        <f t="shared" si="41"/>
        <v>1943.826490936334</v>
      </c>
      <c r="S567" s="331">
        <f t="shared" si="42"/>
        <v>1989.7486163698447</v>
      </c>
      <c r="T567" s="331">
        <f t="shared" si="43"/>
        <v>2036.1299630576914</v>
      </c>
      <c r="U567" s="331">
        <f t="shared" si="44"/>
        <v>2082.9751232124163</v>
      </c>
      <c r="V567" s="330"/>
      <c r="W567" s="330"/>
      <c r="X567" s="330"/>
      <c r="Y567" s="333"/>
      <c r="Z567"/>
      <c r="AA567"/>
      <c r="AB567"/>
    </row>
    <row r="568" spans="1:28" x14ac:dyDescent="0.25">
      <c r="A568" s="330"/>
      <c r="B568" s="332">
        <v>2.1991301810672919E-3</v>
      </c>
      <c r="C568" s="332">
        <v>0.10947731314851533</v>
      </c>
      <c r="D568" s="332"/>
      <c r="E568" s="332">
        <v>0.2240560153964731</v>
      </c>
      <c r="F568" s="332">
        <v>5.0170606421533134E-2</v>
      </c>
      <c r="G568" s="330"/>
      <c r="H568" s="331">
        <f t="shared" si="40"/>
        <v>3111.2609887889657</v>
      </c>
      <c r="I568" s="330"/>
      <c r="J568" s="1"/>
      <c r="K568" s="330"/>
      <c r="L568" s="1"/>
      <c r="M568" s="330"/>
      <c r="N568" s="330"/>
      <c r="O568" s="330"/>
      <c r="P568" s="330"/>
      <c r="Q568" s="329"/>
      <c r="R568" s="331">
        <f t="shared" si="41"/>
        <v>3146.0139469557707</v>
      </c>
      <c r="S568" s="331">
        <f t="shared" si="42"/>
        <v>3181.1144347042446</v>
      </c>
      <c r="T568" s="331">
        <f t="shared" si="43"/>
        <v>3216.5659273302035</v>
      </c>
      <c r="U568" s="331">
        <f t="shared" si="44"/>
        <v>3252.3719348824216</v>
      </c>
      <c r="V568" s="330"/>
      <c r="W568" s="330"/>
      <c r="X568" s="330"/>
      <c r="Y568"/>
      <c r="Z568"/>
      <c r="AA568"/>
      <c r="AB568"/>
    </row>
    <row r="569" spans="1:28" x14ac:dyDescent="0.25">
      <c r="A569" s="330"/>
      <c r="B569" s="332"/>
      <c r="C569" s="332">
        <v>-1.9321411174490391E-2</v>
      </c>
      <c r="D569" s="332">
        <v>1.0818390203107944</v>
      </c>
      <c r="E569" s="332">
        <v>0.24435983443268353</v>
      </c>
      <c r="F569" s="332">
        <v>2.7564496900585409E-2</v>
      </c>
      <c r="G569" s="330"/>
      <c r="H569" s="331">
        <f t="shared" si="40"/>
        <v>3131.6259127184589</v>
      </c>
      <c r="I569" s="330"/>
      <c r="J569" s="1"/>
      <c r="K569" s="330"/>
      <c r="L569" s="1"/>
      <c r="M569" s="330"/>
      <c r="N569" s="330"/>
      <c r="O569" s="330"/>
      <c r="P569" s="330"/>
      <c r="Q569" s="329"/>
      <c r="R569" s="331">
        <f t="shared" si="41"/>
        <v>3163.2870431929841</v>
      </c>
      <c r="S569" s="331">
        <f t="shared" si="42"/>
        <v>3195.2647849722553</v>
      </c>
      <c r="T569" s="331">
        <f t="shared" si="43"/>
        <v>3227.5623041693188</v>
      </c>
      <c r="U569" s="331">
        <f t="shared" si="44"/>
        <v>3260.1827985583523</v>
      </c>
      <c r="V569" s="330"/>
      <c r="W569" s="330"/>
      <c r="X569" s="330"/>
      <c r="Y569"/>
      <c r="Z569"/>
      <c r="AA569"/>
      <c r="AB569"/>
    </row>
    <row r="570" spans="1:28" x14ac:dyDescent="0.25">
      <c r="A570" s="330"/>
      <c r="B570" s="332"/>
      <c r="C570" s="332">
        <v>-1.1932722508528046E-2</v>
      </c>
      <c r="D570" s="332">
        <v>1.0813023729610429</v>
      </c>
      <c r="E570" s="332">
        <v>0.24415604091659363</v>
      </c>
      <c r="F570" s="332">
        <v>2.7267285906305536E-2</v>
      </c>
      <c r="G570" s="330"/>
      <c r="H570" s="331">
        <f t="shared" si="40"/>
        <v>3129.7506697003737</v>
      </c>
      <c r="I570" s="330"/>
      <c r="J570" s="1"/>
      <c r="K570" s="330"/>
      <c r="L570" s="1"/>
      <c r="M570" s="330"/>
      <c r="N570" s="330"/>
      <c r="O570" s="330"/>
      <c r="P570" s="330"/>
      <c r="Q570" s="329"/>
      <c r="R570" s="331">
        <f t="shared" si="41"/>
        <v>3161.2611657102079</v>
      </c>
      <c r="S570" s="331">
        <f t="shared" si="42"/>
        <v>3193.0867666801396</v>
      </c>
      <c r="T570" s="331">
        <f t="shared" si="43"/>
        <v>3225.2306236597715</v>
      </c>
      <c r="U570" s="331">
        <f t="shared" si="44"/>
        <v>3257.695919209199</v>
      </c>
      <c r="V570" s="330"/>
      <c r="W570" s="330"/>
      <c r="X570" s="330"/>
      <c r="Y570" s="333"/>
      <c r="Z570"/>
      <c r="AA570"/>
      <c r="AB570"/>
    </row>
    <row r="571" spans="1:28" x14ac:dyDescent="0.25">
      <c r="A571" s="330"/>
      <c r="B571" s="332">
        <v>1.2360374944864164E-3</v>
      </c>
      <c r="C571" s="332">
        <v>5.2468168322095624E-2</v>
      </c>
      <c r="D571" s="332">
        <v>0.74827537551877965</v>
      </c>
      <c r="E571" s="332">
        <v>0.34101858582994704</v>
      </c>
      <c r="F571" s="332">
        <v>6.1466973484593001E-3</v>
      </c>
      <c r="G571" s="330"/>
      <c r="H571" s="331">
        <f t="shared" si="40"/>
        <v>2267.2127356950577</v>
      </c>
      <c r="I571" s="330"/>
      <c r="J571" s="1"/>
      <c r="K571" s="330"/>
      <c r="L571" s="1"/>
      <c r="M571" s="330"/>
      <c r="N571" s="330"/>
      <c r="O571" s="330"/>
      <c r="P571" s="330"/>
      <c r="Q571" s="329"/>
      <c r="R571" s="331">
        <f t="shared" si="41"/>
        <v>2292.0927394969108</v>
      </c>
      <c r="S571" s="331">
        <f t="shared" si="42"/>
        <v>2317.2215433367819</v>
      </c>
      <c r="T571" s="331">
        <f t="shared" si="43"/>
        <v>2342.6016352150523</v>
      </c>
      <c r="U571" s="331">
        <f t="shared" si="44"/>
        <v>2368.2355280121046</v>
      </c>
      <c r="V571" s="330"/>
      <c r="W571" s="330"/>
      <c r="X571" s="330"/>
      <c r="Y571" s="333"/>
      <c r="Z571"/>
      <c r="AA571"/>
      <c r="AB571"/>
    </row>
    <row r="572" spans="1:28" x14ac:dyDescent="0.25">
      <c r="A572" s="330"/>
      <c r="B572" s="332"/>
      <c r="C572" s="332">
        <v>5.5702065053567458E-2</v>
      </c>
      <c r="D572" s="332">
        <v>0.72027378295191158</v>
      </c>
      <c r="E572" s="332">
        <v>0.22424086129501514</v>
      </c>
      <c r="F572" s="332">
        <v>3.2513286110240201E-2</v>
      </c>
      <c r="G572" s="330"/>
      <c r="H572" s="331">
        <f t="shared" ref="H572:H611" si="45">SUMPRODUCT(B572:F572,B$56:F$56)</f>
        <v>3179.5274825027145</v>
      </c>
      <c r="I572" s="330"/>
      <c r="J572" s="1"/>
      <c r="K572" s="330"/>
      <c r="L572" s="1"/>
      <c r="M572" s="330"/>
      <c r="N572" s="330"/>
      <c r="O572" s="330"/>
      <c r="P572" s="330"/>
      <c r="Q572" s="329"/>
      <c r="R572" s="331">
        <f t="shared" ref="R572:R611" si="46">SUMPRODUCT($B572:$F572,$K$59:$O$59)</f>
        <v>3210.3285211380971</v>
      </c>
      <c r="S572" s="331">
        <f t="shared" ref="S572:S611" si="47">SUMPRODUCT($B572:$F572,$K$60:$O$60)</f>
        <v>3241.4375701598333</v>
      </c>
      <c r="T572" s="331">
        <f t="shared" ref="T572:T611" si="48">SUMPRODUCT($B572:$F572,$K$61:$O$61)</f>
        <v>3272.8577096717872</v>
      </c>
      <c r="U572" s="331">
        <f t="shared" ref="U572:U611" si="49">SUMPRODUCT($B572:$F572,$K$62:$O$62)</f>
        <v>3304.5920505788599</v>
      </c>
      <c r="V572" s="330"/>
      <c r="W572" s="330"/>
      <c r="X572" s="330"/>
      <c r="Y572"/>
      <c r="Z572"/>
      <c r="AA572"/>
      <c r="AB572"/>
    </row>
    <row r="573" spans="1:28" x14ac:dyDescent="0.25">
      <c r="A573" s="330"/>
      <c r="B573" s="332">
        <v>2.0461026131955383E-3</v>
      </c>
      <c r="C573" s="332">
        <v>4.0732359536574815E-2</v>
      </c>
      <c r="D573" s="332">
        <v>1.5182493284574361</v>
      </c>
      <c r="E573" s="332">
        <v>0.28619115421707475</v>
      </c>
      <c r="F573" s="332">
        <v>2.6575309639789452E-2</v>
      </c>
      <c r="G573" s="330"/>
      <c r="H573" s="331">
        <f t="shared" si="45"/>
        <v>3142.8928300115213</v>
      </c>
      <c r="I573" s="330"/>
      <c r="J573" s="1"/>
      <c r="K573" s="330"/>
      <c r="L573" s="1"/>
      <c r="M573" s="330"/>
      <c r="N573" s="330"/>
      <c r="O573" s="330"/>
      <c r="P573" s="330"/>
      <c r="Q573" s="329"/>
      <c r="R573" s="331">
        <f t="shared" si="46"/>
        <v>3178.7998565521175</v>
      </c>
      <c r="S573" s="331">
        <f t="shared" si="47"/>
        <v>3215.0659533581193</v>
      </c>
      <c r="T573" s="331">
        <f t="shared" si="48"/>
        <v>3251.6947111321815</v>
      </c>
      <c r="U573" s="331">
        <f t="shared" si="49"/>
        <v>3288.6897564839842</v>
      </c>
      <c r="V573" s="330"/>
      <c r="W573" s="330"/>
      <c r="X573" s="330"/>
      <c r="Y573"/>
      <c r="Z573"/>
      <c r="AA573"/>
      <c r="AB573"/>
    </row>
    <row r="574" spans="1:28" x14ac:dyDescent="0.25">
      <c r="A574" s="330"/>
      <c r="B574" s="332">
        <v>1.2820179335136367E-3</v>
      </c>
      <c r="C574" s="332">
        <v>4.1406206309019034E-2</v>
      </c>
      <c r="D574" s="332">
        <v>1.5503018323965352</v>
      </c>
      <c r="E574" s="332">
        <v>0.27841004614955522</v>
      </c>
      <c r="F574" s="332">
        <v>2.2097187332702838E-2</v>
      </c>
      <c r="G574" s="330"/>
      <c r="H574" s="331">
        <f t="shared" si="45"/>
        <v>3110.3056398070444</v>
      </c>
      <c r="I574" s="330"/>
      <c r="J574" s="1"/>
      <c r="K574" s="330"/>
      <c r="L574" s="1"/>
      <c r="M574" s="330"/>
      <c r="N574" s="330"/>
      <c r="O574" s="330"/>
      <c r="P574" s="330"/>
      <c r="Q574" s="329"/>
      <c r="R574" s="331">
        <f t="shared" si="46"/>
        <v>3143.9309905222353</v>
      </c>
      <c r="S574" s="331">
        <f t="shared" si="47"/>
        <v>3177.8925947445791</v>
      </c>
      <c r="T574" s="331">
        <f t="shared" si="48"/>
        <v>3212.1938150091464</v>
      </c>
      <c r="U574" s="331">
        <f t="shared" si="49"/>
        <v>3246.838047476359</v>
      </c>
      <c r="V574" s="330"/>
      <c r="W574" s="330"/>
      <c r="X574" s="330"/>
      <c r="Y574" s="333"/>
      <c r="Z574"/>
      <c r="AA574"/>
      <c r="AB574"/>
    </row>
    <row r="575" spans="1:28" x14ac:dyDescent="0.25">
      <c r="A575" s="330"/>
      <c r="B575" s="332">
        <v>8.643230112826731E-4</v>
      </c>
      <c r="C575" s="332">
        <v>1.5800490464097681E-2</v>
      </c>
      <c r="D575" s="332">
        <v>1.4252387683086429</v>
      </c>
      <c r="E575" s="332">
        <v>0.26565924227819693</v>
      </c>
      <c r="F575" s="332">
        <v>2.4314116015288777E-2</v>
      </c>
      <c r="G575" s="330"/>
      <c r="H575" s="331">
        <f t="shared" si="45"/>
        <v>3134.3051533037496</v>
      </c>
      <c r="I575" s="330"/>
      <c r="J575" s="1"/>
      <c r="K575" s="330"/>
      <c r="L575" s="1"/>
      <c r="M575" s="330"/>
      <c r="N575" s="330"/>
      <c r="O575" s="330"/>
      <c r="P575" s="330"/>
      <c r="Q575" s="329"/>
      <c r="R575" s="331">
        <f t="shared" si="46"/>
        <v>3167.5649544335183</v>
      </c>
      <c r="S575" s="331">
        <f t="shared" si="47"/>
        <v>3201.1573535745838</v>
      </c>
      <c r="T575" s="331">
        <f t="shared" si="48"/>
        <v>3235.0856767070609</v>
      </c>
      <c r="U575" s="331">
        <f t="shared" si="49"/>
        <v>3269.3532830708618</v>
      </c>
      <c r="V575" s="330"/>
      <c r="W575" s="330"/>
      <c r="X575" s="330"/>
      <c r="Y575" s="333"/>
      <c r="Z575"/>
      <c r="AA575"/>
      <c r="AB575"/>
    </row>
    <row r="576" spans="1:28" x14ac:dyDescent="0.25">
      <c r="A576" s="330"/>
      <c r="B576" s="332"/>
      <c r="C576" s="332">
        <v>-1.932141117449292E-2</v>
      </c>
      <c r="D576" s="332">
        <v>1.0818390203108059</v>
      </c>
      <c r="E576" s="332">
        <v>0.24435983443268336</v>
      </c>
      <c r="F576" s="332">
        <v>2.7564496900585433E-2</v>
      </c>
      <c r="G576" s="330"/>
      <c r="H576" s="331">
        <f t="shared" si="45"/>
        <v>3131.6259127184612</v>
      </c>
      <c r="I576" s="330"/>
      <c r="J576" s="1"/>
      <c r="K576" s="330"/>
      <c r="L576" s="1"/>
      <c r="M576" s="330"/>
      <c r="N576" s="330"/>
      <c r="O576" s="330"/>
      <c r="P576" s="330"/>
      <c r="Q576" s="329"/>
      <c r="R576" s="331">
        <f t="shared" si="46"/>
        <v>3163.2870431929869</v>
      </c>
      <c r="S576" s="331">
        <f t="shared" si="47"/>
        <v>3195.2647849722575</v>
      </c>
      <c r="T576" s="331">
        <f t="shared" si="48"/>
        <v>3227.5623041693216</v>
      </c>
      <c r="U576" s="331">
        <f t="shared" si="49"/>
        <v>3260.182798558355</v>
      </c>
      <c r="V576" s="330"/>
      <c r="W576" s="330"/>
      <c r="X576" s="330"/>
      <c r="Y576"/>
      <c r="Z576"/>
      <c r="AA576"/>
      <c r="AB576"/>
    </row>
    <row r="577" spans="1:28" x14ac:dyDescent="0.25">
      <c r="A577" s="330"/>
      <c r="B577" s="332"/>
      <c r="C577" s="332">
        <v>-1.9321411174486606E-2</v>
      </c>
      <c r="D577" s="332">
        <v>1.0818390203107882</v>
      </c>
      <c r="E577" s="332">
        <v>0.24435983443268303</v>
      </c>
      <c r="F577" s="332">
        <v>2.7564496900585475E-2</v>
      </c>
      <c r="G577" s="330"/>
      <c r="H577" s="331">
        <f t="shared" si="45"/>
        <v>3131.6259127184626</v>
      </c>
      <c r="I577" s="330"/>
      <c r="J577" s="1"/>
      <c r="K577" s="330"/>
      <c r="L577" s="1"/>
      <c r="M577" s="330"/>
      <c r="N577" s="330"/>
      <c r="O577" s="330"/>
      <c r="P577" s="330"/>
      <c r="Q577" s="329"/>
      <c r="R577" s="331">
        <f t="shared" si="46"/>
        <v>3163.2870431929878</v>
      </c>
      <c r="S577" s="331">
        <f t="shared" si="47"/>
        <v>3195.2647849722584</v>
      </c>
      <c r="T577" s="331">
        <f t="shared" si="48"/>
        <v>3227.5623041693216</v>
      </c>
      <c r="U577" s="331">
        <f t="shared" si="49"/>
        <v>3260.1827985583559</v>
      </c>
      <c r="V577" s="330"/>
      <c r="W577" s="330"/>
      <c r="X577" s="330"/>
      <c r="Y577" s="333"/>
      <c r="Z577"/>
      <c r="AA577"/>
      <c r="AB577"/>
    </row>
    <row r="578" spans="1:28" x14ac:dyDescent="0.25">
      <c r="A578" s="330"/>
      <c r="B578" s="332">
        <v>2.357438926555498E-3</v>
      </c>
      <c r="C578" s="332">
        <v>5.7695030103760661E-2</v>
      </c>
      <c r="D578" s="332">
        <v>1.4402898717116304</v>
      </c>
      <c r="E578" s="332">
        <v>0.28216253263183916</v>
      </c>
      <c r="F578" s="332">
        <v>2.979358366212987E-2</v>
      </c>
      <c r="G578" s="330"/>
      <c r="H578" s="331">
        <f t="shared" si="45"/>
        <v>3176.1479555988453</v>
      </c>
      <c r="I578" s="330"/>
      <c r="J578" s="1"/>
      <c r="K578" s="330"/>
      <c r="L578" s="1"/>
      <c r="M578" s="330"/>
      <c r="N578" s="330"/>
      <c r="O578" s="330"/>
      <c r="P578" s="330"/>
      <c r="Q578" s="329"/>
      <c r="R578" s="331">
        <f t="shared" si="46"/>
        <v>3212.8767807580334</v>
      </c>
      <c r="S578" s="331">
        <f t="shared" si="47"/>
        <v>3249.9728941688136</v>
      </c>
      <c r="T578" s="331">
        <f t="shared" si="48"/>
        <v>3287.4399687137011</v>
      </c>
      <c r="U578" s="331">
        <f t="shared" si="49"/>
        <v>3325.2817140040379</v>
      </c>
      <c r="V578" s="330"/>
      <c r="W578" s="330"/>
      <c r="X578" s="330"/>
      <c r="Y578" s="333"/>
      <c r="Z578"/>
      <c r="AA578"/>
      <c r="AB578"/>
    </row>
    <row r="579" spans="1:28" x14ac:dyDescent="0.25">
      <c r="A579" s="330"/>
      <c r="B579" s="332">
        <v>1.9612806516036323E-3</v>
      </c>
      <c r="C579" s="332">
        <v>7.0453482558905239E-2</v>
      </c>
      <c r="D579" s="332">
        <v>0.91773776695633058</v>
      </c>
      <c r="E579" s="332">
        <v>0.25140168078582781</v>
      </c>
      <c r="F579" s="332">
        <v>3.8707106896690567E-2</v>
      </c>
      <c r="G579" s="330"/>
      <c r="H579" s="331">
        <f t="shared" si="45"/>
        <v>3247.8013684177213</v>
      </c>
      <c r="I579" s="330"/>
      <c r="J579" s="1"/>
      <c r="K579" s="330"/>
      <c r="L579" s="1"/>
      <c r="M579" s="330"/>
      <c r="N579" s="330"/>
      <c r="O579" s="330"/>
      <c r="P579" s="330"/>
      <c r="Q579" s="329"/>
      <c r="R579" s="331">
        <f t="shared" si="46"/>
        <v>3284.0112017135434</v>
      </c>
      <c r="S579" s="331">
        <f t="shared" si="47"/>
        <v>3320.5831333423243</v>
      </c>
      <c r="T579" s="331">
        <f t="shared" si="48"/>
        <v>3357.5207842873933</v>
      </c>
      <c r="U579" s="331">
        <f t="shared" si="49"/>
        <v>3394.8278117419122</v>
      </c>
      <c r="V579" s="330"/>
      <c r="W579" s="330"/>
      <c r="X579" s="330"/>
      <c r="Y579"/>
      <c r="Z579"/>
      <c r="AA579"/>
      <c r="AB579"/>
    </row>
    <row r="580" spans="1:28" x14ac:dyDescent="0.25">
      <c r="A580" s="330"/>
      <c r="B580" s="332">
        <v>2.0573464931168788E-3</v>
      </c>
      <c r="C580" s="332">
        <v>5.8873787494307023E-2</v>
      </c>
      <c r="D580" s="332">
        <v>1.4011974743032853</v>
      </c>
      <c r="E580" s="332">
        <v>0.27644359639302157</v>
      </c>
      <c r="F580" s="332">
        <v>2.9266279409257103E-2</v>
      </c>
      <c r="G580" s="330"/>
      <c r="H580" s="331">
        <f t="shared" si="45"/>
        <v>3177.9405570096169</v>
      </c>
      <c r="I580" s="330"/>
      <c r="J580" s="1"/>
      <c r="K580" s="330"/>
      <c r="L580" s="1"/>
      <c r="M580" s="330"/>
      <c r="N580" s="330"/>
      <c r="O580" s="330"/>
      <c r="P580" s="330"/>
      <c r="Q580" s="329"/>
      <c r="R580" s="331">
        <f t="shared" si="46"/>
        <v>3213.9028548252618</v>
      </c>
      <c r="S580" s="331">
        <f t="shared" si="47"/>
        <v>3250.2247756190636</v>
      </c>
      <c r="T580" s="331">
        <f t="shared" si="48"/>
        <v>3286.9099156208035</v>
      </c>
      <c r="U580" s="331">
        <f t="shared" si="49"/>
        <v>3323.9619070225608</v>
      </c>
      <c r="V580" s="330"/>
      <c r="W580" s="330"/>
      <c r="X580" s="330"/>
      <c r="Y580" s="333"/>
      <c r="Z580"/>
      <c r="AA580"/>
      <c r="AB580"/>
    </row>
    <row r="581" spans="1:28" x14ac:dyDescent="0.25">
      <c r="A581" s="330"/>
      <c r="B581" s="332">
        <v>1.1008725044427609E-3</v>
      </c>
      <c r="C581" s="332">
        <v>1.7816150570439938E-2</v>
      </c>
      <c r="D581" s="332">
        <v>1.0722421287276975</v>
      </c>
      <c r="E581" s="332">
        <v>0.24648126918378288</v>
      </c>
      <c r="F581" s="332">
        <v>3.4758211267100748E-2</v>
      </c>
      <c r="G581" s="330"/>
      <c r="H581" s="331">
        <f t="shared" si="45"/>
        <v>3254.7665796146302</v>
      </c>
      <c r="I581" s="330"/>
      <c r="J581" s="1"/>
      <c r="K581" s="330"/>
      <c r="L581" s="1"/>
      <c r="M581" s="330"/>
      <c r="N581" s="330"/>
      <c r="O581" s="330"/>
      <c r="P581" s="330"/>
      <c r="Q581" s="329"/>
      <c r="R581" s="331">
        <f t="shared" si="46"/>
        <v>3289.7967819753662</v>
      </c>
      <c r="S581" s="331">
        <f t="shared" si="47"/>
        <v>3325.1772863597098</v>
      </c>
      <c r="T581" s="331">
        <f t="shared" si="48"/>
        <v>3360.9115957878976</v>
      </c>
      <c r="U581" s="331">
        <f t="shared" si="49"/>
        <v>3397.003248310366</v>
      </c>
      <c r="V581" s="330"/>
      <c r="W581" s="330"/>
      <c r="X581" s="330"/>
      <c r="Y581" s="333"/>
      <c r="Z581"/>
      <c r="AA581"/>
      <c r="AB581"/>
    </row>
    <row r="582" spans="1:28" x14ac:dyDescent="0.25">
      <c r="A582" s="330"/>
      <c r="B582" s="332"/>
      <c r="C582" s="332">
        <v>0.29379491348882125</v>
      </c>
      <c r="D582" s="332"/>
      <c r="E582" s="332"/>
      <c r="F582" s="332"/>
      <c r="G582" s="330"/>
      <c r="H582" s="331">
        <f t="shared" si="45"/>
        <v>524.39983157397864</v>
      </c>
      <c r="I582" s="330"/>
      <c r="J582" s="1"/>
      <c r="K582" s="330"/>
      <c r="L582" s="1"/>
      <c r="M582" s="330"/>
      <c r="N582" s="330"/>
      <c r="O582" s="330"/>
      <c r="P582" s="330"/>
      <c r="Q582" s="329"/>
      <c r="R582" s="331">
        <f t="shared" si="46"/>
        <v>524.39983157397864</v>
      </c>
      <c r="S582" s="331">
        <f t="shared" si="47"/>
        <v>524.39983157397864</v>
      </c>
      <c r="T582" s="331">
        <f t="shared" si="48"/>
        <v>524.39983157397864</v>
      </c>
      <c r="U582" s="331">
        <f t="shared" si="49"/>
        <v>524.39983157397864</v>
      </c>
      <c r="V582" s="330"/>
      <c r="W582" s="330"/>
      <c r="X582" s="330"/>
      <c r="Y582" s="333"/>
      <c r="Z582"/>
      <c r="AA582"/>
      <c r="AB582"/>
    </row>
    <row r="583" spans="1:28" x14ac:dyDescent="0.25">
      <c r="A583" s="330"/>
      <c r="B583" s="332">
        <v>2.6048049338903499E-5</v>
      </c>
      <c r="C583" s="332">
        <v>6.9326103686888907E-2</v>
      </c>
      <c r="D583" s="332">
        <v>0.27180682796657302</v>
      </c>
      <c r="E583" s="332">
        <v>0.18832552098815986</v>
      </c>
      <c r="F583" s="332">
        <v>4.6192750482606008E-2</v>
      </c>
      <c r="G583" s="330"/>
      <c r="H583" s="331">
        <f t="shared" si="45"/>
        <v>3381.0730377821228</v>
      </c>
      <c r="I583" s="330"/>
      <c r="J583" s="1"/>
      <c r="K583" s="330"/>
      <c r="L583" s="1"/>
      <c r="M583" s="330"/>
      <c r="N583" s="330"/>
      <c r="O583" s="330"/>
      <c r="P583" s="330"/>
      <c r="Q583" s="329"/>
      <c r="R583" s="331">
        <f t="shared" si="46"/>
        <v>3413.7126184100443</v>
      </c>
      <c r="S583" s="331">
        <f t="shared" si="47"/>
        <v>3446.6785948442439</v>
      </c>
      <c r="T583" s="331">
        <f t="shared" si="48"/>
        <v>3479.9742310427869</v>
      </c>
      <c r="U583" s="331">
        <f t="shared" si="49"/>
        <v>3513.6028236033144</v>
      </c>
      <c r="V583" s="330"/>
      <c r="W583" s="330"/>
      <c r="X583" s="330"/>
      <c r="Y583" s="333"/>
      <c r="Z583"/>
      <c r="AA583"/>
      <c r="AB583"/>
    </row>
    <row r="584" spans="1:28" x14ac:dyDescent="0.25">
      <c r="A584" s="330"/>
      <c r="B584" s="332"/>
      <c r="C584" s="332">
        <v>-2.8083145621134133</v>
      </c>
      <c r="D584" s="332">
        <v>1.7920533565888686</v>
      </c>
      <c r="E584" s="332">
        <v>0.25233087349463201</v>
      </c>
      <c r="F584" s="332">
        <v>5.1051124662153398E-2</v>
      </c>
      <c r="G584" s="330"/>
      <c r="H584" s="331">
        <f t="shared" si="45"/>
        <v>-311.37184188911215</v>
      </c>
      <c r="I584" s="330"/>
      <c r="J584" s="1"/>
      <c r="K584" s="330"/>
      <c r="L584" s="1"/>
      <c r="M584" s="330"/>
      <c r="N584" s="330"/>
      <c r="O584" s="330"/>
      <c r="P584" s="330"/>
      <c r="Q584" s="329"/>
      <c r="R584" s="331">
        <f t="shared" si="46"/>
        <v>-264.35944798390256</v>
      </c>
      <c r="S584" s="331">
        <f t="shared" si="47"/>
        <v>-216.87693013964008</v>
      </c>
      <c r="T584" s="331">
        <f t="shared" si="48"/>
        <v>-168.91958711693451</v>
      </c>
      <c r="U584" s="331">
        <f t="shared" si="49"/>
        <v>-120.48267066400331</v>
      </c>
      <c r="V584" s="330"/>
      <c r="W584" s="330"/>
      <c r="X584" s="330"/>
      <c r="Y584" s="333"/>
      <c r="Z584"/>
      <c r="AA584"/>
      <c r="AB584"/>
    </row>
    <row r="585" spans="1:28" x14ac:dyDescent="0.25">
      <c r="A585" s="330"/>
      <c r="B585" s="332"/>
      <c r="C585" s="332">
        <v>-0.87234391783910659</v>
      </c>
      <c r="D585" s="332"/>
      <c r="E585" s="332">
        <v>0.42836613426983466</v>
      </c>
      <c r="F585" s="332"/>
      <c r="G585" s="330"/>
      <c r="H585" s="331">
        <f t="shared" si="45"/>
        <v>667.75034260488133</v>
      </c>
      <c r="I585" s="330"/>
      <c r="J585" s="1"/>
      <c r="K585" s="330"/>
      <c r="L585" s="1"/>
      <c r="M585" s="330"/>
      <c r="N585" s="330"/>
      <c r="O585" s="330"/>
      <c r="P585" s="330"/>
      <c r="Q585" s="329"/>
      <c r="R585" s="331">
        <f t="shared" si="46"/>
        <v>689.99846970705516</v>
      </c>
      <c r="S585" s="331">
        <f t="shared" si="47"/>
        <v>712.46907808025094</v>
      </c>
      <c r="T585" s="331">
        <f t="shared" si="48"/>
        <v>735.1643925371784</v>
      </c>
      <c r="U585" s="331">
        <f t="shared" si="49"/>
        <v>758.08666013867537</v>
      </c>
      <c r="V585" s="330"/>
      <c r="W585" s="330"/>
      <c r="X585" s="330"/>
      <c r="Y585" s="333"/>
      <c r="Z585"/>
      <c r="AA585"/>
      <c r="AB585"/>
    </row>
    <row r="586" spans="1:28" x14ac:dyDescent="0.25">
      <c r="A586" s="330"/>
      <c r="B586" s="332"/>
      <c r="C586" s="332">
        <v>6.90668404741068E-2</v>
      </c>
      <c r="D586" s="332">
        <v>0.25030380693636212</v>
      </c>
      <c r="E586" s="332">
        <v>0.18660910457461152</v>
      </c>
      <c r="F586" s="332">
        <v>4.6659047342397099E-2</v>
      </c>
      <c r="G586" s="330"/>
      <c r="H586" s="331">
        <f t="shared" si="45"/>
        <v>3387.3454433152542</v>
      </c>
      <c r="I586" s="330"/>
      <c r="J586" s="1"/>
      <c r="K586" s="330"/>
      <c r="L586" s="1"/>
      <c r="M586" s="330"/>
      <c r="N586" s="330"/>
      <c r="O586" s="330"/>
      <c r="P586" s="330"/>
      <c r="Q586" s="329"/>
      <c r="R586" s="331">
        <f t="shared" si="46"/>
        <v>3419.9861112756298</v>
      </c>
      <c r="S586" s="331">
        <f t="shared" si="47"/>
        <v>3452.9531859156095</v>
      </c>
      <c r="T586" s="331">
        <f t="shared" si="48"/>
        <v>3486.2499313019889</v>
      </c>
      <c r="U586" s="331">
        <f t="shared" si="49"/>
        <v>3519.8796441422323</v>
      </c>
      <c r="V586" s="330"/>
      <c r="W586" s="330"/>
      <c r="X586" s="330"/>
      <c r="Y586"/>
      <c r="Z586"/>
      <c r="AA586"/>
      <c r="AB586"/>
    </row>
    <row r="587" spans="1:28" x14ac:dyDescent="0.25">
      <c r="A587" s="330"/>
      <c r="B587" s="332"/>
      <c r="C587" s="332">
        <v>6.9066840474107341E-2</v>
      </c>
      <c r="D587" s="332">
        <v>0.25030380693636139</v>
      </c>
      <c r="E587" s="332">
        <v>0.18660910457461152</v>
      </c>
      <c r="F587" s="332">
        <v>4.6659047342397064E-2</v>
      </c>
      <c r="G587" s="330"/>
      <c r="H587" s="331">
        <f t="shared" si="45"/>
        <v>3387.3454433152533</v>
      </c>
      <c r="I587" s="330"/>
      <c r="J587" s="1"/>
      <c r="K587" s="330"/>
      <c r="L587" s="1"/>
      <c r="M587" s="330"/>
      <c r="N587" s="330"/>
      <c r="O587" s="330"/>
      <c r="P587" s="330"/>
      <c r="Q587" s="329"/>
      <c r="R587" s="331">
        <f t="shared" si="46"/>
        <v>3419.9861112756294</v>
      </c>
      <c r="S587" s="331">
        <f t="shared" si="47"/>
        <v>3452.9531859156086</v>
      </c>
      <c r="T587" s="331">
        <f t="shared" si="48"/>
        <v>3486.249931301988</v>
      </c>
      <c r="U587" s="331">
        <f t="shared" si="49"/>
        <v>3519.879644142231</v>
      </c>
      <c r="V587" s="330"/>
      <c r="W587" s="330"/>
      <c r="X587" s="330"/>
      <c r="Y587"/>
      <c r="Z587"/>
      <c r="AA587"/>
      <c r="AB587"/>
    </row>
    <row r="588" spans="1:28" x14ac:dyDescent="0.25">
      <c r="A588" s="330"/>
      <c r="B588" s="332">
        <v>1.4579153541677485E-3</v>
      </c>
      <c r="C588" s="332">
        <v>4.6289355900034974E-2</v>
      </c>
      <c r="D588" s="332">
        <v>1.1690018394177779</v>
      </c>
      <c r="E588" s="332">
        <v>0.25479369141509972</v>
      </c>
      <c r="F588" s="332">
        <v>3.3288471690590321E-2</v>
      </c>
      <c r="G588" s="330"/>
      <c r="H588" s="331">
        <f t="shared" si="45"/>
        <v>3246.2875870879561</v>
      </c>
      <c r="I588" s="330"/>
      <c r="J588" s="1"/>
      <c r="K588" s="330"/>
      <c r="L588" s="1"/>
      <c r="M588" s="330"/>
      <c r="N588" s="330"/>
      <c r="O588" s="330"/>
      <c r="P588" s="330"/>
      <c r="Q588" s="329"/>
      <c r="R588" s="331">
        <f t="shared" si="46"/>
        <v>3281.6330674100782</v>
      </c>
      <c r="S588" s="331">
        <f t="shared" si="47"/>
        <v>3317.3320025354215</v>
      </c>
      <c r="T588" s="331">
        <f t="shared" si="48"/>
        <v>3353.3879270120183</v>
      </c>
      <c r="U588" s="331">
        <f t="shared" si="49"/>
        <v>3389.8044107333808</v>
      </c>
      <c r="V588" s="330"/>
      <c r="W588" s="330"/>
      <c r="X588" s="330"/>
      <c r="Y588" s="333"/>
      <c r="Z588"/>
      <c r="AA588"/>
      <c r="AB588"/>
    </row>
    <row r="589" spans="1:28" x14ac:dyDescent="0.25">
      <c r="A589" s="330"/>
      <c r="B589" s="332">
        <v>1.4426654384746415E-3</v>
      </c>
      <c r="C589" s="332">
        <v>9.6628478443504986E-2</v>
      </c>
      <c r="D589" s="332">
        <v>6.0258840722120944E-3</v>
      </c>
      <c r="E589" s="332">
        <v>0.19801648890003554</v>
      </c>
      <c r="F589" s="332">
        <v>5.3537893227435393E-2</v>
      </c>
      <c r="G589" s="330"/>
      <c r="H589" s="331">
        <f t="shared" si="45"/>
        <v>3304.1640296061455</v>
      </c>
      <c r="I589" s="330"/>
      <c r="J589" s="1"/>
      <c r="K589" s="330"/>
      <c r="L589" s="1"/>
      <c r="M589" s="330"/>
      <c r="N589" s="330"/>
      <c r="O589" s="330"/>
      <c r="P589" s="330"/>
      <c r="Q589" s="329"/>
      <c r="R589" s="331">
        <f t="shared" si="46"/>
        <v>3339.1509676048613</v>
      </c>
      <c r="S589" s="331">
        <f t="shared" si="47"/>
        <v>3374.487774983565</v>
      </c>
      <c r="T589" s="331">
        <f t="shared" si="48"/>
        <v>3410.1779504360561</v>
      </c>
      <c r="U589" s="331">
        <f t="shared" si="49"/>
        <v>3446.2250276430714</v>
      </c>
      <c r="V589" s="330"/>
      <c r="W589" s="330"/>
      <c r="X589" s="330"/>
      <c r="Y589" s="333"/>
      <c r="Z589"/>
      <c r="AA589"/>
      <c r="AB589"/>
    </row>
    <row r="590" spans="1:28" x14ac:dyDescent="0.25">
      <c r="A590" s="330"/>
      <c r="B590" s="332">
        <v>3.6685853997670963E-4</v>
      </c>
      <c r="C590" s="332">
        <v>6.7038552767234069E-2</v>
      </c>
      <c r="D590" s="332">
        <v>0.38773289884403933</v>
      </c>
      <c r="E590" s="332">
        <v>0.19908870089974226</v>
      </c>
      <c r="F590" s="332">
        <v>4.5166132748139506E-2</v>
      </c>
      <c r="G590" s="330"/>
      <c r="H590" s="331">
        <f t="shared" si="45"/>
        <v>3366.0706033877659</v>
      </c>
      <c r="I590" s="330"/>
      <c r="J590" s="1"/>
      <c r="K590" s="330"/>
      <c r="L590" s="1"/>
      <c r="M590" s="330"/>
      <c r="N590" s="330"/>
      <c r="O590" s="330"/>
      <c r="P590" s="330"/>
      <c r="Q590" s="329"/>
      <c r="R590" s="331">
        <f t="shared" si="46"/>
        <v>3399.4679878852435</v>
      </c>
      <c r="S590" s="331">
        <f t="shared" si="47"/>
        <v>3433.199346227696</v>
      </c>
      <c r="T590" s="331">
        <f t="shared" si="48"/>
        <v>3467.2680181535734</v>
      </c>
      <c r="U590" s="331">
        <f t="shared" si="49"/>
        <v>3501.6773767987097</v>
      </c>
      <c r="V590" s="330"/>
      <c r="W590" s="330"/>
      <c r="X590" s="330"/>
      <c r="Y590" s="333"/>
      <c r="Z590"/>
      <c r="AA590"/>
      <c r="AB590"/>
    </row>
    <row r="591" spans="1:28" x14ac:dyDescent="0.25">
      <c r="A591" s="330"/>
      <c r="B591" s="332">
        <v>3.6592160187988269E-3</v>
      </c>
      <c r="C591" s="332">
        <v>-2.3497535636698336E-2</v>
      </c>
      <c r="D591" s="332">
        <v>0.90551500373869609</v>
      </c>
      <c r="E591" s="332">
        <v>0.29407481213786701</v>
      </c>
      <c r="F591" s="332">
        <v>4.5480742737484203E-2</v>
      </c>
      <c r="G591" s="330"/>
      <c r="H591" s="331">
        <f t="shared" si="45"/>
        <v>3174.8083784910114</v>
      </c>
      <c r="I591" s="330"/>
      <c r="J591" s="1"/>
      <c r="K591" s="330"/>
      <c r="L591" s="1"/>
      <c r="M591" s="330"/>
      <c r="N591" s="330"/>
      <c r="O591" s="330"/>
      <c r="P591" s="330"/>
      <c r="Q591" s="329"/>
      <c r="R591" s="331">
        <f t="shared" si="46"/>
        <v>3216.2846556299883</v>
      </c>
      <c r="S591" s="331">
        <f t="shared" si="47"/>
        <v>3258.1756955403553</v>
      </c>
      <c r="T591" s="331">
        <f t="shared" si="48"/>
        <v>3300.4856458498257</v>
      </c>
      <c r="U591" s="331">
        <f t="shared" si="49"/>
        <v>3343.2186956623914</v>
      </c>
      <c r="V591" s="330"/>
      <c r="W591" s="330"/>
      <c r="X591" s="330"/>
      <c r="Y591" s="333"/>
      <c r="Z591"/>
      <c r="AA591"/>
      <c r="AB591"/>
    </row>
    <row r="592" spans="1:28" x14ac:dyDescent="0.25">
      <c r="A592" s="330"/>
      <c r="B592" s="332"/>
      <c r="C592" s="332">
        <v>-7.7867942764714408</v>
      </c>
      <c r="D592" s="332"/>
      <c r="E592" s="332">
        <v>0.55066158101299756</v>
      </c>
      <c r="F592" s="332"/>
      <c r="G592" s="330"/>
      <c r="H592" s="331">
        <f t="shared" si="45"/>
        <v>-11038.808605641776</v>
      </c>
      <c r="I592" s="330"/>
      <c r="J592" s="1"/>
      <c r="K592" s="330"/>
      <c r="L592" s="1"/>
      <c r="M592" s="330"/>
      <c r="N592" s="330"/>
      <c r="O592" s="330"/>
      <c r="P592" s="330"/>
      <c r="Q592" s="329"/>
      <c r="R592" s="331">
        <f t="shared" si="46"/>
        <v>-11010.208798456868</v>
      </c>
      <c r="S592" s="331">
        <f t="shared" si="47"/>
        <v>-10981.322993200112</v>
      </c>
      <c r="T592" s="331">
        <f t="shared" si="48"/>
        <v>-10952.14832989079</v>
      </c>
      <c r="U592" s="331">
        <f t="shared" si="49"/>
        <v>-10922.681919948373</v>
      </c>
      <c r="V592" s="330"/>
      <c r="W592" s="330"/>
      <c r="X592" s="330"/>
      <c r="Y592" s="333"/>
      <c r="Z592"/>
      <c r="AA592"/>
      <c r="AB592"/>
    </row>
    <row r="593" spans="1:28" x14ac:dyDescent="0.25">
      <c r="A593" s="330"/>
      <c r="B593" s="332">
        <v>2.2200236429205616E-3</v>
      </c>
      <c r="C593" s="332">
        <v>2.3177503475442451E-2</v>
      </c>
      <c r="D593" s="332">
        <v>1.4822931184712513</v>
      </c>
      <c r="E593" s="332">
        <v>0.2898981604542904</v>
      </c>
      <c r="F593" s="332">
        <v>2.8076578238198823E-2</v>
      </c>
      <c r="G593" s="330"/>
      <c r="H593" s="331">
        <f t="shared" si="45"/>
        <v>3134.9015658614903</v>
      </c>
      <c r="I593" s="330"/>
      <c r="J593" s="1"/>
      <c r="K593" s="330"/>
      <c r="L593" s="1"/>
      <c r="M593" s="330"/>
      <c r="N593" s="330"/>
      <c r="O593" s="330"/>
      <c r="P593" s="330"/>
      <c r="Q593" s="329"/>
      <c r="R593" s="331">
        <f t="shared" si="46"/>
        <v>3171.484462102133</v>
      </c>
      <c r="S593" s="331">
        <f t="shared" si="47"/>
        <v>3208.4331873051824</v>
      </c>
      <c r="T593" s="331">
        <f t="shared" si="48"/>
        <v>3245.7513997602628</v>
      </c>
      <c r="U593" s="331">
        <f t="shared" si="49"/>
        <v>3283.4427943398932</v>
      </c>
      <c r="V593" s="330"/>
      <c r="W593" s="330"/>
      <c r="X593" s="330"/>
      <c r="Y593" s="333"/>
      <c r="Z593"/>
      <c r="AA593"/>
      <c r="AB593"/>
    </row>
    <row r="594" spans="1:28" x14ac:dyDescent="0.25">
      <c r="A594" s="330"/>
      <c r="B594" s="332"/>
      <c r="C594" s="332">
        <v>-2.3247260300134061</v>
      </c>
      <c r="D594" s="332"/>
      <c r="E594" s="332">
        <v>0.23587893553702907</v>
      </c>
      <c r="F594" s="332">
        <v>6.9916540994631918E-2</v>
      </c>
      <c r="G594" s="330"/>
      <c r="H594" s="331">
        <f t="shared" si="45"/>
        <v>297.04988369293051</v>
      </c>
      <c r="I594" s="330"/>
      <c r="J594" s="1"/>
      <c r="K594" s="330"/>
      <c r="L594" s="1"/>
      <c r="M594" s="330"/>
      <c r="N594" s="330"/>
      <c r="O594" s="330"/>
      <c r="P594" s="330"/>
      <c r="Q594" s="329"/>
      <c r="R594" s="331">
        <f t="shared" si="46"/>
        <v>341.5148360627004</v>
      </c>
      <c r="S594" s="331">
        <f t="shared" si="47"/>
        <v>386.42443795616737</v>
      </c>
      <c r="T594" s="331">
        <f t="shared" si="48"/>
        <v>431.7831358685703</v>
      </c>
      <c r="U594" s="331">
        <f t="shared" si="49"/>
        <v>477.5954207600962</v>
      </c>
      <c r="V594" s="330"/>
      <c r="W594" s="330"/>
      <c r="X594" s="330"/>
      <c r="Y594" s="333"/>
      <c r="Z594"/>
      <c r="AA594"/>
      <c r="AB594"/>
    </row>
    <row r="595" spans="1:28" x14ac:dyDescent="0.25">
      <c r="A595" s="330"/>
      <c r="B595" s="332">
        <v>8.2202210178527677E-4</v>
      </c>
      <c r="C595" s="332">
        <v>8.0894886182590279E-3</v>
      </c>
      <c r="D595" s="332">
        <v>0.91425773768635288</v>
      </c>
      <c r="E595" s="332">
        <v>0.23545928112866904</v>
      </c>
      <c r="F595" s="332">
        <v>3.7274791197529175E-2</v>
      </c>
      <c r="G595" s="330"/>
      <c r="H595" s="331">
        <f t="shared" si="45"/>
        <v>3275.4948718700471</v>
      </c>
      <c r="I595" s="330"/>
      <c r="J595" s="1"/>
      <c r="K595" s="330"/>
      <c r="L595" s="1"/>
      <c r="M595" s="330"/>
      <c r="N595" s="330"/>
      <c r="O595" s="330"/>
      <c r="P595" s="330"/>
      <c r="Q595" s="329"/>
      <c r="R595" s="331">
        <f t="shared" si="46"/>
        <v>3310.1965947834196</v>
      </c>
      <c r="S595" s="331">
        <f t="shared" si="47"/>
        <v>3345.2453349259258</v>
      </c>
      <c r="T595" s="331">
        <f t="shared" si="48"/>
        <v>3380.6445624698572</v>
      </c>
      <c r="U595" s="331">
        <f t="shared" si="49"/>
        <v>3416.3977822892275</v>
      </c>
      <c r="V595" s="330"/>
      <c r="W595" s="330"/>
      <c r="X595" s="330"/>
      <c r="Y595" s="333"/>
      <c r="Z595"/>
      <c r="AA595"/>
      <c r="AB595"/>
    </row>
    <row r="596" spans="1:28" x14ac:dyDescent="0.25">
      <c r="A596" s="330"/>
      <c r="B596" s="332"/>
      <c r="C596" s="332">
        <v>4.8500438755008334E-2</v>
      </c>
      <c r="D596" s="332">
        <v>1.889076189815573</v>
      </c>
      <c r="E596" s="332">
        <v>0.25983669387116837</v>
      </c>
      <c r="F596" s="332"/>
      <c r="G596" s="330"/>
      <c r="H596" s="331">
        <f t="shared" si="45"/>
        <v>2530.8359478151488</v>
      </c>
      <c r="I596" s="330"/>
      <c r="J596" s="1"/>
      <c r="K596" s="330"/>
      <c r="L596" s="1"/>
      <c r="M596" s="330"/>
      <c r="N596" s="330"/>
      <c r="O596" s="330"/>
      <c r="P596" s="330"/>
      <c r="Q596" s="329"/>
      <c r="R596" s="331">
        <f t="shared" si="46"/>
        <v>2555.2786142282857</v>
      </c>
      <c r="S596" s="331">
        <f t="shared" si="47"/>
        <v>2579.9657073055532</v>
      </c>
      <c r="T596" s="331">
        <f t="shared" si="48"/>
        <v>2604.8996713135944</v>
      </c>
      <c r="U596" s="331">
        <f t="shared" si="49"/>
        <v>2630.0829749617155</v>
      </c>
      <c r="V596" s="330"/>
      <c r="W596" s="330"/>
      <c r="X596" s="330"/>
      <c r="Y596" s="333"/>
      <c r="Z596"/>
      <c r="AA596"/>
      <c r="AB596"/>
    </row>
    <row r="597" spans="1:28" x14ac:dyDescent="0.25">
      <c r="A597" s="330"/>
      <c r="B597" s="332">
        <v>8.2215336957316987E-4</v>
      </c>
      <c r="C597" s="332">
        <v>1.3036190055827407E-2</v>
      </c>
      <c r="D597" s="332">
        <v>1.1433038761387941</v>
      </c>
      <c r="E597" s="332">
        <v>0.248673796461645</v>
      </c>
      <c r="F597" s="332">
        <v>3.1409513353783565E-2</v>
      </c>
      <c r="G597" s="330"/>
      <c r="H597" s="331">
        <f t="shared" si="45"/>
        <v>3215.4162508646937</v>
      </c>
      <c r="I597" s="330"/>
      <c r="J597" s="1"/>
      <c r="K597" s="330"/>
      <c r="L597" s="1"/>
      <c r="M597" s="330"/>
      <c r="N597" s="330"/>
      <c r="O597" s="330"/>
      <c r="P597" s="330"/>
      <c r="Q597" s="329"/>
      <c r="R597" s="331">
        <f t="shared" si="46"/>
        <v>3249.4292269390639</v>
      </c>
      <c r="S597" s="331">
        <f t="shared" si="47"/>
        <v>3283.782332774178</v>
      </c>
      <c r="T597" s="331">
        <f t="shared" si="48"/>
        <v>3318.4789696676435</v>
      </c>
      <c r="U597" s="331">
        <f t="shared" si="49"/>
        <v>3353.5225729300432</v>
      </c>
      <c r="V597" s="330"/>
      <c r="W597" s="330"/>
      <c r="X597" s="330"/>
      <c r="Y597" s="333"/>
      <c r="Z597"/>
      <c r="AA597"/>
      <c r="AB597"/>
    </row>
    <row r="598" spans="1:28" x14ac:dyDescent="0.25">
      <c r="A598" s="330"/>
      <c r="B598" s="332"/>
      <c r="C598" s="332">
        <v>-1.9321411174490124E-2</v>
      </c>
      <c r="D598" s="332">
        <v>1.0818390203108061</v>
      </c>
      <c r="E598" s="332">
        <v>0.24435983443268422</v>
      </c>
      <c r="F598" s="332">
        <v>2.7564496900585069E-2</v>
      </c>
      <c r="G598" s="330"/>
      <c r="H598" s="331">
        <f t="shared" si="45"/>
        <v>3131.6259127184539</v>
      </c>
      <c r="I598" s="330"/>
      <c r="J598" s="1"/>
      <c r="K598" s="330"/>
      <c r="L598" s="1"/>
      <c r="M598" s="330"/>
      <c r="N598" s="330"/>
      <c r="O598" s="330"/>
      <c r="P598" s="330"/>
      <c r="Q598" s="329"/>
      <c r="R598" s="331">
        <f t="shared" si="46"/>
        <v>3163.2870431929796</v>
      </c>
      <c r="S598" s="331">
        <f t="shared" si="47"/>
        <v>3195.2647849722503</v>
      </c>
      <c r="T598" s="331">
        <f t="shared" si="48"/>
        <v>3227.5623041693134</v>
      </c>
      <c r="U598" s="331">
        <f t="shared" si="49"/>
        <v>3260.1827985583477</v>
      </c>
      <c r="V598" s="330"/>
      <c r="W598" s="330"/>
      <c r="X598" s="330"/>
      <c r="Y598" s="333"/>
      <c r="Z598"/>
      <c r="AA598"/>
      <c r="AB598"/>
    </row>
    <row r="599" spans="1:28" x14ac:dyDescent="0.25">
      <c r="A599" s="330"/>
      <c r="B599" s="332"/>
      <c r="C599" s="332">
        <v>-0.38844825248115783</v>
      </c>
      <c r="D599" s="332"/>
      <c r="E599" s="332">
        <v>0.38815092001880186</v>
      </c>
      <c r="F599" s="332"/>
      <c r="G599" s="330"/>
      <c r="H599" s="331">
        <f t="shared" si="45"/>
        <v>1322.5979653028057</v>
      </c>
      <c r="I599" s="330"/>
      <c r="J599" s="1"/>
      <c r="K599" s="330"/>
      <c r="L599" s="1"/>
      <c r="M599" s="330"/>
      <c r="N599" s="330"/>
      <c r="O599" s="330"/>
      <c r="P599" s="330"/>
      <c r="Q599" s="329"/>
      <c r="R599" s="331">
        <f t="shared" si="46"/>
        <v>1342.7574277638701</v>
      </c>
      <c r="S599" s="331">
        <f t="shared" si="47"/>
        <v>1363.118484849545</v>
      </c>
      <c r="T599" s="331">
        <f t="shared" si="48"/>
        <v>1383.683152506077</v>
      </c>
      <c r="U599" s="331">
        <f t="shared" si="49"/>
        <v>1404.4534668391743</v>
      </c>
      <c r="V599" s="330"/>
      <c r="W599" s="330"/>
      <c r="X599" s="330"/>
      <c r="Y599" s="333"/>
      <c r="Z599"/>
      <c r="AA599"/>
      <c r="AB599"/>
    </row>
    <row r="600" spans="1:28" x14ac:dyDescent="0.25">
      <c r="A600" s="330"/>
      <c r="B600" s="332"/>
      <c r="C600" s="332">
        <v>-0.52470609832405102</v>
      </c>
      <c r="D600" s="332"/>
      <c r="E600" s="332">
        <v>0.25470074999719577</v>
      </c>
      <c r="F600" s="332">
        <v>4.6050218898532683E-2</v>
      </c>
      <c r="G600" s="330"/>
      <c r="H600" s="331">
        <f t="shared" si="45"/>
        <v>2508.0515736273605</v>
      </c>
      <c r="I600" s="330"/>
      <c r="J600" s="1"/>
      <c r="K600" s="330"/>
      <c r="L600" s="1"/>
      <c r="M600" s="330"/>
      <c r="N600" s="330"/>
      <c r="O600" s="330"/>
      <c r="P600" s="330"/>
      <c r="Q600" s="329"/>
      <c r="R600" s="331">
        <f t="shared" si="46"/>
        <v>2542.49766299864</v>
      </c>
      <c r="S600" s="331">
        <f t="shared" si="47"/>
        <v>2577.2882132636319</v>
      </c>
      <c r="T600" s="331">
        <f t="shared" si="48"/>
        <v>2612.4266690312743</v>
      </c>
      <c r="U600" s="331">
        <f t="shared" si="49"/>
        <v>2647.916509356593</v>
      </c>
      <c r="V600" s="330"/>
      <c r="W600" s="330"/>
      <c r="X600" s="330"/>
      <c r="Y600" s="333"/>
      <c r="Z600"/>
      <c r="AA600"/>
      <c r="AB600"/>
    </row>
    <row r="601" spans="1:28" x14ac:dyDescent="0.25">
      <c r="A601" s="330"/>
      <c r="B601" s="332"/>
      <c r="C601" s="332">
        <v>-1.9321411174490613E-2</v>
      </c>
      <c r="D601" s="332">
        <v>1.0818390203107942</v>
      </c>
      <c r="E601" s="332">
        <v>0.24435983443268297</v>
      </c>
      <c r="F601" s="332">
        <v>2.7564496900585548E-2</v>
      </c>
      <c r="G601" s="330"/>
      <c r="H601" s="331">
        <f t="shared" si="45"/>
        <v>3131.6259127184621</v>
      </c>
      <c r="I601" s="330"/>
      <c r="J601" s="1"/>
      <c r="K601" s="330"/>
      <c r="L601" s="1"/>
      <c r="M601" s="330"/>
      <c r="N601" s="330"/>
      <c r="O601" s="330"/>
      <c r="P601" s="330"/>
      <c r="Q601" s="329"/>
      <c r="R601" s="331">
        <f t="shared" si="46"/>
        <v>3163.2870431929873</v>
      </c>
      <c r="S601" s="331">
        <f t="shared" si="47"/>
        <v>3195.264784972258</v>
      </c>
      <c r="T601" s="331">
        <f t="shared" si="48"/>
        <v>3227.5623041693216</v>
      </c>
      <c r="U601" s="331">
        <f t="shared" si="49"/>
        <v>3260.1827985583559</v>
      </c>
      <c r="V601" s="330"/>
      <c r="W601" s="330"/>
      <c r="X601" s="330"/>
      <c r="Y601" s="333"/>
      <c r="Z601"/>
      <c r="AA601"/>
      <c r="AB601"/>
    </row>
    <row r="602" spans="1:28" x14ac:dyDescent="0.25">
      <c r="A602" s="330"/>
      <c r="B602" s="332"/>
      <c r="C602" s="332">
        <v>7.6689145425611699E-2</v>
      </c>
      <c r="D602" s="332">
        <v>7.681299895593062E-2</v>
      </c>
      <c r="E602" s="332">
        <v>0.1832845206456504</v>
      </c>
      <c r="F602" s="332">
        <v>4.8248229183855768E-2</v>
      </c>
      <c r="G602" s="330"/>
      <c r="H602" s="331">
        <f t="shared" si="45"/>
        <v>3356.3647335003775</v>
      </c>
      <c r="I602" s="330"/>
      <c r="J602" s="1"/>
      <c r="K602" s="330"/>
      <c r="L602" s="1"/>
      <c r="M602" s="330"/>
      <c r="N602" s="330"/>
      <c r="O602" s="330"/>
      <c r="P602" s="330"/>
      <c r="Q602" s="329"/>
      <c r="R602" s="331">
        <f t="shared" si="46"/>
        <v>3388.5595424689445</v>
      </c>
      <c r="S602" s="331">
        <f t="shared" si="47"/>
        <v>3421.0762995271975</v>
      </c>
      <c r="T602" s="331">
        <f t="shared" si="48"/>
        <v>3453.9182241560329</v>
      </c>
      <c r="U602" s="331">
        <f t="shared" si="49"/>
        <v>3487.0885680311567</v>
      </c>
      <c r="V602" s="330"/>
      <c r="W602" s="330"/>
      <c r="X602" s="330"/>
      <c r="Y602" s="333"/>
      <c r="Z602"/>
      <c r="AA602"/>
      <c r="AB602"/>
    </row>
    <row r="603" spans="1:28" x14ac:dyDescent="0.25">
      <c r="A603" s="330"/>
      <c r="B603" s="332"/>
      <c r="C603" s="332">
        <v>6.9068550125062203E-2</v>
      </c>
      <c r="D603" s="332">
        <v>0.24981977390492113</v>
      </c>
      <c r="E603" s="332">
        <v>0.18658774978065851</v>
      </c>
      <c r="F603" s="332">
        <v>4.6668803934661815E-2</v>
      </c>
      <c r="G603" s="330"/>
      <c r="H603" s="331">
        <f t="shared" si="45"/>
        <v>3387.4066149398504</v>
      </c>
      <c r="I603" s="330"/>
      <c r="J603" s="1"/>
      <c r="K603" s="330"/>
      <c r="L603" s="1"/>
      <c r="M603" s="330"/>
      <c r="N603" s="330"/>
      <c r="O603" s="330"/>
      <c r="P603" s="330"/>
      <c r="Q603" s="329"/>
      <c r="R603" s="331">
        <f t="shared" si="46"/>
        <v>3420.0478641006043</v>
      </c>
      <c r="S603" s="331">
        <f t="shared" si="47"/>
        <v>3453.0155257529659</v>
      </c>
      <c r="T603" s="331">
        <f t="shared" si="48"/>
        <v>3486.3128640218511</v>
      </c>
      <c r="U603" s="331">
        <f t="shared" si="49"/>
        <v>3519.9431756734248</v>
      </c>
      <c r="V603" s="330"/>
      <c r="W603" s="330"/>
      <c r="X603" s="330"/>
      <c r="Y603" s="333"/>
      <c r="Z603"/>
      <c r="AA603"/>
      <c r="AB603"/>
    </row>
    <row r="604" spans="1:28" x14ac:dyDescent="0.25">
      <c r="A604" s="330"/>
      <c r="B604" s="332"/>
      <c r="C604" s="332">
        <v>6.2383266365415573E-2</v>
      </c>
      <c r="D604" s="332"/>
      <c r="E604" s="332">
        <v>0.32384648176680803</v>
      </c>
      <c r="F604" s="332"/>
      <c r="G604" s="330"/>
      <c r="H604" s="331">
        <f t="shared" si="45"/>
        <v>1793.316171986073</v>
      </c>
      <c r="I604" s="330"/>
      <c r="J604" s="1"/>
      <c r="K604" s="330"/>
      <c r="L604" s="1"/>
      <c r="M604" s="330"/>
      <c r="N604" s="330"/>
      <c r="O604" s="330"/>
      <c r="P604" s="330"/>
      <c r="Q604" s="329"/>
      <c r="R604" s="331">
        <f t="shared" si="46"/>
        <v>1810.1358435509619</v>
      </c>
      <c r="S604" s="331">
        <f t="shared" si="47"/>
        <v>1827.1237118314998</v>
      </c>
      <c r="T604" s="331">
        <f t="shared" si="48"/>
        <v>1844.281458794843</v>
      </c>
      <c r="U604" s="331">
        <f t="shared" si="49"/>
        <v>1861.6107832278196</v>
      </c>
      <c r="V604" s="330"/>
      <c r="W604" s="330"/>
      <c r="X604" s="330"/>
      <c r="Y604" s="333"/>
      <c r="Z604"/>
      <c r="AA604"/>
      <c r="AB604"/>
    </row>
    <row r="605" spans="1:28" x14ac:dyDescent="0.25">
      <c r="A605" s="330"/>
      <c r="B605" s="332">
        <v>4.7859862826101704E-2</v>
      </c>
      <c r="C605" s="332">
        <v>0.14908637524145324</v>
      </c>
      <c r="D605" s="332"/>
      <c r="E605" s="332">
        <v>1.5774233580272952</v>
      </c>
      <c r="F605" s="332"/>
      <c r="G605" s="330"/>
      <c r="H605" s="331">
        <f t="shared" si="45"/>
        <v>-3716.4055480743828</v>
      </c>
      <c r="I605" s="330"/>
      <c r="J605" s="1"/>
      <c r="K605" s="330"/>
      <c r="L605" s="1"/>
      <c r="M605" s="330"/>
      <c r="N605" s="330"/>
      <c r="O605" s="330"/>
      <c r="P605" s="330"/>
      <c r="Q605" s="329"/>
      <c r="R605" s="331">
        <f t="shared" si="46"/>
        <v>-3634.4786342599891</v>
      </c>
      <c r="S605" s="331">
        <f t="shared" si="47"/>
        <v>-3551.7324513074545</v>
      </c>
      <c r="T605" s="331">
        <f t="shared" si="48"/>
        <v>-3468.1588065253927</v>
      </c>
      <c r="U605" s="331">
        <f t="shared" si="49"/>
        <v>-3383.7494252955112</v>
      </c>
      <c r="V605" s="330"/>
      <c r="W605" s="330"/>
      <c r="X605" s="330"/>
      <c r="Y605" s="333"/>
      <c r="Z605"/>
      <c r="AA605"/>
      <c r="AB605"/>
    </row>
    <row r="606" spans="1:28" x14ac:dyDescent="0.25">
      <c r="A606" s="330"/>
      <c r="B606" s="332"/>
      <c r="C606" s="332">
        <v>6.9072922026819569E-2</v>
      </c>
      <c r="D606" s="332">
        <v>0.2486256713387108</v>
      </c>
      <c r="E606" s="332">
        <v>0.18653684156006625</v>
      </c>
      <c r="F606" s="332">
        <v>4.6692314671379846E-2</v>
      </c>
      <c r="G606" s="330"/>
      <c r="H606" s="331">
        <f t="shared" si="45"/>
        <v>3387.541272878273</v>
      </c>
      <c r="I606" s="330"/>
      <c r="J606" s="1"/>
      <c r="K606" s="330"/>
      <c r="L606" s="1"/>
      <c r="M606" s="330"/>
      <c r="N606" s="330"/>
      <c r="O606" s="330"/>
      <c r="P606" s="330"/>
      <c r="Q606" s="329"/>
      <c r="R606" s="331">
        <f t="shared" si="46"/>
        <v>3420.1837905835491</v>
      </c>
      <c r="S606" s="331">
        <f t="shared" si="47"/>
        <v>3453.1527334658786</v>
      </c>
      <c r="T606" s="331">
        <f t="shared" si="48"/>
        <v>3486.4513657770308</v>
      </c>
      <c r="U606" s="331">
        <f t="shared" si="49"/>
        <v>3520.082984411295</v>
      </c>
      <c r="V606" s="330"/>
      <c r="W606" s="330"/>
      <c r="X606" s="330"/>
      <c r="Y606" s="333"/>
      <c r="Z606"/>
      <c r="AA606"/>
      <c r="AB606"/>
    </row>
    <row r="607" spans="1:28" x14ac:dyDescent="0.25">
      <c r="A607" s="330"/>
      <c r="B607" s="332"/>
      <c r="C607" s="332">
        <v>-0.17168159182189183</v>
      </c>
      <c r="D607" s="332"/>
      <c r="E607" s="332">
        <v>0.3465388301345485</v>
      </c>
      <c r="F607" s="332">
        <v>7.0463004039710408E-3</v>
      </c>
      <c r="G607" s="330"/>
      <c r="H607" s="331">
        <f t="shared" si="45"/>
        <v>1818.0457367276404</v>
      </c>
      <c r="I607" s="330"/>
      <c r="J607" s="1"/>
      <c r="K607" s="330"/>
      <c r="L607" s="1"/>
      <c r="M607" s="330"/>
      <c r="N607" s="330"/>
      <c r="O607" s="330"/>
      <c r="P607" s="330"/>
      <c r="Q607" s="329"/>
      <c r="R607" s="331">
        <f t="shared" si="46"/>
        <v>1839.2905697427675</v>
      </c>
      <c r="S607" s="331">
        <f t="shared" si="47"/>
        <v>1860.747851088046</v>
      </c>
      <c r="T607" s="331">
        <f t="shared" si="48"/>
        <v>1882.4197052467771</v>
      </c>
      <c r="U607" s="331">
        <f t="shared" si="49"/>
        <v>1904.3082779470956</v>
      </c>
      <c r="V607" s="330"/>
      <c r="W607" s="330"/>
      <c r="X607" s="330"/>
      <c r="Y607" s="333"/>
      <c r="Z607"/>
      <c r="AA607"/>
      <c r="AB607"/>
    </row>
    <row r="608" spans="1:28" x14ac:dyDescent="0.25">
      <c r="A608" s="330"/>
      <c r="B608" s="332">
        <v>1.8800481273654329E-2</v>
      </c>
      <c r="C608" s="332">
        <v>6.480449075348696E-2</v>
      </c>
      <c r="D608" s="332"/>
      <c r="E608" s="332">
        <v>0.53822384606055185</v>
      </c>
      <c r="F608" s="332">
        <v>9.5104750120685658E-2</v>
      </c>
      <c r="G608" s="330"/>
      <c r="H608" s="331">
        <f t="shared" si="45"/>
        <v>2510.3006531074116</v>
      </c>
      <c r="I608" s="330"/>
      <c r="J608" s="1"/>
      <c r="K608" s="330"/>
      <c r="L608" s="1"/>
      <c r="M608" s="330"/>
      <c r="N608" s="330"/>
      <c r="O608" s="330"/>
      <c r="P608" s="330"/>
      <c r="Q608" s="329"/>
      <c r="R608" s="331">
        <f t="shared" si="46"/>
        <v>2582.0740208774832</v>
      </c>
      <c r="S608" s="331">
        <f t="shared" si="47"/>
        <v>2654.5651223252562</v>
      </c>
      <c r="T608" s="331">
        <f t="shared" si="48"/>
        <v>2727.7811347875063</v>
      </c>
      <c r="U608" s="331">
        <f t="shared" si="49"/>
        <v>2801.7293073743795</v>
      </c>
      <c r="V608" s="330"/>
      <c r="W608" s="330"/>
      <c r="X608" s="330"/>
      <c r="Y608" s="333"/>
      <c r="Z608"/>
      <c r="AA608"/>
      <c r="AB608"/>
    </row>
    <row r="609" spans="1:28" x14ac:dyDescent="0.25">
      <c r="A609" s="330"/>
      <c r="B609" s="332"/>
      <c r="C609" s="332">
        <v>-4.0854624373329262E-2</v>
      </c>
      <c r="D609" s="332"/>
      <c r="E609" s="332">
        <v>0.19256313637664416</v>
      </c>
      <c r="F609" s="332">
        <v>5.1883981494451989E-2</v>
      </c>
      <c r="G609" s="330"/>
      <c r="H609" s="331">
        <f t="shared" si="45"/>
        <v>3317.7523499745375</v>
      </c>
      <c r="I609" s="330"/>
      <c r="J609" s="1"/>
      <c r="K609" s="330"/>
      <c r="L609" s="1"/>
      <c r="M609" s="330"/>
      <c r="N609" s="330"/>
      <c r="O609" s="330"/>
      <c r="P609" s="330"/>
      <c r="Q609" s="329"/>
      <c r="R609" s="331">
        <f t="shared" si="46"/>
        <v>3351.6590950215855</v>
      </c>
      <c r="S609" s="331">
        <f t="shared" si="47"/>
        <v>3385.9049075191042</v>
      </c>
      <c r="T609" s="331">
        <f t="shared" si="48"/>
        <v>3420.493178141598</v>
      </c>
      <c r="U609" s="331">
        <f t="shared" si="49"/>
        <v>3455.4273314703164</v>
      </c>
      <c r="V609" s="330"/>
      <c r="W609" s="330"/>
      <c r="X609" s="330"/>
      <c r="Y609" s="333"/>
      <c r="Z609"/>
      <c r="AA609"/>
      <c r="AB609"/>
    </row>
    <row r="610" spans="1:28" x14ac:dyDescent="0.25">
      <c r="A610" s="330"/>
      <c r="B610" s="332">
        <v>0.14772785301595612</v>
      </c>
      <c r="C610" s="332">
        <v>4.1283806758896077E-2</v>
      </c>
      <c r="D610" s="332"/>
      <c r="E610" s="332">
        <v>4.2585083766802034</v>
      </c>
      <c r="F610" s="332"/>
      <c r="G610" s="330"/>
      <c r="H610" s="331">
        <f t="shared" si="45"/>
        <v>-15389.722321410234</v>
      </c>
      <c r="I610" s="330"/>
      <c r="J610" s="1"/>
      <c r="K610" s="330"/>
      <c r="L610" s="1"/>
      <c r="M610" s="330"/>
      <c r="N610" s="330"/>
      <c r="O610" s="330"/>
      <c r="P610" s="330"/>
      <c r="Q610" s="329"/>
      <c r="R610" s="331">
        <f t="shared" si="46"/>
        <v>-15168.547424399414</v>
      </c>
      <c r="S610" s="331">
        <f t="shared" si="47"/>
        <v>-14945.160778418489</v>
      </c>
      <c r="T610" s="331">
        <f t="shared" si="48"/>
        <v>-14719.540265977754</v>
      </c>
      <c r="U610" s="331">
        <f t="shared" si="49"/>
        <v>-14491.663548412609</v>
      </c>
      <c r="V610" s="330"/>
      <c r="W610" s="330"/>
      <c r="X610" s="330"/>
      <c r="Y610" s="333"/>
      <c r="Z610"/>
      <c r="AA610"/>
      <c r="AB610"/>
    </row>
    <row r="611" spans="1:28" x14ac:dyDescent="0.25">
      <c r="A611" s="330"/>
      <c r="B611" s="332">
        <v>5.8045787850990376E-4</v>
      </c>
      <c r="C611" s="332">
        <v>5.8753520494289183E-2</v>
      </c>
      <c r="D611" s="332"/>
      <c r="E611" s="332">
        <v>0.33731741988392477</v>
      </c>
      <c r="F611" s="332">
        <v>6.1308135115344499E-3</v>
      </c>
      <c r="G611" s="330"/>
      <c r="H611" s="331">
        <f t="shared" si="45"/>
        <v>1991.614735252972</v>
      </c>
      <c r="I611" s="330"/>
      <c r="J611" s="1"/>
      <c r="K611" s="330"/>
      <c r="L611" s="1"/>
      <c r="M611" s="330"/>
      <c r="N611" s="330"/>
      <c r="O611" s="330"/>
      <c r="P611" s="330"/>
      <c r="Q611" s="329"/>
      <c r="R611" s="331">
        <f t="shared" si="46"/>
        <v>2011.9588234121727</v>
      </c>
      <c r="S611" s="331">
        <f t="shared" si="47"/>
        <v>2032.5063524529653</v>
      </c>
      <c r="T611" s="331">
        <f t="shared" si="48"/>
        <v>2053.2593567841659</v>
      </c>
      <c r="U611" s="331">
        <f t="shared" si="49"/>
        <v>2074.2198911586788</v>
      </c>
      <c r="V611" s="330"/>
      <c r="W611" s="330"/>
      <c r="X611" s="330"/>
      <c r="Y611" s="333"/>
      <c r="Z611"/>
      <c r="AA611"/>
      <c r="AB611"/>
    </row>
    <row r="612" spans="1:28" x14ac:dyDescent="0.25">
      <c r="A612" s="330"/>
      <c r="B612" s="1"/>
      <c r="C612" s="1"/>
      <c r="D612" s="1"/>
      <c r="E612" s="1"/>
      <c r="F612" s="1"/>
      <c r="G612" s="330"/>
      <c r="H612" s="349"/>
      <c r="I612" s="330"/>
      <c r="J612" s="1"/>
      <c r="K612" s="330"/>
      <c r="L612" s="1"/>
      <c r="M612" s="330"/>
      <c r="N612" s="330"/>
      <c r="O612" s="330"/>
      <c r="P612" s="330"/>
      <c r="Q612" s="329"/>
      <c r="R612" s="331"/>
      <c r="S612" s="331"/>
      <c r="T612" s="331"/>
      <c r="U612" s="331"/>
      <c r="V612" s="330"/>
      <c r="W612" s="330"/>
      <c r="X612" s="330"/>
      <c r="Y612" s="333"/>
      <c r="Z612"/>
      <c r="AA612"/>
      <c r="AB612"/>
    </row>
    <row r="613" spans="1:28" x14ac:dyDescent="0.25">
      <c r="A613" s="330"/>
      <c r="B613" s="1"/>
      <c r="C613" s="1"/>
      <c r="D613" s="1"/>
      <c r="E613" s="1"/>
      <c r="F613" s="1"/>
      <c r="G613" s="330"/>
      <c r="H613" s="349"/>
      <c r="I613" s="330"/>
      <c r="J613" s="1"/>
      <c r="K613" s="330"/>
      <c r="L613" s="1"/>
      <c r="M613" s="330"/>
      <c r="N613" s="330"/>
      <c r="O613" s="330"/>
      <c r="P613" s="330"/>
      <c r="Q613" s="329"/>
      <c r="R613" s="331"/>
      <c r="S613" s="331"/>
      <c r="T613" s="331"/>
      <c r="U613" s="331"/>
      <c r="V613" s="330"/>
      <c r="W613" s="330"/>
      <c r="X613" s="330"/>
      <c r="Y613" s="333"/>
      <c r="Z613"/>
      <c r="AA613"/>
      <c r="AB613"/>
    </row>
    <row r="614" spans="1:28" x14ac:dyDescent="0.25">
      <c r="A614" s="330"/>
      <c r="B614" s="1"/>
      <c r="C614" s="1"/>
      <c r="D614" s="1"/>
      <c r="E614" s="1"/>
      <c r="F614" s="1"/>
      <c r="G614" s="330"/>
      <c r="H614" s="349"/>
      <c r="I614" s="330"/>
      <c r="J614" s="1"/>
      <c r="K614" s="330"/>
      <c r="L614" s="1"/>
      <c r="M614" s="330"/>
      <c r="N614" s="330"/>
      <c r="O614" s="330"/>
      <c r="P614" s="330"/>
      <c r="Q614" s="329"/>
      <c r="R614" s="331"/>
      <c r="S614" s="331"/>
      <c r="T614" s="331"/>
      <c r="U614" s="331"/>
      <c r="V614" s="330"/>
      <c r="W614" s="330"/>
      <c r="X614" s="330"/>
      <c r="Y614" s="333"/>
      <c r="Z614"/>
      <c r="AA614"/>
      <c r="AB614"/>
    </row>
    <row r="615" spans="1:28" x14ac:dyDescent="0.25">
      <c r="A615" s="330"/>
      <c r="B615" s="1"/>
      <c r="C615" s="1"/>
      <c r="D615" s="1"/>
      <c r="E615" s="1"/>
      <c r="F615" s="1"/>
      <c r="G615" s="330"/>
      <c r="H615" s="349"/>
      <c r="I615" s="330"/>
      <c r="J615" s="1"/>
      <c r="K615" s="330"/>
      <c r="L615" s="1"/>
      <c r="M615" s="330"/>
      <c r="N615" s="330"/>
      <c r="O615" s="330"/>
      <c r="P615" s="330"/>
      <c r="Q615" s="329"/>
      <c r="R615" s="331"/>
      <c r="S615" s="331"/>
      <c r="T615" s="331"/>
      <c r="U615" s="331"/>
      <c r="V615" s="330"/>
      <c r="W615" s="330"/>
      <c r="X615" s="330"/>
      <c r="Y615"/>
      <c r="Z615"/>
      <c r="AA615"/>
      <c r="AB615"/>
    </row>
    <row r="616" spans="1:28" x14ac:dyDescent="0.25">
      <c r="A616" s="330"/>
      <c r="B616" s="1"/>
      <c r="C616" s="1"/>
      <c r="D616" s="1"/>
      <c r="E616" s="1"/>
      <c r="F616" s="1"/>
      <c r="G616" s="330"/>
      <c r="H616" s="349"/>
      <c r="I616" s="330"/>
      <c r="J616" s="1"/>
      <c r="K616" s="330"/>
      <c r="L616" s="1"/>
      <c r="M616" s="330"/>
      <c r="N616" s="330"/>
      <c r="O616" s="330"/>
      <c r="P616" s="330"/>
      <c r="Q616" s="329"/>
      <c r="R616" s="331"/>
      <c r="S616" s="331"/>
      <c r="T616" s="331"/>
      <c r="U616" s="331"/>
      <c r="V616" s="330"/>
      <c r="W616" s="330"/>
      <c r="X616" s="330"/>
      <c r="Y616"/>
      <c r="Z616"/>
      <c r="AA616"/>
      <c r="AB616"/>
    </row>
    <row r="617" spans="1:28" x14ac:dyDescent="0.25">
      <c r="A617" s="330"/>
      <c r="B617" s="1"/>
      <c r="C617" s="1"/>
      <c r="D617" s="1"/>
      <c r="E617" s="1"/>
      <c r="F617" s="1"/>
      <c r="G617" s="330"/>
      <c r="H617" s="349"/>
      <c r="I617" s="330"/>
      <c r="J617" s="1"/>
      <c r="K617" s="330"/>
      <c r="L617" s="1"/>
      <c r="M617" s="330"/>
      <c r="N617" s="330"/>
      <c r="O617" s="330"/>
      <c r="P617" s="330"/>
      <c r="Q617" s="329"/>
      <c r="R617" s="331"/>
      <c r="S617" s="331"/>
      <c r="T617" s="331"/>
      <c r="U617" s="331"/>
      <c r="V617" s="330"/>
      <c r="W617" s="330"/>
      <c r="X617" s="330"/>
      <c r="Y617"/>
      <c r="Z617"/>
      <c r="AA617"/>
      <c r="AB617"/>
    </row>
    <row r="618" spans="1:28" x14ac:dyDescent="0.25">
      <c r="A618" s="330"/>
      <c r="B618" s="1"/>
      <c r="C618" s="1"/>
      <c r="D618" s="1"/>
      <c r="E618" s="1"/>
      <c r="F618" s="1"/>
      <c r="G618" s="330"/>
      <c r="H618" s="349"/>
      <c r="I618" s="330"/>
      <c r="J618" s="1"/>
      <c r="K618" s="330"/>
      <c r="L618" s="1"/>
      <c r="M618" s="330"/>
      <c r="N618" s="330"/>
      <c r="O618" s="330"/>
      <c r="P618" s="330"/>
      <c r="Q618" s="329"/>
      <c r="R618" s="331"/>
      <c r="S618" s="331"/>
      <c r="T618" s="331"/>
      <c r="U618" s="331"/>
      <c r="V618" s="330"/>
      <c r="W618" s="330"/>
      <c r="X618" s="330"/>
      <c r="Y618"/>
      <c r="Z618"/>
      <c r="AA618"/>
      <c r="AB618"/>
    </row>
    <row r="619" spans="1:28" x14ac:dyDescent="0.25">
      <c r="A619" s="330"/>
      <c r="B619" s="330"/>
      <c r="C619" s="330"/>
      <c r="D619" s="330"/>
      <c r="E619" s="330"/>
      <c r="F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29"/>
      <c r="R619" s="330"/>
      <c r="S619" s="330"/>
      <c r="T619" s="330"/>
      <c r="U619" s="330"/>
      <c r="V619" s="330"/>
      <c r="W619" s="330"/>
      <c r="X619" s="330"/>
      <c r="Y619"/>
      <c r="Z619"/>
      <c r="AA619"/>
      <c r="AB619"/>
    </row>
    <row r="620" spans="1:28" x14ac:dyDescent="0.25">
      <c r="A620" s="329"/>
      <c r="B620" s="329"/>
      <c r="C620" s="329"/>
      <c r="D620" s="329"/>
      <c r="E620" s="329"/>
      <c r="F620" s="329"/>
      <c r="G620" s="329"/>
      <c r="H620" s="329"/>
      <c r="I620" s="329"/>
      <c r="J620" s="329"/>
      <c r="K620" s="329"/>
      <c r="L620" s="329"/>
      <c r="M620" s="329"/>
      <c r="N620" s="329"/>
      <c r="O620" s="1"/>
      <c r="P620" s="1"/>
      <c r="Q620" s="1"/>
      <c r="R620" s="1"/>
      <c r="S620" s="1"/>
      <c r="T620" s="1"/>
      <c r="U620" s="1"/>
      <c r="V620"/>
      <c r="W620"/>
      <c r="X620"/>
      <c r="Y620"/>
      <c r="Z620"/>
      <c r="AA620"/>
      <c r="AB620"/>
    </row>
    <row r="621" spans="1:28" x14ac:dyDescent="0.25">
      <c r="A621" s="329"/>
      <c r="B621" s="329"/>
      <c r="C621" s="329"/>
      <c r="D621" s="329"/>
      <c r="E621" s="329"/>
      <c r="F621" s="329"/>
      <c r="G621" s="329"/>
      <c r="H621" s="329"/>
      <c r="I621" s="329"/>
      <c r="J621" s="329"/>
      <c r="K621" s="329"/>
      <c r="L621" s="329"/>
      <c r="M621" s="329"/>
      <c r="N621" s="329"/>
      <c r="O621" s="1"/>
      <c r="P621" s="1"/>
      <c r="Q621" s="1"/>
      <c r="R621" s="1"/>
      <c r="S621" s="1"/>
      <c r="T621" s="1"/>
      <c r="U621" s="1"/>
      <c r="V621"/>
      <c r="W621"/>
      <c r="X621"/>
      <c r="Y621"/>
      <c r="Z621"/>
      <c r="AA621"/>
      <c r="AB621"/>
    </row>
    <row r="622" spans="1:28" x14ac:dyDescent="0.25">
      <c r="A622" s="328" t="s">
        <v>298</v>
      </c>
      <c r="B622" s="327"/>
      <c r="C622" s="327"/>
      <c r="D622" s="327"/>
      <c r="E622" s="327"/>
      <c r="F622" s="327"/>
      <c r="G622" s="327"/>
      <c r="H622" s="327"/>
      <c r="I622" s="327"/>
      <c r="J622" s="327"/>
      <c r="K622" s="327"/>
      <c r="L622" s="327"/>
      <c r="M622" s="327"/>
      <c r="N622" s="327"/>
      <c r="O622" s="327"/>
      <c r="P622" s="1"/>
      <c r="Q622" s="1"/>
      <c r="R622" s="1"/>
      <c r="S622" s="1"/>
      <c r="T622" s="1"/>
      <c r="U622" s="1"/>
      <c r="V622"/>
      <c r="W622"/>
      <c r="X622"/>
      <c r="Y622"/>
      <c r="Z622"/>
      <c r="AA622"/>
      <c r="AB622"/>
    </row>
    <row r="623" spans="1:28" x14ac:dyDescent="0.25">
      <c r="A623" s="477" t="s">
        <v>216</v>
      </c>
      <c r="B623" s="478" t="s">
        <v>297</v>
      </c>
      <c r="C623" s="478" t="s">
        <v>296</v>
      </c>
      <c r="D623" s="478" t="s">
        <v>295</v>
      </c>
      <c r="E623" s="478" t="s">
        <v>294</v>
      </c>
      <c r="F623" s="478" t="s">
        <v>293</v>
      </c>
      <c r="G623" s="478" t="s">
        <v>292</v>
      </c>
      <c r="H623" s="478" t="s">
        <v>291</v>
      </c>
      <c r="I623" s="478" t="s">
        <v>290</v>
      </c>
      <c r="J623" s="478" t="s">
        <v>289</v>
      </c>
      <c r="K623" s="478" t="s">
        <v>288</v>
      </c>
      <c r="L623" s="478" t="s">
        <v>287</v>
      </c>
      <c r="M623" s="478" t="s">
        <v>286</v>
      </c>
      <c r="N623" s="477"/>
      <c r="O623" s="477" t="s">
        <v>356</v>
      </c>
      <c r="P623" s="1"/>
      <c r="Q623" s="1"/>
      <c r="R623" s="1"/>
      <c r="S623" s="1"/>
      <c r="T623" s="1"/>
      <c r="U623" s="1"/>
      <c r="V623"/>
      <c r="W623"/>
      <c r="X623"/>
      <c r="Y623"/>
      <c r="Z623"/>
      <c r="AA623"/>
      <c r="AB623"/>
    </row>
    <row r="624" spans="1:28" x14ac:dyDescent="0.25">
      <c r="A624" s="502">
        <v>2005</v>
      </c>
      <c r="B624" s="479">
        <v>113.4</v>
      </c>
      <c r="C624" s="479">
        <v>114</v>
      </c>
      <c r="D624" s="479">
        <v>114.5</v>
      </c>
      <c r="E624" s="479">
        <v>114.8</v>
      </c>
      <c r="F624" s="479">
        <v>114.5</v>
      </c>
      <c r="G624" s="479">
        <v>114.8</v>
      </c>
      <c r="H624" s="479">
        <v>114.4</v>
      </c>
      <c r="I624" s="479">
        <v>114.8</v>
      </c>
      <c r="J624" s="479">
        <v>115.4</v>
      </c>
      <c r="K624" s="479">
        <v>115.3</v>
      </c>
      <c r="L624" s="479">
        <v>115</v>
      </c>
      <c r="M624" s="479">
        <v>115.1</v>
      </c>
      <c r="N624" s="479"/>
      <c r="O624" s="480">
        <v>114.78333333333332</v>
      </c>
      <c r="P624" s="1"/>
      <c r="Q624" s="1"/>
      <c r="R624" s="1"/>
      <c r="S624" s="1"/>
      <c r="T624" s="1"/>
      <c r="U624" s="1"/>
      <c r="V624"/>
      <c r="W624"/>
      <c r="X624"/>
      <c r="Y624"/>
      <c r="Z624"/>
      <c r="AA624"/>
      <c r="AB624"/>
    </row>
    <row r="625" spans="1:28" x14ac:dyDescent="0.25">
      <c r="A625" s="502">
        <v>2006</v>
      </c>
      <c r="B625" s="479">
        <v>114.7</v>
      </c>
      <c r="C625" s="479">
        <v>115.7</v>
      </c>
      <c r="D625" s="479">
        <v>116</v>
      </c>
      <c r="E625" s="479">
        <v>116.6</v>
      </c>
      <c r="F625" s="479">
        <v>116.8</v>
      </c>
      <c r="G625" s="479">
        <v>116.9</v>
      </c>
      <c r="H625" s="479">
        <v>116.6</v>
      </c>
      <c r="I625" s="479">
        <v>117</v>
      </c>
      <c r="J625" s="479">
        <v>117.2</v>
      </c>
      <c r="K625" s="479">
        <v>117.5</v>
      </c>
      <c r="L625" s="479">
        <v>117.5</v>
      </c>
      <c r="M625" s="479">
        <v>117.7</v>
      </c>
      <c r="N625" s="479"/>
      <c r="O625" s="480">
        <v>116.85000000000001</v>
      </c>
      <c r="P625" s="1"/>
      <c r="Q625" s="1"/>
      <c r="R625" s="1"/>
      <c r="S625" s="1"/>
      <c r="T625" s="1"/>
      <c r="U625" s="1"/>
      <c r="V625"/>
      <c r="W625"/>
      <c r="X625"/>
      <c r="Y625"/>
      <c r="Z625"/>
      <c r="AA625"/>
      <c r="AB625"/>
    </row>
    <row r="626" spans="1:28" x14ac:dyDescent="0.25">
      <c r="A626" s="502">
        <v>2007</v>
      </c>
      <c r="B626" s="479">
        <v>117.4</v>
      </c>
      <c r="C626" s="479">
        <v>118.2</v>
      </c>
      <c r="D626" s="479">
        <v>119.1</v>
      </c>
      <c r="E626" s="479">
        <v>119.6</v>
      </c>
      <c r="F626" s="479">
        <v>119.5</v>
      </c>
      <c r="G626" s="479">
        <v>119.7</v>
      </c>
      <c r="H626" s="479">
        <v>119.5</v>
      </c>
      <c r="I626" s="479">
        <v>119.7</v>
      </c>
      <c r="J626" s="479">
        <v>120.3</v>
      </c>
      <c r="K626" s="479">
        <v>120.6</v>
      </c>
      <c r="L626" s="479">
        <v>120.9</v>
      </c>
      <c r="M626" s="479">
        <v>120.7</v>
      </c>
      <c r="N626" s="479"/>
      <c r="O626" s="480">
        <v>119.71666666666665</v>
      </c>
      <c r="P626" s="1"/>
      <c r="Q626" s="1"/>
      <c r="R626" s="1"/>
      <c r="S626" s="1"/>
      <c r="T626" s="1"/>
      <c r="U626" s="1"/>
      <c r="V626"/>
      <c r="W626"/>
      <c r="X626"/>
      <c r="Y626"/>
      <c r="Z626"/>
      <c r="AA626"/>
      <c r="AB626"/>
    </row>
    <row r="627" spans="1:28" x14ac:dyDescent="0.25">
      <c r="A627" s="502">
        <v>2008</v>
      </c>
      <c r="B627" s="479">
        <v>121.9</v>
      </c>
      <c r="C627" s="479">
        <v>122.6</v>
      </c>
      <c r="D627" s="479">
        <v>123.6</v>
      </c>
      <c r="E627" s="479">
        <v>123.8</v>
      </c>
      <c r="F627" s="479">
        <v>124.5</v>
      </c>
      <c r="G627" s="479">
        <v>124.9</v>
      </c>
      <c r="H627" s="479">
        <v>124.7</v>
      </c>
      <c r="I627" s="479">
        <v>125.3</v>
      </c>
      <c r="J627" s="479">
        <v>125.9</v>
      </c>
      <c r="K627" s="479">
        <v>125.9</v>
      </c>
      <c r="L627" s="479">
        <v>125.3</v>
      </c>
      <c r="M627" s="479">
        <v>124.9</v>
      </c>
      <c r="N627" s="479"/>
      <c r="O627" s="480">
        <v>124.85000000000001</v>
      </c>
      <c r="P627" s="1"/>
      <c r="Q627" s="1"/>
      <c r="R627" s="1"/>
      <c r="S627" s="1"/>
      <c r="T627" s="1"/>
      <c r="U627" s="1"/>
      <c r="V627"/>
      <c r="W627"/>
      <c r="X627"/>
      <c r="Y627"/>
      <c r="Z627"/>
      <c r="AA627"/>
      <c r="AB627"/>
    </row>
    <row r="628" spans="1:28" x14ac:dyDescent="0.25">
      <c r="A628" s="502">
        <v>2009</v>
      </c>
      <c r="B628" s="479">
        <v>124.6</v>
      </c>
      <c r="C628" s="479">
        <v>124.7</v>
      </c>
      <c r="D628" s="479">
        <v>124.8</v>
      </c>
      <c r="E628" s="479">
        <v>124.8</v>
      </c>
      <c r="F628" s="479">
        <v>124.5</v>
      </c>
      <c r="G628" s="479">
        <v>124.8</v>
      </c>
      <c r="H628" s="479">
        <v>124</v>
      </c>
      <c r="I628" s="479">
        <v>124.4</v>
      </c>
      <c r="J628" s="479">
        <v>124.6</v>
      </c>
      <c r="K628" s="479">
        <v>124</v>
      </c>
      <c r="L628" s="479">
        <v>124.1</v>
      </c>
      <c r="M628" s="479">
        <v>124.2</v>
      </c>
      <c r="N628" s="479"/>
      <c r="O628" s="480">
        <v>124.51666666666667</v>
      </c>
      <c r="P628" s="1"/>
      <c r="Q628" s="1"/>
      <c r="R628" s="1"/>
      <c r="S628" s="1"/>
      <c r="T628" s="1"/>
      <c r="U628" s="1"/>
      <c r="V628"/>
      <c r="W628"/>
      <c r="X628"/>
      <c r="Y628"/>
      <c r="Z628"/>
      <c r="AA628"/>
      <c r="AB628"/>
    </row>
    <row r="629" spans="1:28" x14ac:dyDescent="0.25">
      <c r="A629" s="502">
        <v>2010</v>
      </c>
      <c r="B629" s="479">
        <v>124.4</v>
      </c>
      <c r="C629" s="479">
        <v>124.8</v>
      </c>
      <c r="D629" s="479">
        <v>125.5</v>
      </c>
      <c r="E629" s="479">
        <v>125.8</v>
      </c>
      <c r="F629" s="479">
        <v>125.7</v>
      </c>
      <c r="G629" s="479">
        <v>126</v>
      </c>
      <c r="H629" s="479">
        <v>125.3</v>
      </c>
      <c r="I629" s="479">
        <v>125.9</v>
      </c>
      <c r="J629" s="479">
        <v>126.4</v>
      </c>
      <c r="K629" s="479">
        <v>126.9</v>
      </c>
      <c r="L629" s="479">
        <v>127.2</v>
      </c>
      <c r="M629" s="479">
        <v>127.8</v>
      </c>
      <c r="N629" s="479"/>
      <c r="O629" s="480">
        <v>125.85000000000001</v>
      </c>
      <c r="P629" s="1"/>
      <c r="Q629" s="1"/>
      <c r="R629" s="1"/>
      <c r="S629" s="1"/>
      <c r="T629" s="1"/>
      <c r="U629" s="1"/>
      <c r="V629"/>
      <c r="W629"/>
      <c r="X629"/>
      <c r="Y629"/>
      <c r="Z629"/>
      <c r="AA629"/>
      <c r="AB629"/>
    </row>
    <row r="630" spans="1:28" x14ac:dyDescent="0.25">
      <c r="A630" s="502">
        <v>2011</v>
      </c>
      <c r="B630" s="479">
        <v>128.30000000000001</v>
      </c>
      <c r="C630" s="479">
        <v>129.1</v>
      </c>
      <c r="D630" s="479">
        <v>129.80000000000001</v>
      </c>
      <c r="E630" s="479">
        <v>130</v>
      </c>
      <c r="F630" s="479">
        <v>130.1</v>
      </c>
      <c r="G630" s="479">
        <v>130.5</v>
      </c>
      <c r="H630" s="479">
        <v>130.1</v>
      </c>
      <c r="I630" s="479">
        <v>130.6</v>
      </c>
      <c r="J630" s="479">
        <v>131.1</v>
      </c>
      <c r="K630" s="479">
        <v>131.5</v>
      </c>
      <c r="L630" s="479">
        <v>131.6</v>
      </c>
      <c r="M630" s="479">
        <v>131.5</v>
      </c>
      <c r="N630" s="479"/>
      <c r="O630" s="480">
        <v>130.4</v>
      </c>
      <c r="P630" s="1"/>
      <c r="Q630" s="1"/>
      <c r="R630" s="1"/>
      <c r="S630" s="1"/>
      <c r="T630" s="1"/>
      <c r="U630" s="1"/>
      <c r="V630"/>
      <c r="W630"/>
      <c r="X630"/>
      <c r="Y630"/>
      <c r="Z630"/>
      <c r="AA630"/>
      <c r="AB630"/>
    </row>
    <row r="631" spans="1:28" x14ac:dyDescent="0.25">
      <c r="A631" s="481">
        <v>2012</v>
      </c>
      <c r="B631" s="479">
        <v>132.4</v>
      </c>
      <c r="C631" s="479">
        <v>133.1</v>
      </c>
      <c r="D631" s="479">
        <v>133.6</v>
      </c>
      <c r="E631" s="479">
        <v>134</v>
      </c>
      <c r="F631" s="479">
        <v>134.1</v>
      </c>
      <c r="G631" s="479">
        <v>134.1</v>
      </c>
      <c r="H631" s="479">
        <v>133.9</v>
      </c>
      <c r="I631" s="479">
        <v>134.19999999999999</v>
      </c>
      <c r="J631" s="479">
        <v>134.69999999999999</v>
      </c>
      <c r="K631" s="479">
        <v>134.9</v>
      </c>
      <c r="L631" s="482">
        <v>134.4</v>
      </c>
      <c r="M631" s="482">
        <v>134.6</v>
      </c>
      <c r="N631" s="482"/>
      <c r="O631" s="480">
        <v>134.16666666666666</v>
      </c>
      <c r="P631" s="1"/>
      <c r="Q631" s="1"/>
      <c r="R631" s="1"/>
      <c r="S631" s="1"/>
      <c r="T631" s="1"/>
      <c r="U631" s="1"/>
      <c r="V631"/>
      <c r="W631"/>
      <c r="X631"/>
      <c r="Y631"/>
      <c r="Z631"/>
      <c r="AA631"/>
      <c r="AB631"/>
    </row>
    <row r="632" spans="1:28" x14ac:dyDescent="0.25">
      <c r="A632" s="481">
        <v>2013</v>
      </c>
      <c r="B632" s="479">
        <v>134.5</v>
      </c>
      <c r="C632" s="479">
        <v>135.30000000000001</v>
      </c>
      <c r="D632" s="479">
        <v>135.9</v>
      </c>
      <c r="E632" s="479">
        <v>136.1</v>
      </c>
      <c r="F632" s="479">
        <v>136.1</v>
      </c>
      <c r="G632" s="479">
        <v>136.1</v>
      </c>
      <c r="H632" s="479">
        <v>136</v>
      </c>
      <c r="I632" s="479">
        <v>135.80000000000001</v>
      </c>
      <c r="J632" s="479">
        <v>136.30000000000001</v>
      </c>
      <c r="K632" s="479">
        <v>136.5</v>
      </c>
      <c r="L632" s="482">
        <v>136.30000000000001</v>
      </c>
      <c r="M632" s="482">
        <v>136.80000000000001</v>
      </c>
      <c r="N632" s="482"/>
      <c r="O632" s="480">
        <v>136.06666666666663</v>
      </c>
      <c r="P632" s="1"/>
      <c r="Q632" s="1"/>
      <c r="R632" s="1"/>
      <c r="S632" s="1"/>
      <c r="T632" s="1"/>
      <c r="U632" s="1"/>
      <c r="V632"/>
      <c r="W632"/>
      <c r="X632"/>
      <c r="Y632"/>
      <c r="Z632"/>
      <c r="AA632"/>
      <c r="AB632"/>
    </row>
    <row r="633" spans="1:28" x14ac:dyDescent="0.25">
      <c r="A633" s="481">
        <v>2014</v>
      </c>
      <c r="B633" s="479">
        <v>136.69999999999999</v>
      </c>
      <c r="C633" s="479">
        <v>137</v>
      </c>
      <c r="D633" s="479">
        <v>137.4</v>
      </c>
      <c r="E633" s="479">
        <v>137.6</v>
      </c>
      <c r="F633" s="479">
        <v>137.19999999999999</v>
      </c>
      <c r="G633" s="479">
        <v>137.30000000000001</v>
      </c>
      <c r="H633" s="479">
        <v>137.19999999999999</v>
      </c>
      <c r="I633" s="479">
        <v>137.4</v>
      </c>
      <c r="J633" s="479">
        <v>138.1</v>
      </c>
      <c r="K633" s="479">
        <v>137.9</v>
      </c>
      <c r="L633" s="479">
        <v>137.6</v>
      </c>
      <c r="M633" s="479">
        <v>137.4</v>
      </c>
      <c r="N633" s="479"/>
      <c r="O633" s="480">
        <v>137.46666666666667</v>
      </c>
      <c r="P633" s="1"/>
      <c r="Q633" s="1"/>
      <c r="R633" s="1"/>
      <c r="S633" s="1"/>
      <c r="T633" s="1"/>
      <c r="U633" s="1"/>
      <c r="V633"/>
      <c r="W633"/>
      <c r="X633"/>
      <c r="Y633"/>
      <c r="Z633"/>
      <c r="AA633"/>
      <c r="AB633"/>
    </row>
    <row r="634" spans="1:28" x14ac:dyDescent="0.25">
      <c r="A634" s="481">
        <v>2015</v>
      </c>
      <c r="B634" s="479">
        <v>136.5</v>
      </c>
      <c r="C634" s="479">
        <v>136.80000000000001</v>
      </c>
      <c r="D634" s="479">
        <v>137.30000000000001</v>
      </c>
      <c r="E634" s="479">
        <v>137.30000000000001</v>
      </c>
      <c r="F634" s="479">
        <v>137.19999999999999</v>
      </c>
      <c r="G634" s="479">
        <v>137.19999999999999</v>
      </c>
      <c r="H634" s="479">
        <v>136.9</v>
      </c>
      <c r="I634" s="479">
        <v>137.1</v>
      </c>
      <c r="J634" s="479">
        <v>137.30000000000001</v>
      </c>
      <c r="K634" s="479">
        <v>137.5</v>
      </c>
      <c r="L634" s="479">
        <v>137.30000000000001</v>
      </c>
      <c r="M634" s="479">
        <v>137.1</v>
      </c>
      <c r="N634" s="479"/>
      <c r="O634" s="480">
        <v>137.16666666666666</v>
      </c>
      <c r="P634" s="1"/>
      <c r="Q634" s="1"/>
      <c r="R634" s="1"/>
      <c r="S634" s="1"/>
      <c r="T634" s="1"/>
      <c r="U634" s="1"/>
      <c r="V634"/>
      <c r="W634"/>
      <c r="X634"/>
      <c r="Y634"/>
      <c r="Z634"/>
      <c r="AA634"/>
      <c r="AB634"/>
    </row>
    <row r="635" spans="1:28" x14ac:dyDescent="0.25">
      <c r="A635" s="481">
        <v>2016</v>
      </c>
      <c r="B635" s="479">
        <v>136.5</v>
      </c>
      <c r="C635" s="479">
        <v>136.69999999999999</v>
      </c>
      <c r="D635" s="479">
        <v>137.19999999999999</v>
      </c>
      <c r="E635" s="479">
        <v>137.6</v>
      </c>
      <c r="F635" s="479">
        <v>137.6</v>
      </c>
      <c r="G635" s="479">
        <v>137.69999999999999</v>
      </c>
      <c r="H635" s="479">
        <v>137.5</v>
      </c>
      <c r="I635" s="479">
        <v>137.6</v>
      </c>
      <c r="J635" s="479">
        <v>137.9</v>
      </c>
      <c r="K635" s="479">
        <v>138.1</v>
      </c>
      <c r="L635" s="479">
        <v>138.19999999999999</v>
      </c>
      <c r="M635" s="479">
        <v>138.5</v>
      </c>
      <c r="N635" s="479"/>
      <c r="O635" s="480">
        <v>137.65</v>
      </c>
      <c r="P635" s="1"/>
      <c r="Q635" s="1"/>
      <c r="R635" s="1"/>
      <c r="S635" s="1"/>
      <c r="T635" s="1"/>
      <c r="U635" s="1"/>
      <c r="V635"/>
      <c r="W635"/>
      <c r="X635"/>
      <c r="Y635"/>
      <c r="Z635"/>
      <c r="AA635"/>
      <c r="AB635"/>
    </row>
    <row r="636" spans="1:28" x14ac:dyDescent="0.25">
      <c r="A636" s="481">
        <v>2017</v>
      </c>
      <c r="B636" s="479">
        <v>137.69999999999999</v>
      </c>
      <c r="C636" s="479">
        <v>138.4</v>
      </c>
      <c r="D636" s="479">
        <v>138.4</v>
      </c>
      <c r="E636" s="479">
        <v>138.80000000000001</v>
      </c>
      <c r="F636" s="479">
        <v>138.6</v>
      </c>
      <c r="G636" s="479">
        <v>138.69999999999999</v>
      </c>
      <c r="H636" s="479">
        <v>138.30000000000001</v>
      </c>
      <c r="I636" s="479">
        <v>138.6</v>
      </c>
      <c r="J636" s="479">
        <v>138.9</v>
      </c>
      <c r="K636" s="479">
        <v>138.9</v>
      </c>
      <c r="L636" s="479">
        <v>139.19999999999999</v>
      </c>
      <c r="M636" s="479">
        <v>139.19999999999999</v>
      </c>
      <c r="N636" s="479"/>
      <c r="O636" s="480">
        <v>138.65</v>
      </c>
      <c r="P636" s="1"/>
      <c r="Q636" s="1"/>
      <c r="R636" s="1"/>
      <c r="S636" s="1"/>
      <c r="T636" s="1"/>
      <c r="U636" s="1"/>
      <c r="V636"/>
      <c r="W636"/>
      <c r="X636"/>
      <c r="Y636"/>
      <c r="Z636"/>
      <c r="AA636"/>
      <c r="AB636"/>
    </row>
    <row r="637" spans="1:28" x14ac:dyDescent="0.25">
      <c r="A637" s="481">
        <v>2018</v>
      </c>
      <c r="B637" s="479">
        <v>138.80000000000001</v>
      </c>
      <c r="C637" s="479">
        <v>139.19999999999999</v>
      </c>
      <c r="D637" s="479">
        <v>139.5</v>
      </c>
      <c r="E637" s="479">
        <v>139.80000000000001</v>
      </c>
      <c r="F637" s="479">
        <v>140</v>
      </c>
      <c r="G637" s="479">
        <v>140.30000000000001</v>
      </c>
      <c r="H637" s="479">
        <v>140.19999999999999</v>
      </c>
      <c r="I637" s="479">
        <v>140.4</v>
      </c>
      <c r="J637" s="479">
        <v>140.69999999999999</v>
      </c>
      <c r="K637" s="479">
        <v>141</v>
      </c>
      <c r="L637" s="479">
        <v>141</v>
      </c>
      <c r="M637" s="479">
        <v>140.80000000000001</v>
      </c>
      <c r="N637" s="479"/>
      <c r="O637" s="480">
        <v>140.23333333333332</v>
      </c>
      <c r="P637" s="1"/>
      <c r="Q637" s="1"/>
      <c r="R637" s="1"/>
      <c r="S637" s="1"/>
      <c r="T637" s="1"/>
      <c r="U637" s="1"/>
      <c r="V637"/>
      <c r="W637"/>
      <c r="X637"/>
      <c r="Y637"/>
      <c r="Z637"/>
      <c r="AA637"/>
      <c r="AB637"/>
    </row>
    <row r="638" spans="1:28" x14ac:dyDescent="0.25">
      <c r="A638" s="481">
        <v>2019</v>
      </c>
      <c r="B638" s="479">
        <v>140.30000000000001</v>
      </c>
      <c r="C638" s="479">
        <v>141</v>
      </c>
      <c r="D638" s="479">
        <v>141</v>
      </c>
      <c r="E638" s="479">
        <v>141.9</v>
      </c>
      <c r="F638" s="479">
        <v>141.6</v>
      </c>
      <c r="G638" s="479">
        <v>141.69999999999999</v>
      </c>
      <c r="H638" s="479">
        <v>141.30000000000001</v>
      </c>
      <c r="I638" s="479">
        <v>141.9</v>
      </c>
      <c r="J638" s="479">
        <v>142</v>
      </c>
      <c r="K638" s="479"/>
      <c r="L638" s="479"/>
      <c r="M638" s="479"/>
      <c r="N638" s="479"/>
      <c r="O638" s="480">
        <v>141.73333333333332</v>
      </c>
      <c r="P638" s="1"/>
      <c r="Q638" s="1"/>
      <c r="R638" s="1"/>
      <c r="S638" s="1"/>
      <c r="T638" s="1"/>
      <c r="U638" s="1"/>
      <c r="V638"/>
      <c r="W638"/>
      <c r="X638"/>
      <c r="Y638"/>
      <c r="Z638"/>
      <c r="AA638"/>
      <c r="AB638"/>
    </row>
    <row r="639" spans="1:28" ht="16.5" x14ac:dyDescent="0.3">
      <c r="A639" s="322"/>
      <c r="B639" s="326"/>
      <c r="C639" s="325"/>
      <c r="D639" s="325"/>
      <c r="E639" s="325"/>
      <c r="F639" s="325"/>
      <c r="G639" s="325"/>
      <c r="H639" s="324"/>
      <c r="I639" s="324"/>
      <c r="J639" s="324"/>
      <c r="K639" s="324"/>
      <c r="L639" s="323"/>
      <c r="M639" s="323"/>
      <c r="N639" s="322"/>
      <c r="O639" s="1"/>
      <c r="P639" s="1"/>
      <c r="Q639" s="1"/>
      <c r="R639" s="1"/>
      <c r="S639" s="1"/>
      <c r="T639" s="1"/>
      <c r="U639" s="1"/>
      <c r="V639"/>
      <c r="W639"/>
      <c r="X639"/>
      <c r="Y639"/>
      <c r="Z639"/>
      <c r="AA639"/>
      <c r="AB639"/>
    </row>
    <row r="640" spans="1:28" ht="16.5" x14ac:dyDescent="0.3">
      <c r="A640" s="322"/>
      <c r="B640" s="326"/>
      <c r="C640" s="325"/>
      <c r="D640" s="325"/>
      <c r="E640" s="325"/>
      <c r="F640" s="325"/>
      <c r="G640" s="325"/>
      <c r="H640" s="324"/>
      <c r="I640" s="324"/>
      <c r="J640" s="324"/>
      <c r="K640" s="324"/>
      <c r="L640" s="323"/>
      <c r="M640" s="323"/>
      <c r="N640" s="322"/>
      <c r="O640" s="1"/>
      <c r="P640" s="1"/>
      <c r="Q640" s="1"/>
      <c r="R640" s="1"/>
      <c r="S640" s="1"/>
      <c r="T640" s="1"/>
      <c r="U640" s="1"/>
      <c r="V640"/>
      <c r="W640"/>
      <c r="X640"/>
      <c r="Y640"/>
      <c r="Z640"/>
      <c r="AA640"/>
      <c r="AB640"/>
    </row>
  </sheetData>
  <protectedRanges>
    <protectedRange password="CD46" sqref="A5:K5 M15:M18" name="Range1_3_1"/>
    <protectedRange password="CD46" sqref="D15:K18" name="Range3_1"/>
    <protectedRange sqref="B38:E49" name="Alue4_1"/>
  </protectedRanges>
  <customSheetViews>
    <customSheetView guid="{C44CE6ED-446D-4E43-AC42-1BADDBA87353}">
      <selection activeCell="G11" sqref="G11"/>
      <pageMargins left="0.7" right="0.7" top="0.75" bottom="0.75" header="0.3" footer="0.3"/>
    </customSheetView>
    <customSheetView guid="{8386F830-B269-4ACC-A789-9E42C0FB51D1}">
      <selection activeCell="I31" sqref="I31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200" verticalDpi="200" r:id="rId1"/>
  <ignoredErrors>
    <ignoredError sqref="L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ul5"/>
  <dimension ref="A1:IR110"/>
  <sheetViews>
    <sheetView showGridLines="0" tabSelected="1" workbookViewId="0">
      <pane ySplit="5" topLeftCell="A57" activePane="bottomLeft" state="frozen"/>
      <selection pane="bottomLeft" activeCell="A5" sqref="A5"/>
    </sheetView>
  </sheetViews>
  <sheetFormatPr defaultColWidth="9.140625" defaultRowHeight="12.75" x14ac:dyDescent="0.2"/>
  <cols>
    <col min="1" max="1" width="69.28515625" style="2" customWidth="1"/>
    <col min="2" max="2" width="17.7109375" style="2" customWidth="1"/>
    <col min="3" max="3" width="19.42578125" style="2" customWidth="1"/>
    <col min="4" max="4" width="18.5703125" style="2" customWidth="1"/>
    <col min="5" max="5" width="18.140625" style="2" customWidth="1"/>
    <col min="6" max="7" width="9.140625" style="2"/>
    <col min="8" max="8" width="9.140625" style="2" customWidth="1"/>
    <col min="9" max="21" width="9.140625" style="2"/>
    <col min="22" max="16384" width="9.140625" style="6"/>
  </cols>
  <sheetData>
    <row r="1" spans="1:252" s="284" customFormat="1" ht="15" customHeight="1" x14ac:dyDescent="0.2">
      <c r="A1" s="267" t="s">
        <v>222</v>
      </c>
      <c r="B1" s="285" t="s">
        <v>215</v>
      </c>
    </row>
    <row r="2" spans="1:252" s="285" customFormat="1" ht="15" customHeight="1" x14ac:dyDescent="0.2">
      <c r="A2" s="286" t="s">
        <v>223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</row>
    <row r="3" spans="1:252" s="284" customFormat="1" ht="15" customHeight="1" x14ac:dyDescent="0.2">
      <c r="A3" s="289"/>
    </row>
    <row r="4" spans="1:252" s="284" customFormat="1" ht="15" customHeight="1" x14ac:dyDescent="0.2">
      <c r="A4" s="292"/>
      <c r="B4" s="294"/>
    </row>
    <row r="5" spans="1:252" s="284" customFormat="1" ht="15" customHeight="1" x14ac:dyDescent="0.2">
      <c r="A5" s="267" t="s">
        <v>42</v>
      </c>
      <c r="B5" s="282">
        <v>2020</v>
      </c>
      <c r="C5" s="283">
        <v>2021</v>
      </c>
      <c r="D5" s="283">
        <v>2022</v>
      </c>
      <c r="E5" s="283">
        <v>2023</v>
      </c>
      <c r="F5" s="283"/>
    </row>
    <row r="6" spans="1:252" ht="15" x14ac:dyDescent="0.25">
      <c r="A6" s="14" t="s">
        <v>23</v>
      </c>
      <c r="B6" s="15"/>
      <c r="C6" s="15"/>
      <c r="D6" s="15"/>
      <c r="E6" s="15"/>
      <c r="F6" s="15"/>
    </row>
    <row r="7" spans="1:252" ht="15" x14ac:dyDescent="0.25">
      <c r="A7" s="15"/>
      <c r="B7" s="14"/>
      <c r="C7" s="14"/>
      <c r="D7" s="14"/>
      <c r="E7" s="14"/>
      <c r="F7" s="15"/>
    </row>
    <row r="8" spans="1:252" ht="15" x14ac:dyDescent="0.25">
      <c r="A8" s="14" t="s">
        <v>27</v>
      </c>
      <c r="B8" s="14"/>
      <c r="C8" s="14"/>
      <c r="D8" s="14"/>
      <c r="E8" s="14"/>
      <c r="F8" s="15"/>
    </row>
    <row r="9" spans="1:252" ht="15" x14ac:dyDescent="0.25">
      <c r="A9" s="15"/>
      <c r="B9" s="15"/>
      <c r="C9" s="15"/>
      <c r="D9" s="15"/>
      <c r="E9" s="15"/>
      <c r="F9" s="15"/>
    </row>
    <row r="10" spans="1:252" ht="15" x14ac:dyDescent="0.25">
      <c r="A10" s="14" t="s">
        <v>24</v>
      </c>
      <c r="B10" s="16"/>
      <c r="C10" s="15"/>
      <c r="D10" s="15"/>
      <c r="E10" s="15"/>
      <c r="F10" s="15"/>
    </row>
    <row r="11" spans="1:252" ht="15" x14ac:dyDescent="0.25">
      <c r="A11" s="32" t="s">
        <v>239</v>
      </c>
      <c r="B11" s="17">
        <f>Investointikannustin!B10</f>
        <v>0</v>
      </c>
      <c r="C11" s="17">
        <f>Investointikannustin!C10</f>
        <v>0</v>
      </c>
      <c r="D11" s="17">
        <f>Investointikannustin!D10</f>
        <v>0</v>
      </c>
      <c r="E11" s="17">
        <f>Investointikannustin!E10</f>
        <v>0</v>
      </c>
      <c r="F11" s="15"/>
    </row>
    <row r="12" spans="1:252" ht="15" x14ac:dyDescent="0.25">
      <c r="A12" s="32" t="s">
        <v>236</v>
      </c>
      <c r="B12" s="17">
        <f>(Vastaavaa!F14+Vastaavaa!F16+Vastaavaa!F19+Vastaavaa!F21)-Vastaavaa!F15-Vastaavaa!F20</f>
        <v>0</v>
      </c>
      <c r="C12" s="17">
        <f>(Vastaavaa!G14+Vastaavaa!G16+Vastaavaa!G19+Vastaavaa!G21)-Vastaavaa!G15-Vastaavaa!G20</f>
        <v>0</v>
      </c>
      <c r="D12" s="17">
        <f>(Vastaavaa!H14+Vastaavaa!H16+Vastaavaa!H19+Vastaavaa!H21)-Vastaavaa!H15-Vastaavaa!H20</f>
        <v>0</v>
      </c>
      <c r="E12" s="17">
        <f>(Vastaavaa!I14+Vastaavaa!I16+Vastaavaa!I19+Vastaavaa!I21)-Vastaavaa!I15-Vastaavaa!I20</f>
        <v>0</v>
      </c>
      <c r="F12" s="15"/>
    </row>
    <row r="13" spans="1:252" ht="15" x14ac:dyDescent="0.25">
      <c r="A13" s="15"/>
      <c r="B13" s="18"/>
      <c r="C13" s="18"/>
      <c r="D13" s="18"/>
      <c r="E13" s="18"/>
      <c r="F13" s="15"/>
    </row>
    <row r="14" spans="1:252" ht="15" x14ac:dyDescent="0.25">
      <c r="A14" s="19" t="s">
        <v>25</v>
      </c>
      <c r="B14" s="18"/>
      <c r="C14" s="18"/>
      <c r="D14" s="18"/>
      <c r="E14" s="18"/>
      <c r="F14" s="15"/>
    </row>
    <row r="15" spans="1:252" ht="15" x14ac:dyDescent="0.25">
      <c r="A15" s="32" t="s">
        <v>237</v>
      </c>
      <c r="B15" s="17">
        <f>Vastaavaa!F24</f>
        <v>0</v>
      </c>
      <c r="C15" s="17">
        <f>Vastaavaa!G24</f>
        <v>0</v>
      </c>
      <c r="D15" s="17">
        <f>Vastaavaa!H24</f>
        <v>0</v>
      </c>
      <c r="E15" s="17">
        <f>Vastaavaa!I24</f>
        <v>0</v>
      </c>
      <c r="F15" s="15"/>
    </row>
    <row r="16" spans="1:252" ht="15" x14ac:dyDescent="0.25">
      <c r="A16" s="32" t="s">
        <v>238</v>
      </c>
      <c r="B16" s="17">
        <f>Vastaavaa!F27+Vastaavaa!F31</f>
        <v>0</v>
      </c>
      <c r="C16" s="17">
        <f>Vastaavaa!G27+Vastaavaa!G31</f>
        <v>0</v>
      </c>
      <c r="D16" s="17">
        <f>Vastaavaa!H27+Vastaavaa!H31</f>
        <v>0</v>
      </c>
      <c r="E16" s="17">
        <f>Vastaavaa!I27+Vastaavaa!I31</f>
        <v>0</v>
      </c>
      <c r="F16" s="15"/>
    </row>
    <row r="17" spans="1:8" ht="15" x14ac:dyDescent="0.25">
      <c r="A17" s="21"/>
      <c r="B17" s="20"/>
      <c r="C17" s="20"/>
      <c r="D17" s="20"/>
      <c r="E17" s="20"/>
      <c r="F17" s="15"/>
    </row>
    <row r="18" spans="1:8" ht="15" x14ac:dyDescent="0.25">
      <c r="A18" s="14" t="s">
        <v>26</v>
      </c>
      <c r="B18" s="246">
        <f>B11+B12+B15+B16</f>
        <v>0</v>
      </c>
      <c r="C18" s="246">
        <f>C11+C12+C15+C16</f>
        <v>0</v>
      </c>
      <c r="D18" s="246">
        <f>D11+D12+D15+D16</f>
        <v>0</v>
      </c>
      <c r="E18" s="246">
        <f>E11+E12+E15+E16</f>
        <v>0</v>
      </c>
      <c r="F18" s="15"/>
    </row>
    <row r="19" spans="1:8" ht="15" x14ac:dyDescent="0.25">
      <c r="A19" s="15"/>
      <c r="B19" s="29"/>
      <c r="C19" s="29"/>
      <c r="D19" s="29"/>
      <c r="E19" s="29"/>
      <c r="F19" s="15"/>
    </row>
    <row r="20" spans="1:8" ht="15" x14ac:dyDescent="0.25">
      <c r="A20" s="15"/>
      <c r="B20" s="29"/>
      <c r="C20" s="29"/>
      <c r="D20" s="29"/>
      <c r="E20" s="29"/>
      <c r="F20" s="15"/>
    </row>
    <row r="21" spans="1:8" ht="21.75" customHeight="1" thickBot="1" x14ac:dyDescent="0.3">
      <c r="A21" s="22" t="s">
        <v>34</v>
      </c>
      <c r="B21" s="247">
        <f>B18</f>
        <v>0</v>
      </c>
      <c r="C21" s="247">
        <f>C18</f>
        <v>0</v>
      </c>
      <c r="D21" s="247">
        <f>D18</f>
        <v>0</v>
      </c>
      <c r="E21" s="107">
        <f>E18</f>
        <v>0</v>
      </c>
      <c r="F21" s="23"/>
      <c r="G21" s="6"/>
    </row>
    <row r="22" spans="1:8" ht="15" x14ac:dyDescent="0.25">
      <c r="A22" s="24"/>
      <c r="B22" s="248"/>
      <c r="C22" s="248"/>
      <c r="D22" s="248"/>
      <c r="E22" s="248"/>
      <c r="F22" s="15"/>
    </row>
    <row r="23" spans="1:8" ht="15" x14ac:dyDescent="0.25">
      <c r="A23" s="24"/>
      <c r="B23" s="248"/>
      <c r="C23" s="248"/>
      <c r="D23" s="248"/>
      <c r="E23" s="248"/>
      <c r="F23" s="15"/>
    </row>
    <row r="24" spans="1:8" ht="15" x14ac:dyDescent="0.25">
      <c r="A24" s="14" t="s">
        <v>28</v>
      </c>
      <c r="B24" s="248">
        <v>2020</v>
      </c>
      <c r="C24" s="248">
        <v>2021</v>
      </c>
      <c r="D24" s="248">
        <v>2022</v>
      </c>
      <c r="E24" s="248">
        <v>2023</v>
      </c>
      <c r="F24" s="15"/>
    </row>
    <row r="25" spans="1:8" ht="15" x14ac:dyDescent="0.25">
      <c r="A25" s="15"/>
      <c r="B25" s="29"/>
      <c r="C25" s="29"/>
      <c r="D25" s="29"/>
      <c r="E25" s="248"/>
      <c r="F25" s="15"/>
    </row>
    <row r="26" spans="1:8" ht="15" x14ac:dyDescent="0.25">
      <c r="A26" s="14" t="s">
        <v>29</v>
      </c>
      <c r="B26" s="29"/>
      <c r="C26" s="29"/>
      <c r="D26" s="29"/>
      <c r="E26" s="248"/>
      <c r="F26" s="15"/>
    </row>
    <row r="27" spans="1:8" ht="15" x14ac:dyDescent="0.25">
      <c r="A27" s="32" t="s">
        <v>240</v>
      </c>
      <c r="B27" s="246">
        <f>Vastattavaa!F9-Vastattavaa!F17</f>
        <v>0</v>
      </c>
      <c r="C27" s="246">
        <f>Vastattavaa!G9-Vastattavaa!G17</f>
        <v>0</v>
      </c>
      <c r="D27" s="246">
        <f>Vastattavaa!H9-Vastattavaa!H17</f>
        <v>0</v>
      </c>
      <c r="E27" s="246">
        <f>Vastattavaa!I9-Vastattavaa!I17</f>
        <v>0</v>
      </c>
      <c r="F27" s="15"/>
      <c r="G27"/>
    </row>
    <row r="28" spans="1:8" ht="15" x14ac:dyDescent="0.25">
      <c r="A28" s="32" t="s">
        <v>332</v>
      </c>
      <c r="B28" s="246">
        <f>((-Tuloslaskelma!F73)+(-Tuloslaskelma!F74))*(1-Parametrit!B8)</f>
        <v>0</v>
      </c>
      <c r="C28" s="246">
        <f>((-Tuloslaskelma!G73)+(-Tuloslaskelma!G74))*(1-Parametrit!C8)</f>
        <v>0</v>
      </c>
      <c r="D28" s="246">
        <f>((-Tuloslaskelma!H73)+(-Tuloslaskelma!H74))*(1-Parametrit!D8)</f>
        <v>0</v>
      </c>
      <c r="E28" s="246">
        <f>((-Tuloslaskelma!I73)+(-Tuloslaskelma!I74))*(1-Parametrit!E8)</f>
        <v>0</v>
      </c>
      <c r="F28" s="302"/>
      <c r="G28"/>
      <c r="H28" s="304"/>
    </row>
    <row r="29" spans="1:8" ht="30" x14ac:dyDescent="0.25">
      <c r="A29" s="32" t="s">
        <v>374</v>
      </c>
      <c r="B29" s="246">
        <f>(1-Parametrit!B8)*Vastattavaa!F21+Vastattavaa!F22</f>
        <v>0</v>
      </c>
      <c r="C29" s="246">
        <f>(1-Parametrit!C8)*Vastattavaa!G21+Vastattavaa!G22</f>
        <v>0</v>
      </c>
      <c r="D29" s="246">
        <f>(1-Parametrit!D8)*Vastattavaa!H21+Vastattavaa!H22</f>
        <v>0</v>
      </c>
      <c r="E29" s="246">
        <f>(1-Parametrit!E8)*Vastattavaa!I21+Vastattavaa!I22</f>
        <v>0</v>
      </c>
      <c r="F29" s="302"/>
      <c r="G29"/>
      <c r="H29" s="304"/>
    </row>
    <row r="30" spans="1:8" ht="15" x14ac:dyDescent="0.25">
      <c r="A30" s="32"/>
      <c r="B30" s="29"/>
      <c r="C30" s="29"/>
      <c r="D30" s="29"/>
      <c r="E30" s="29"/>
      <c r="F30" s="15"/>
      <c r="G30"/>
      <c r="H30" s="304"/>
    </row>
    <row r="31" spans="1:8" ht="15" x14ac:dyDescent="0.25">
      <c r="A31" s="32" t="s">
        <v>333</v>
      </c>
      <c r="B31" s="246">
        <f>(-Tuloslaskelma!F70+(-Tuloslaskelma!F71))*(1-Parametrit!B8)</f>
        <v>0</v>
      </c>
      <c r="C31" s="246">
        <f>(-Tuloslaskelma!G70+(-Tuloslaskelma!G71))*(1-Parametrit!C8)</f>
        <v>0</v>
      </c>
      <c r="D31" s="246">
        <f>(-Tuloslaskelma!H70+(-Tuloslaskelma!H71))*(1-Parametrit!D8)</f>
        <v>0</v>
      </c>
      <c r="E31" s="246">
        <f>(-Tuloslaskelma!I70+(-Tuloslaskelma!I71))*(1-Parametrit!E8)</f>
        <v>0</v>
      </c>
      <c r="F31" s="15"/>
      <c r="G31"/>
    </row>
    <row r="32" spans="1:8" ht="15" x14ac:dyDescent="0.25">
      <c r="A32" s="32" t="s">
        <v>30</v>
      </c>
      <c r="B32" s="246">
        <f>B18-(B27+B28+B29+B31+B36+B37+B38+B41+B42+B43+B44+B45)</f>
        <v>0</v>
      </c>
      <c r="C32" s="246">
        <f>C18-(C27+C28+C29+C31+C36+C37+C38+C41+C42+C43+C44+C45)</f>
        <v>0</v>
      </c>
      <c r="D32" s="246">
        <f>D18-(D27+D28+D29+D31+D36+D37+D38+D41+D42+D43+D44+D45)</f>
        <v>0</v>
      </c>
      <c r="E32" s="246">
        <f>E18-(E27+E28+E29+E31+E36+E37+E38+E41+E42+E43+E44+E45)</f>
        <v>0</v>
      </c>
      <c r="F32" s="15"/>
      <c r="G32"/>
    </row>
    <row r="33" spans="1:8" ht="15" x14ac:dyDescent="0.25">
      <c r="A33" s="71"/>
      <c r="B33" s="29"/>
      <c r="C33" s="29"/>
      <c r="D33" s="29"/>
      <c r="E33" s="29"/>
      <c r="F33" s="15"/>
    </row>
    <row r="34" spans="1:8" ht="15" x14ac:dyDescent="0.25">
      <c r="A34" s="14" t="s">
        <v>31</v>
      </c>
      <c r="B34" s="29"/>
      <c r="C34" s="29"/>
      <c r="D34" s="29"/>
      <c r="E34" s="29"/>
      <c r="F34" s="15"/>
    </row>
    <row r="35" spans="1:8" ht="15" x14ac:dyDescent="0.25">
      <c r="A35" s="70" t="s">
        <v>32</v>
      </c>
      <c r="B35" s="29"/>
      <c r="C35" s="29"/>
      <c r="D35" s="29"/>
      <c r="E35" s="29"/>
      <c r="F35" s="15"/>
    </row>
    <row r="36" spans="1:8" ht="15" x14ac:dyDescent="0.25">
      <c r="A36" s="32" t="s">
        <v>241</v>
      </c>
      <c r="B36" s="246">
        <f>Vastattavaa!F26+Vastattavaa!F36</f>
        <v>0</v>
      </c>
      <c r="C36" s="246">
        <f>Vastattavaa!G26+Vastattavaa!G36</f>
        <v>0</v>
      </c>
      <c r="D36" s="246">
        <f>Vastattavaa!H26+Vastattavaa!H36</f>
        <v>0</v>
      </c>
      <c r="E36" s="246">
        <f>Vastattavaa!I26+Vastattavaa!I36</f>
        <v>0</v>
      </c>
      <c r="F36" s="15"/>
    </row>
    <row r="37" spans="1:8" ht="15" x14ac:dyDescent="0.25">
      <c r="A37" s="32" t="s">
        <v>242</v>
      </c>
      <c r="B37" s="246">
        <f>Vastattavaa!F17</f>
        <v>0</v>
      </c>
      <c r="C37" s="246">
        <f>Vastattavaa!G17</f>
        <v>0</v>
      </c>
      <c r="D37" s="246">
        <f>Vastattavaa!H17</f>
        <v>0</v>
      </c>
      <c r="E37" s="246">
        <f>Vastattavaa!I17</f>
        <v>0</v>
      </c>
      <c r="F37" s="15"/>
    </row>
    <row r="38" spans="1:8" ht="30" x14ac:dyDescent="0.25">
      <c r="A38" s="32" t="s">
        <v>334</v>
      </c>
      <c r="B38" s="246">
        <f>-(Vastattavaa!F28+Vastattavaa!F39)*(1-Parametrit!B8)</f>
        <v>0</v>
      </c>
      <c r="C38" s="246">
        <f>-(Vastattavaa!G28+Vastattavaa!G39)*(1-Parametrit!C8)</f>
        <v>0</v>
      </c>
      <c r="D38" s="246">
        <f>-(Vastattavaa!H28+Vastattavaa!H39)*(1-Parametrit!D8)</f>
        <v>0</v>
      </c>
      <c r="E38" s="246">
        <f>-(Vastattavaa!I28+Vastattavaa!I39)*(1-Parametrit!E8)</f>
        <v>0</v>
      </c>
      <c r="F38" s="302"/>
      <c r="H38" s="304"/>
    </row>
    <row r="39" spans="1:8" ht="15" x14ac:dyDescent="0.25">
      <c r="A39" s="15"/>
      <c r="B39" s="29"/>
      <c r="C39" s="29"/>
      <c r="D39" s="29"/>
      <c r="E39" s="29"/>
      <c r="F39" s="15"/>
    </row>
    <row r="40" spans="1:8" ht="15" x14ac:dyDescent="0.25">
      <c r="A40" s="14" t="s">
        <v>33</v>
      </c>
      <c r="B40" s="29"/>
      <c r="C40" s="29"/>
      <c r="D40" s="29"/>
      <c r="E40" s="29"/>
      <c r="F40" s="15"/>
    </row>
    <row r="41" spans="1:8" ht="15" x14ac:dyDescent="0.25">
      <c r="A41" s="32" t="s">
        <v>56</v>
      </c>
      <c r="B41" s="246">
        <f>Parametrit!B10</f>
        <v>0</v>
      </c>
      <c r="C41" s="246">
        <f>Parametrit!B10</f>
        <v>0</v>
      </c>
      <c r="D41" s="246">
        <f>Parametrit!B10</f>
        <v>0</v>
      </c>
      <c r="E41" s="246">
        <f>Parametrit!B10</f>
        <v>0</v>
      </c>
      <c r="F41" s="15"/>
    </row>
    <row r="42" spans="1:8" ht="15" x14ac:dyDescent="0.25">
      <c r="A42" s="32" t="s">
        <v>103</v>
      </c>
      <c r="B42" s="246">
        <f>Vastattavaa!F30-Vastattavaa!F33+Vastattavaa!F42</f>
        <v>0</v>
      </c>
      <c r="C42" s="246">
        <f>Vastattavaa!G30-Vastattavaa!G33+Vastattavaa!G42</f>
        <v>0</v>
      </c>
      <c r="D42" s="246">
        <f>Vastattavaa!H30-Vastattavaa!H33+Vastattavaa!H42</f>
        <v>0</v>
      </c>
      <c r="E42" s="246">
        <f>Vastattavaa!I30-Vastattavaa!I33+Vastattavaa!I42</f>
        <v>0</v>
      </c>
      <c r="F42" s="15"/>
    </row>
    <row r="43" spans="1:8" ht="30" x14ac:dyDescent="0.25">
      <c r="A43" s="32" t="s">
        <v>335</v>
      </c>
      <c r="B43" s="246">
        <f>-(Vastattavaa!F31+Vastattavaa!F45)*(1-Parametrit!B8)</f>
        <v>0</v>
      </c>
      <c r="C43" s="246">
        <f>-(Vastattavaa!G31+Vastattavaa!G45)*(1-Parametrit!C8)</f>
        <v>0</v>
      </c>
      <c r="D43" s="246">
        <f>-(Vastattavaa!H31+Vastattavaa!H45)*(1-Parametrit!D8)</f>
        <v>0</v>
      </c>
      <c r="E43" s="246">
        <f>-(Vastattavaa!I31+Vastattavaa!I45)*(1-Parametrit!E8)</f>
        <v>0</v>
      </c>
      <c r="F43" s="302"/>
      <c r="H43" s="304"/>
    </row>
    <row r="44" spans="1:8" ht="15" x14ac:dyDescent="0.25">
      <c r="A44" s="32" t="s">
        <v>243</v>
      </c>
      <c r="B44" s="246">
        <f>Vastattavaa!F23</f>
        <v>0</v>
      </c>
      <c r="C44" s="246">
        <f>Vastattavaa!G23</f>
        <v>0</v>
      </c>
      <c r="D44" s="246">
        <f>Vastattavaa!H23</f>
        <v>0</v>
      </c>
      <c r="E44" s="246">
        <f>Vastattavaa!I23</f>
        <v>0</v>
      </c>
      <c r="F44" s="15"/>
    </row>
    <row r="45" spans="1:8" ht="30" x14ac:dyDescent="0.25">
      <c r="A45" s="32" t="s">
        <v>328</v>
      </c>
      <c r="B45" s="246">
        <f>Parametrit!B8*Vastattavaa!F21</f>
        <v>0</v>
      </c>
      <c r="C45" s="246">
        <f>Parametrit!C8*Vastattavaa!G21</f>
        <v>0</v>
      </c>
      <c r="D45" s="246">
        <f>Parametrit!D8*Vastattavaa!H21</f>
        <v>0</v>
      </c>
      <c r="E45" s="246">
        <f>Parametrit!E8*Vastattavaa!I21</f>
        <v>0</v>
      </c>
      <c r="F45" s="15"/>
    </row>
    <row r="46" spans="1:8" ht="15" x14ac:dyDescent="0.25">
      <c r="A46" s="15"/>
      <c r="B46" s="29"/>
      <c r="C46" s="29"/>
      <c r="D46" s="29"/>
      <c r="E46" s="29"/>
      <c r="F46" s="15"/>
      <c r="H46" s="304"/>
    </row>
    <row r="47" spans="1:8" ht="15" x14ac:dyDescent="0.25">
      <c r="A47" s="14" t="s">
        <v>26</v>
      </c>
      <c r="B47" s="246">
        <f>B27+B28+B29+B31+B32+B36+B37+B38+B41+B42+B43+B44+B45</f>
        <v>0</v>
      </c>
      <c r="C47" s="246">
        <f t="shared" ref="C47:E47" si="0">C27+C28+C29+C31+C32+C36+C37+C38+C41+C42+C43+C44+C45</f>
        <v>0</v>
      </c>
      <c r="D47" s="246">
        <f t="shared" si="0"/>
        <v>0</v>
      </c>
      <c r="E47" s="246">
        <f t="shared" si="0"/>
        <v>0</v>
      </c>
      <c r="F47" s="15"/>
      <c r="H47" s="304"/>
    </row>
    <row r="48" spans="1:8" ht="15" x14ac:dyDescent="0.25">
      <c r="A48" s="15"/>
      <c r="B48" s="29"/>
      <c r="C48" s="29"/>
      <c r="D48" s="29"/>
      <c r="E48" s="29"/>
      <c r="F48" s="15"/>
    </row>
    <row r="49" spans="1:12" ht="15.75" thickBot="1" x14ac:dyDescent="0.3">
      <c r="A49" s="28" t="s">
        <v>35</v>
      </c>
      <c r="B49" s="107">
        <f>B47</f>
        <v>0</v>
      </c>
      <c r="C49" s="107">
        <f>C47</f>
        <v>0</v>
      </c>
      <c r="D49" s="107">
        <f>D47</f>
        <v>0</v>
      </c>
      <c r="E49" s="107">
        <f>E47</f>
        <v>0</v>
      </c>
      <c r="F49" s="15"/>
    </row>
    <row r="50" spans="1:12" ht="15" x14ac:dyDescent="0.25">
      <c r="A50" s="24"/>
      <c r="B50" s="248"/>
      <c r="C50" s="248"/>
      <c r="D50" s="248"/>
      <c r="E50" s="29"/>
      <c r="F50" s="15"/>
    </row>
    <row r="51" spans="1:12" ht="15" x14ac:dyDescent="0.25">
      <c r="A51" s="24"/>
      <c r="B51" s="248"/>
      <c r="C51" s="248"/>
      <c r="D51" s="248"/>
      <c r="E51" s="29"/>
      <c r="F51" s="15"/>
    </row>
    <row r="52" spans="1:12" ht="15" x14ac:dyDescent="0.25">
      <c r="A52" s="14" t="s">
        <v>140</v>
      </c>
      <c r="B52" s="248">
        <v>2016</v>
      </c>
      <c r="C52" s="248">
        <v>2017</v>
      </c>
      <c r="D52" s="248">
        <v>2018</v>
      </c>
      <c r="E52" s="248">
        <v>2019</v>
      </c>
      <c r="F52" s="15"/>
    </row>
    <row r="53" spans="1:12" ht="15" x14ac:dyDescent="0.25">
      <c r="A53" s="15"/>
      <c r="B53" s="29"/>
      <c r="C53" s="29"/>
      <c r="D53" s="29"/>
      <c r="E53" s="29"/>
      <c r="F53" s="15"/>
    </row>
    <row r="54" spans="1:12" ht="15" x14ac:dyDescent="0.25">
      <c r="A54" s="14" t="s">
        <v>106</v>
      </c>
      <c r="B54" s="246">
        <f>Tuloslaskelma!F53+Tuloslaskelma!F50</f>
        <v>0</v>
      </c>
      <c r="C54" s="246">
        <f>Tuloslaskelma!G53+Tuloslaskelma!G50</f>
        <v>0</v>
      </c>
      <c r="D54" s="246">
        <f>Tuloslaskelma!H53+Tuloslaskelma!H50</f>
        <v>0</v>
      </c>
      <c r="E54" s="246">
        <f>Tuloslaskelma!I53+Tuloslaskelma!I50</f>
        <v>0</v>
      </c>
      <c r="F54" s="15"/>
      <c r="G54" s="12"/>
    </row>
    <row r="55" spans="1:12" ht="15" x14ac:dyDescent="0.25">
      <c r="A55" s="30"/>
      <c r="B55" s="249"/>
      <c r="C55" s="249"/>
      <c r="D55" s="249"/>
      <c r="E55" s="249"/>
      <c r="F55" s="15"/>
      <c r="G55" s="12"/>
    </row>
    <row r="56" spans="1:12" ht="15" x14ac:dyDescent="0.25">
      <c r="A56" s="24" t="s">
        <v>146</v>
      </c>
      <c r="B56" s="249"/>
      <c r="C56" s="249"/>
      <c r="D56" s="249"/>
      <c r="E56" s="249"/>
      <c r="F56" s="15"/>
      <c r="H56"/>
    </row>
    <row r="57" spans="1:12" ht="15" x14ac:dyDescent="0.25">
      <c r="A57" s="32" t="s">
        <v>352</v>
      </c>
      <c r="B57" s="246">
        <f>Vastattavaa!F33-Parametrit!B11+(Parametrit!B37-Parametrit!B36)</f>
        <v>0</v>
      </c>
      <c r="C57" s="246">
        <f>Vastattavaa!G33-Parametrit!C11+(Parametrit!C37-Parametrit!C36)</f>
        <v>0</v>
      </c>
      <c r="D57" s="246">
        <f>Vastattavaa!H33-Parametrit!D11+(Parametrit!D37-Parametrit!D36)</f>
        <v>0</v>
      </c>
      <c r="E57" s="246">
        <f>Vastattavaa!I33-Parametrit!E11+(Parametrit!E37-Parametrit!E36)</f>
        <v>0</v>
      </c>
      <c r="F57" s="31"/>
      <c r="G57" s="9"/>
      <c r="H57"/>
      <c r="I57" s="9"/>
    </row>
    <row r="58" spans="1:12" ht="15" x14ac:dyDescent="0.25">
      <c r="A58" s="32" t="s">
        <v>351</v>
      </c>
      <c r="B58" s="246">
        <f>-(Tuloslaskelma!F47)-Tuloslaskelma!F48</f>
        <v>0</v>
      </c>
      <c r="C58" s="246">
        <f>-(Tuloslaskelma!G47)-Tuloslaskelma!G48</f>
        <v>0</v>
      </c>
      <c r="D58" s="246">
        <f>-(Tuloslaskelma!H47)-Tuloslaskelma!H48</f>
        <v>0</v>
      </c>
      <c r="E58" s="246">
        <f>-(Tuloslaskelma!I47)-Tuloslaskelma!I48</f>
        <v>0</v>
      </c>
      <c r="F58" s="31"/>
      <c r="H58"/>
      <c r="I58" s="9"/>
    </row>
    <row r="59" spans="1:12" ht="15" x14ac:dyDescent="0.25">
      <c r="A59" s="32" t="s">
        <v>350</v>
      </c>
      <c r="B59" s="246">
        <f>-Tuloslaskelma!F38</f>
        <v>0</v>
      </c>
      <c r="C59" s="246">
        <f>-Tuloslaskelma!G38</f>
        <v>0</v>
      </c>
      <c r="D59" s="246">
        <f>-Tuloslaskelma!H38</f>
        <v>0</v>
      </c>
      <c r="E59" s="246">
        <f>-Tuloslaskelma!I38</f>
        <v>0</v>
      </c>
      <c r="F59" s="31"/>
      <c r="G59" s="9"/>
      <c r="H59"/>
      <c r="I59" s="9"/>
    </row>
    <row r="60" spans="1:12" ht="15" x14ac:dyDescent="0.25">
      <c r="A60" s="32" t="s">
        <v>271</v>
      </c>
      <c r="B60" s="246">
        <f>-Tuloslaskelma!F52</f>
        <v>0</v>
      </c>
      <c r="C60" s="246">
        <f>-Tuloslaskelma!G52</f>
        <v>0</v>
      </c>
      <c r="D60" s="246">
        <f>-Tuloslaskelma!H52</f>
        <v>0</v>
      </c>
      <c r="E60" s="246">
        <f>-Tuloslaskelma!I52</f>
        <v>0</v>
      </c>
      <c r="F60" s="6"/>
      <c r="G60" s="319"/>
      <c r="H60"/>
      <c r="I60" s="9"/>
    </row>
    <row r="61" spans="1:12" ht="15" x14ac:dyDescent="0.25">
      <c r="A61" s="32" t="s">
        <v>272</v>
      </c>
      <c r="B61" s="246">
        <f>-Tuloslaskelma!F20</f>
        <v>0</v>
      </c>
      <c r="C61" s="246">
        <f>-Tuloslaskelma!G20</f>
        <v>0</v>
      </c>
      <c r="D61" s="246">
        <f>-Tuloslaskelma!H20</f>
        <v>0</v>
      </c>
      <c r="E61" s="246">
        <f>-Tuloslaskelma!I20</f>
        <v>0</v>
      </c>
      <c r="F61" s="6"/>
      <c r="G61" s="319"/>
      <c r="H61"/>
      <c r="I61" s="9"/>
    </row>
    <row r="62" spans="1:12" ht="30" x14ac:dyDescent="0.25">
      <c r="A62" s="32" t="s">
        <v>336</v>
      </c>
      <c r="B62" s="246">
        <f>-(Tuloslaskelma!F39+Tuloslaskelma!F41+Tuloslaskelma!F42)</f>
        <v>0</v>
      </c>
      <c r="C62" s="246">
        <f>-(Tuloslaskelma!G39+Tuloslaskelma!G41+Tuloslaskelma!G42)</f>
        <v>0</v>
      </c>
      <c r="D62" s="246">
        <f>-(Tuloslaskelma!H39+Tuloslaskelma!H41+Tuloslaskelma!H42)</f>
        <v>0</v>
      </c>
      <c r="E62" s="246">
        <f>-(Tuloslaskelma!I39+Tuloslaskelma!I41+Tuloslaskelma!I42)</f>
        <v>0</v>
      </c>
      <c r="F62" s="31"/>
      <c r="G62" s="6"/>
      <c r="H62"/>
      <c r="I62" s="9"/>
      <c r="L62"/>
    </row>
    <row r="63" spans="1:12" ht="15" x14ac:dyDescent="0.25">
      <c r="A63" s="32"/>
      <c r="B63" s="249"/>
      <c r="C63" s="249"/>
      <c r="D63" s="249"/>
      <c r="E63" s="249"/>
      <c r="F63" s="319"/>
      <c r="G63" s="9"/>
      <c r="H63"/>
      <c r="I63" s="9"/>
    </row>
    <row r="64" spans="1:12" ht="15" x14ac:dyDescent="0.25">
      <c r="A64" s="14" t="s">
        <v>273</v>
      </c>
      <c r="B64" s="249"/>
      <c r="C64" s="249"/>
      <c r="D64" s="249"/>
      <c r="E64" s="249"/>
      <c r="F64" s="15"/>
      <c r="G64" s="13"/>
      <c r="H64"/>
    </row>
    <row r="65" spans="1:12" ht="15" x14ac:dyDescent="0.25">
      <c r="A65" s="27" t="s">
        <v>274</v>
      </c>
      <c r="B65" s="246">
        <f>Parametrit!B31</f>
        <v>0</v>
      </c>
      <c r="C65" s="246">
        <f>Parametrit!C31</f>
        <v>0</v>
      </c>
      <c r="D65" s="246">
        <f>Parametrit!D31</f>
        <v>0</v>
      </c>
      <c r="E65" s="246">
        <f>Parametrit!E31</f>
        <v>0</v>
      </c>
      <c r="F65" s="15"/>
      <c r="G65"/>
      <c r="H65"/>
    </row>
    <row r="66" spans="1:12" ht="15" x14ac:dyDescent="0.25">
      <c r="A66" s="33"/>
      <c r="B66" s="249"/>
      <c r="C66" s="249"/>
      <c r="D66" s="249"/>
      <c r="E66" s="249"/>
      <c r="F66" s="31"/>
      <c r="G66" s="9"/>
      <c r="H66"/>
      <c r="I66" s="9"/>
    </row>
    <row r="67" spans="1:12" ht="15" x14ac:dyDescent="0.25">
      <c r="A67" s="24" t="s">
        <v>141</v>
      </c>
      <c r="B67" s="249"/>
      <c r="C67" s="249"/>
      <c r="D67" s="249"/>
      <c r="E67" s="249"/>
      <c r="F67" s="31"/>
      <c r="G67" s="9"/>
      <c r="H67"/>
      <c r="I67" s="9"/>
    </row>
    <row r="68" spans="1:12" ht="15" x14ac:dyDescent="0.25">
      <c r="A68" s="32" t="s">
        <v>276</v>
      </c>
      <c r="B68" s="246">
        <f>-Investointikannustin!B11</f>
        <v>0</v>
      </c>
      <c r="C68" s="246">
        <f>-Investointikannustin!C11</f>
        <v>0</v>
      </c>
      <c r="D68" s="246">
        <f>-Investointikannustin!D11</f>
        <v>0</v>
      </c>
      <c r="E68" s="246">
        <f>-Investointikannustin!E11</f>
        <v>0</v>
      </c>
      <c r="F68" s="31"/>
      <c r="G68" s="9"/>
      <c r="H68"/>
      <c r="I68" s="9"/>
      <c r="L68"/>
    </row>
    <row r="69" spans="1:12" ht="15" x14ac:dyDescent="0.25">
      <c r="A69" s="34"/>
      <c r="B69" s="249"/>
      <c r="C69" s="249"/>
      <c r="D69" s="249"/>
      <c r="E69" s="249"/>
      <c r="F69" s="31"/>
      <c r="G69" s="9"/>
      <c r="H69"/>
      <c r="I69" s="9"/>
      <c r="L69"/>
    </row>
    <row r="70" spans="1:12" ht="15" x14ac:dyDescent="0.25">
      <c r="A70" s="14" t="s">
        <v>142</v>
      </c>
      <c r="B70" s="249"/>
      <c r="C70" s="249"/>
      <c r="D70" s="249"/>
      <c r="E70" s="249"/>
      <c r="F70" s="31"/>
      <c r="G70" s="9"/>
      <c r="H70"/>
      <c r="I70" s="9"/>
    </row>
    <row r="71" spans="1:12" ht="15" x14ac:dyDescent="0.25">
      <c r="A71" s="32" t="s">
        <v>277</v>
      </c>
      <c r="B71" s="250">
        <f>Laatukannustin!K10/1000</f>
        <v>0</v>
      </c>
      <c r="C71" s="250">
        <f>Laatukannustin!L10/1000</f>
        <v>0</v>
      </c>
      <c r="D71" s="250">
        <f>Laatukannustin!M10/1000</f>
        <v>0</v>
      </c>
      <c r="E71" s="250">
        <f>Laatukannustin!N10/1000</f>
        <v>0</v>
      </c>
      <c r="F71" s="31"/>
      <c r="G71" s="9"/>
      <c r="H71" s="9"/>
      <c r="I71" s="9"/>
    </row>
    <row r="72" spans="1:12" ht="15" x14ac:dyDescent="0.25">
      <c r="A72" s="32" t="s">
        <v>278</v>
      </c>
      <c r="B72" s="468" t="e">
        <f>Laatukannustin!K51/1000</f>
        <v>#DIV/0!</v>
      </c>
      <c r="C72" s="468" t="e">
        <f>Laatukannustin!L51/1000</f>
        <v>#DIV/0!</v>
      </c>
      <c r="D72" s="468" t="e">
        <f>Laatukannustin!M51/1000</f>
        <v>#DIV/0!</v>
      </c>
      <c r="E72" s="468" t="e">
        <f>Laatukannustin!N51/1000</f>
        <v>#DIV/0!</v>
      </c>
      <c r="F72" s="15"/>
      <c r="G72" s="6"/>
    </row>
    <row r="73" spans="1:12" ht="15" x14ac:dyDescent="0.25">
      <c r="A73" s="32" t="s">
        <v>331</v>
      </c>
      <c r="B73" s="265" t="e">
        <f>IF((((B71)-(B72))+IF((((B71)-(B72)))&lt;=(-0.15*B93),((((B71)-(B72)))*-1-0.15*B93),0)+IF((((B71)-(B72)))&gt;=(0.15*B93),(((B71)-(B72)))*-1+0.15*B93,0))&gt;=((B72)),(B72),(((B71)-(B72))+IF(((B71)-(B72))&lt;=(-0.15*B93),(((B71)-(B72))*-1-0.15*B93),0)+IF(((B71)-B72)&gt;=0.15*B93,((B71)-(B72))*-1+0.15*B93,0)))</f>
        <v>#DIV/0!</v>
      </c>
      <c r="C73" s="265" t="e">
        <f>IF((((C71)-(C72))+IF((((C71)-(C72)))&lt;=(-0.15*C93),((((C71)-(C72)))*-1-0.15*C93),0)+IF((((C71)-(C72)))&gt;=(0.15*C93),(((C71)-(C72)))*-1+0.15*C93,0))&gt;=((C72)),(C72),(((C71)-(C72))+IF(((C71)-(C72))&lt;=(-0.15*C93),(((C71)-(C72))*-1-0.15*C93),0)+IF(((C71)-C72)&gt;=0.15*C93,((C71)-(C72))*-1+0.15*C93,0)))</f>
        <v>#DIV/0!</v>
      </c>
      <c r="D73" s="265" t="e">
        <f>IF((((D71)-(D72))+IF((((D71)-(D72)))&lt;=(-0.15*D93),((((D71)-(D72)))*-1-0.15*D93),0)+IF((((D71)-(D72)))&gt;=(0.15*D93),(((D71)-(D72)))*-1+0.15*D93,0))&gt;=((D72)),(D72),(((D71)-(D72))+IF(((D71)-(D72))&lt;=(-0.15*D93),(((D71)-(D72))*-1-0.15*D93),0)+IF(((D71)-D72)&gt;=0.15*D93,((D71)-(D72))*-1+0.15*D93,0)))</f>
        <v>#DIV/0!</v>
      </c>
      <c r="E73" s="265" t="e">
        <f>IF((((E71)-(E72))+IF((((E71)-(E72)))&lt;=(-0.15*E93),((((E71)-(E72)))*-1-0.15*E93),0)+IF((((E71)-(E72)))&gt;=(0.15*E93),(((E71)-(E72)))*-1+0.15*E93,0))&gt;=((E72)),(E72),(((E71)-(E72))+IF(((E71)-(E72))&lt;=(-0.15*E93),(((E71)-(E72))*-1-0.15*E93),0)+IF(((E71)-E72)&gt;=0.15*E93,((E71)-(E72))*-1+0.15*E93,0)))</f>
        <v>#DIV/0!</v>
      </c>
    </row>
    <row r="74" spans="1:12" ht="15" x14ac:dyDescent="0.25">
      <c r="A74" s="34"/>
      <c r="B74" s="251"/>
      <c r="C74" s="251"/>
      <c r="D74" s="251"/>
      <c r="E74" s="251"/>
      <c r="F74" s="15"/>
      <c r="G74"/>
      <c r="H74"/>
    </row>
    <row r="75" spans="1:12" ht="15" x14ac:dyDescent="0.25">
      <c r="A75" s="14" t="s">
        <v>143</v>
      </c>
      <c r="B75" s="251"/>
      <c r="C75" s="251"/>
      <c r="D75" s="251"/>
      <c r="E75" s="251"/>
      <c r="F75" s="15"/>
      <c r="H75"/>
    </row>
    <row r="76" spans="1:12" ht="15" x14ac:dyDescent="0.25">
      <c r="A76" s="32" t="s">
        <v>349</v>
      </c>
      <c r="B76" s="246">
        <f>Tehostamiskannustin!B37</f>
        <v>0</v>
      </c>
      <c r="C76" s="246">
        <f>Tehostamiskannustin!C37</f>
        <v>0</v>
      </c>
      <c r="D76" s="246">
        <f>Tehostamiskannustin!D37</f>
        <v>0</v>
      </c>
      <c r="E76" s="246">
        <f>Tehostamiskannustin!E37</f>
        <v>0</v>
      </c>
      <c r="F76" s="15"/>
      <c r="G76" s="6"/>
      <c r="H76"/>
    </row>
    <row r="77" spans="1:12" ht="17.25" customHeight="1" x14ac:dyDescent="0.25">
      <c r="A77" s="32" t="s">
        <v>348</v>
      </c>
      <c r="B77" s="246">
        <f>(Tehostamiskannustin!B15)/1000</f>
        <v>5458.077372013262</v>
      </c>
      <c r="C77" s="246">
        <f>(Tehostamiskannustin!B16)/1000</f>
        <v>5565.8047105217975</v>
      </c>
      <c r="D77" s="246">
        <f>(Tehostamiskannustin!B17)/1000</f>
        <v>5675.6775683676651</v>
      </c>
      <c r="E77" s="246">
        <f>(Tehostamiskannustin!B18)/1000</f>
        <v>5787.7388724878756</v>
      </c>
      <c r="F77" s="15"/>
      <c r="H77"/>
    </row>
    <row r="78" spans="1:12" ht="15" x14ac:dyDescent="0.25">
      <c r="A78" s="35" t="s">
        <v>330</v>
      </c>
      <c r="B78" s="246">
        <f>IF(ABS(B76-B77)&gt;20%*B93,IF((B76-B77&lt;0),(-20%*B93),(20%*B93)),B76-B77)</f>
        <v>0</v>
      </c>
      <c r="C78" s="246">
        <f t="shared" ref="C78:D78" si="1">IF(ABS(C76-C77)&gt;20%*C93,IF((C76-C77&lt;0),(-20%*C93),(20%*C93)),C76-C77)</f>
        <v>0</v>
      </c>
      <c r="D78" s="246">
        <f t="shared" si="1"/>
        <v>0</v>
      </c>
      <c r="E78" s="246">
        <f>IF(ABS(E76-E77)&gt;20%*E93,IF((E76-E77&lt;0),(-20%*E93),(20%*E93)),E76-E77)</f>
        <v>0</v>
      </c>
      <c r="F78" s="15"/>
      <c r="G78" s="249"/>
      <c r="H78"/>
    </row>
    <row r="79" spans="1:12" ht="15" x14ac:dyDescent="0.25">
      <c r="A79" s="34"/>
      <c r="B79" s="249"/>
      <c r="C79" s="249"/>
      <c r="D79" s="249"/>
      <c r="E79" s="249"/>
      <c r="F79" s="15"/>
      <c r="G79" s="13"/>
      <c r="H79"/>
    </row>
    <row r="80" spans="1:12" ht="15" x14ac:dyDescent="0.25">
      <c r="A80" s="36" t="s">
        <v>139</v>
      </c>
      <c r="B80" s="246">
        <f>-(Innovaatiokannustin!C12)</f>
        <v>0</v>
      </c>
      <c r="C80" s="246">
        <f>-(Innovaatiokannustin!D12)</f>
        <v>0</v>
      </c>
      <c r="D80" s="246">
        <f>-(Innovaatiokannustin!E12)</f>
        <v>0</v>
      </c>
      <c r="E80" s="246">
        <f>-(Innovaatiokannustin!F12)</f>
        <v>0</v>
      </c>
      <c r="F80" s="15"/>
      <c r="G80"/>
      <c r="H80"/>
    </row>
    <row r="81" spans="1:8" ht="15" x14ac:dyDescent="0.25">
      <c r="A81" s="36"/>
      <c r="B81" s="249"/>
      <c r="C81" s="249"/>
      <c r="D81" s="249"/>
      <c r="E81" s="249"/>
      <c r="F81" s="15"/>
      <c r="G81"/>
      <c r="H81"/>
    </row>
    <row r="82" spans="1:8" ht="15" x14ac:dyDescent="0.25">
      <c r="A82" s="36" t="s">
        <v>275</v>
      </c>
      <c r="B82" s="246">
        <f>-Toimitusvarmuuskannustin!B9</f>
        <v>0</v>
      </c>
      <c r="C82" s="246">
        <f>-Toimitusvarmuuskannustin!C9</f>
        <v>0</v>
      </c>
      <c r="D82" s="246">
        <f>-Toimitusvarmuuskannustin!D9</f>
        <v>0</v>
      </c>
      <c r="E82" s="246">
        <f>-Toimitusvarmuuskannustin!E9</f>
        <v>0</v>
      </c>
      <c r="F82" s="15"/>
      <c r="G82"/>
      <c r="H82"/>
    </row>
    <row r="83" spans="1:8" ht="15" x14ac:dyDescent="0.25">
      <c r="A83" s="36"/>
      <c r="B83" s="249"/>
      <c r="C83" s="249"/>
      <c r="D83" s="249"/>
      <c r="E83" s="249"/>
      <c r="F83" s="15"/>
      <c r="G83"/>
      <c r="H83"/>
    </row>
    <row r="84" spans="1:8" ht="15" x14ac:dyDescent="0.25">
      <c r="A84" s="38"/>
      <c r="B84" s="20"/>
      <c r="C84" s="20"/>
      <c r="D84" s="20"/>
      <c r="E84" s="20"/>
      <c r="F84" s="15"/>
      <c r="G84"/>
      <c r="H84"/>
    </row>
    <row r="85" spans="1:8" ht="15.75" thickBot="1" x14ac:dyDescent="0.3">
      <c r="A85" s="39" t="s">
        <v>45</v>
      </c>
      <c r="B85" s="25" t="e">
        <f>B54+B73+B78+B58+B59+B60-B61+B65+B62+B57+B68+B80+B82</f>
        <v>#DIV/0!</v>
      </c>
      <c r="C85" s="25" t="e">
        <f>C54+C73+C78+C58+C59+C60-C61+C65+C62+C57+C68+C80+C82</f>
        <v>#DIV/0!</v>
      </c>
      <c r="D85" s="25" t="e">
        <f>D54+D73+D78+D58+D59+D60-D61+D65+D62+D57+D68+D80+D82</f>
        <v>#DIV/0!</v>
      </c>
      <c r="E85" s="25" t="e">
        <f>E54+E73+E78+E58+E59+E60-E61+E65+E62+E57+E68+E80+E82</f>
        <v>#DIV/0!</v>
      </c>
      <c r="F85" s="15"/>
      <c r="G85"/>
      <c r="H85"/>
    </row>
    <row r="86" spans="1:8" ht="15" x14ac:dyDescent="0.25">
      <c r="A86" s="15"/>
      <c r="B86" s="15"/>
      <c r="C86" s="15"/>
      <c r="D86" s="15"/>
      <c r="E86" s="15"/>
      <c r="F86" s="15"/>
      <c r="G86"/>
      <c r="H86"/>
    </row>
    <row r="87" spans="1:8" ht="15" x14ac:dyDescent="0.25">
      <c r="A87" s="15"/>
      <c r="B87" s="15"/>
      <c r="C87" s="15"/>
      <c r="D87" s="15"/>
      <c r="E87" s="15"/>
      <c r="F87" s="15"/>
      <c r="G87"/>
      <c r="H87"/>
    </row>
    <row r="88" spans="1:8" ht="15" x14ac:dyDescent="0.25">
      <c r="A88" s="14" t="s">
        <v>36</v>
      </c>
      <c r="B88" s="26">
        <v>2020</v>
      </c>
      <c r="C88" s="24">
        <v>2021</v>
      </c>
      <c r="D88" s="24">
        <v>2022</v>
      </c>
      <c r="E88" s="24">
        <v>2023</v>
      </c>
      <c r="F88" s="15"/>
      <c r="G88"/>
      <c r="H88"/>
    </row>
    <row r="89" spans="1:8" ht="15" x14ac:dyDescent="0.25">
      <c r="A89" s="15"/>
      <c r="B89" s="15"/>
      <c r="C89" s="15"/>
      <c r="D89" s="15"/>
      <c r="E89" s="15"/>
      <c r="F89" s="15"/>
      <c r="G89"/>
      <c r="H89"/>
    </row>
    <row r="90" spans="1:8" ht="15" x14ac:dyDescent="0.25">
      <c r="A90" s="32" t="s">
        <v>37</v>
      </c>
      <c r="B90" s="40">
        <f>Parametrit!B26</f>
        <v>5.7264999999999996E-2</v>
      </c>
      <c r="C90" s="40">
        <f>Parametrit!C26</f>
        <v>4.0590000000000001E-2</v>
      </c>
      <c r="D90" s="40">
        <f>Parametrit!D26</f>
        <v>4.0590000000000001E-2</v>
      </c>
      <c r="E90" s="40">
        <f>Parametrit!E26</f>
        <v>4.0590000000000001E-2</v>
      </c>
      <c r="F90" s="15"/>
      <c r="G90"/>
      <c r="H90"/>
    </row>
    <row r="91" spans="1:8" ht="15" x14ac:dyDescent="0.25">
      <c r="A91" s="32" t="s">
        <v>38</v>
      </c>
      <c r="B91" s="246">
        <f>B36+B37+B38</f>
        <v>0</v>
      </c>
      <c r="C91" s="246">
        <f>C36+C37+C38</f>
        <v>0</v>
      </c>
      <c r="D91" s="246">
        <f>D36+D37+D38</f>
        <v>0</v>
      </c>
      <c r="E91" s="246">
        <f>E36+E37+E38</f>
        <v>0</v>
      </c>
      <c r="F91" s="15"/>
      <c r="G91"/>
      <c r="H91"/>
    </row>
    <row r="92" spans="1:8" ht="15" x14ac:dyDescent="0.25">
      <c r="A92" s="32" t="s">
        <v>39</v>
      </c>
      <c r="B92" s="246">
        <f>B27+B28+B29+B31+B32</f>
        <v>0</v>
      </c>
      <c r="C92" s="246">
        <f>C27+C28+C29+C31+C32</f>
        <v>0</v>
      </c>
      <c r="D92" s="246">
        <f>D27+D28+D29+D31+D32</f>
        <v>0</v>
      </c>
      <c r="E92" s="246">
        <f>E27+E28+E29+E31+E32</f>
        <v>0</v>
      </c>
      <c r="F92" s="15"/>
      <c r="G92"/>
      <c r="H92"/>
    </row>
    <row r="93" spans="1:8" ht="15.75" thickBot="1" x14ac:dyDescent="0.3">
      <c r="A93" s="22" t="s">
        <v>43</v>
      </c>
      <c r="B93" s="107">
        <f>B90*(B91+B92)</f>
        <v>0</v>
      </c>
      <c r="C93" s="107">
        <f>C90*(C91+C92)</f>
        <v>0</v>
      </c>
      <c r="D93" s="107">
        <f>D90*(D91+D92)</f>
        <v>0</v>
      </c>
      <c r="E93" s="107">
        <f>E90*(E91+E92)</f>
        <v>0</v>
      </c>
      <c r="F93" s="15"/>
      <c r="G93"/>
      <c r="H93"/>
    </row>
    <row r="94" spans="1:8" ht="15" x14ac:dyDescent="0.25">
      <c r="A94" s="15"/>
      <c r="B94" s="15"/>
      <c r="C94" s="15"/>
      <c r="D94" s="15"/>
      <c r="E94" s="15"/>
      <c r="F94" s="15"/>
      <c r="G94"/>
      <c r="H94"/>
    </row>
    <row r="95" spans="1:8" ht="15.75" thickBot="1" x14ac:dyDescent="0.3">
      <c r="A95" s="15"/>
      <c r="B95" s="15"/>
      <c r="C95" s="15"/>
      <c r="D95" s="15"/>
      <c r="E95" s="15"/>
      <c r="F95" s="15"/>
      <c r="G95"/>
      <c r="H95"/>
    </row>
    <row r="96" spans="1:8" ht="15.75" thickBot="1" x14ac:dyDescent="0.3">
      <c r="A96" s="22" t="s">
        <v>92</v>
      </c>
      <c r="B96" s="41" t="e">
        <f>B85-B93</f>
        <v>#DIV/0!</v>
      </c>
      <c r="C96" s="41" t="e">
        <f>C85-C93</f>
        <v>#DIV/0!</v>
      </c>
      <c r="D96" s="41" t="e">
        <f>D85-D93</f>
        <v>#DIV/0!</v>
      </c>
      <c r="E96" s="41" t="e">
        <f>E85-E93</f>
        <v>#DIV/0!</v>
      </c>
      <c r="F96" s="15"/>
      <c r="G96"/>
      <c r="H96"/>
    </row>
    <row r="97" spans="1:8" ht="15" x14ac:dyDescent="0.25">
      <c r="A97" s="15"/>
      <c r="B97" s="15"/>
      <c r="C97" s="15"/>
      <c r="D97" s="15"/>
      <c r="E97" s="15"/>
      <c r="F97" s="15"/>
      <c r="G97"/>
      <c r="H97"/>
    </row>
    <row r="98" spans="1:8" ht="15" x14ac:dyDescent="0.25">
      <c r="A98" s="15"/>
      <c r="B98" s="15"/>
      <c r="C98" s="15"/>
      <c r="D98" s="15"/>
      <c r="E98" s="15"/>
      <c r="F98" s="15"/>
      <c r="G98"/>
      <c r="H98"/>
    </row>
    <row r="99" spans="1:8" ht="15" x14ac:dyDescent="0.25">
      <c r="A99" s="15"/>
      <c r="B99" s="15"/>
      <c r="C99" s="15"/>
      <c r="D99" s="15"/>
      <c r="E99" s="15"/>
      <c r="F99" s="15"/>
      <c r="G99"/>
      <c r="H99"/>
    </row>
    <row r="100" spans="1:8" ht="15" x14ac:dyDescent="0.25">
      <c r="A100" s="15"/>
      <c r="B100" s="15"/>
      <c r="C100" s="15"/>
      <c r="D100" s="15"/>
      <c r="E100" s="15"/>
      <c r="F100" s="15"/>
      <c r="G100"/>
      <c r="H100"/>
    </row>
    <row r="101" spans="1:8" ht="15" x14ac:dyDescent="0.25">
      <c r="A101" s="15"/>
      <c r="B101" s="15"/>
      <c r="C101" s="15"/>
      <c r="D101" s="15"/>
      <c r="E101" s="15"/>
      <c r="F101" s="15"/>
      <c r="G101"/>
      <c r="H101"/>
    </row>
    <row r="102" spans="1:8" ht="15" x14ac:dyDescent="0.25">
      <c r="A102" s="15"/>
      <c r="B102" s="15"/>
      <c r="C102" s="15"/>
      <c r="D102" s="15"/>
      <c r="E102" s="15"/>
      <c r="F102" s="15"/>
      <c r="G102"/>
      <c r="H102"/>
    </row>
    <row r="103" spans="1:8" x14ac:dyDescent="0.2">
      <c r="G103"/>
      <c r="H103"/>
    </row>
    <row r="104" spans="1:8" x14ac:dyDescent="0.2">
      <c r="G104"/>
      <c r="H104"/>
    </row>
    <row r="105" spans="1:8" x14ac:dyDescent="0.2">
      <c r="G105"/>
      <c r="H105"/>
    </row>
    <row r="106" spans="1:8" x14ac:dyDescent="0.2">
      <c r="G106"/>
      <c r="H106"/>
    </row>
    <row r="107" spans="1:8" x14ac:dyDescent="0.2">
      <c r="G107"/>
      <c r="H107"/>
    </row>
    <row r="108" spans="1:8" x14ac:dyDescent="0.2">
      <c r="G108"/>
      <c r="H108"/>
    </row>
    <row r="109" spans="1:8" x14ac:dyDescent="0.2">
      <c r="G109"/>
    </row>
    <row r="110" spans="1:8" x14ac:dyDescent="0.2">
      <c r="G110"/>
    </row>
  </sheetData>
  <customSheetViews>
    <customSheetView guid="{C44CE6ED-446D-4E43-AC42-1BADDBA87353}" showGridLines="0">
      <pane ySplit="5" topLeftCell="A6" activePane="bottomLeft" state="frozen"/>
      <selection pane="bottomLeft" activeCell="G22" sqref="G22"/>
      <pageMargins left="0.25" right="0.25" top="0.75" bottom="0.75" header="0.3" footer="0.3"/>
      <pageSetup paperSize="9" scale="80" orientation="portrait" r:id="rId1"/>
      <headerFooter alignWithMargins="0"/>
    </customSheetView>
    <customSheetView guid="{8386F830-B269-4ACC-A789-9E42C0FB51D1}" showGridLines="0">
      <pane ySplit="5" topLeftCell="A72" activePane="bottomLeft" state="frozen"/>
      <selection pane="bottomLeft" activeCell="A49" sqref="A49"/>
      <pageMargins left="0.25" right="0.25" top="0.75" bottom="0.75" header="0.3" footer="0.3"/>
      <pageSetup paperSize="9" scale="80" orientation="portrait" r:id="rId2"/>
      <headerFooter alignWithMargins="0"/>
    </customSheetView>
  </customSheetViews>
  <phoneticPr fontId="6" type="noConversion"/>
  <hyperlinks>
    <hyperlink ref="A64" location="Täyttöohje!A624" display="Muut tuloslaskelman oikaisut" xr:uid="{00000000-0004-0000-0600-000000000000}"/>
  </hyperlinks>
  <pageMargins left="0.25" right="0.25" top="0.75" bottom="0.75" header="0.3" footer="0.3"/>
  <pageSetup paperSize="9" scale="80" orientation="portrait" r:id="rId3"/>
  <headerFooter alignWithMargins="0"/>
  <cellWatches>
    <cellWatch r="B27"/>
  </cellWatches>
  <ignoredErrors>
    <ignoredError sqref="B73:E73 B78:E78 B96:E96 C85:E8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R12"/>
  <sheetViews>
    <sheetView zoomScaleNormal="100" workbookViewId="0">
      <selection activeCell="A14" sqref="A14"/>
    </sheetView>
  </sheetViews>
  <sheetFormatPr defaultRowHeight="12.75" x14ac:dyDescent="0.2"/>
  <cols>
    <col min="1" max="1" width="38.5703125" customWidth="1"/>
    <col min="2" max="2" width="12.5703125" customWidth="1"/>
    <col min="3" max="3" width="11" customWidth="1"/>
    <col min="4" max="4" width="10.85546875" customWidth="1"/>
    <col min="5" max="5" width="11.5703125" customWidth="1"/>
  </cols>
  <sheetData>
    <row r="1" spans="1:252" s="284" customFormat="1" ht="15" customHeight="1" x14ac:dyDescent="0.2">
      <c r="A1" s="267" t="s">
        <v>222</v>
      </c>
      <c r="B1" s="285" t="s">
        <v>275</v>
      </c>
    </row>
    <row r="2" spans="1:252" s="285" customFormat="1" ht="15" customHeight="1" x14ac:dyDescent="0.2">
      <c r="A2" s="286" t="s">
        <v>223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</row>
    <row r="3" spans="1:252" s="284" customFormat="1" ht="15" x14ac:dyDescent="0.2">
      <c r="A3" s="289"/>
    </row>
    <row r="4" spans="1:252" s="284" customFormat="1" ht="15" x14ac:dyDescent="0.2">
      <c r="A4" s="292"/>
      <c r="B4" s="294"/>
    </row>
    <row r="5" spans="1:252" s="284" customFormat="1" ht="15" x14ac:dyDescent="0.2">
      <c r="A5" s="267" t="s">
        <v>42</v>
      </c>
      <c r="B5" s="282">
        <v>2020</v>
      </c>
      <c r="C5" s="283">
        <v>2021</v>
      </c>
      <c r="D5" s="283">
        <v>2022</v>
      </c>
      <c r="E5" s="283">
        <v>2023</v>
      </c>
      <c r="F5" s="283"/>
    </row>
    <row r="6" spans="1:252" ht="45" x14ac:dyDescent="0.25">
      <c r="A6" s="48" t="s">
        <v>283</v>
      </c>
      <c r="B6" s="139"/>
      <c r="C6" s="139"/>
      <c r="D6" s="139"/>
      <c r="E6" s="139"/>
    </row>
    <row r="7" spans="1:252" ht="44.25" customHeight="1" x14ac:dyDescent="0.25">
      <c r="A7" s="48" t="s">
        <v>282</v>
      </c>
      <c r="B7" s="139"/>
      <c r="C7" s="139"/>
      <c r="D7" s="139"/>
      <c r="E7" s="139"/>
    </row>
    <row r="8" spans="1:252" ht="15" x14ac:dyDescent="0.25">
      <c r="A8" s="321"/>
      <c r="B8" s="71"/>
      <c r="C8" s="71"/>
      <c r="D8" s="71"/>
      <c r="E8" s="71"/>
    </row>
    <row r="9" spans="1:252" ht="30" x14ac:dyDescent="0.25">
      <c r="A9" s="48" t="s">
        <v>281</v>
      </c>
      <c r="B9" s="255">
        <f>B6+B7</f>
        <v>0</v>
      </c>
      <c r="C9" s="255">
        <f t="shared" ref="C9:E9" si="0">C6+C7</f>
        <v>0</v>
      </c>
      <c r="D9" s="255">
        <f t="shared" si="0"/>
        <v>0</v>
      </c>
      <c r="E9" s="255">
        <f t="shared" si="0"/>
        <v>0</v>
      </c>
    </row>
    <row r="10" spans="1:252" x14ac:dyDescent="0.2">
      <c r="A10" s="321"/>
    </row>
    <row r="11" spans="1:252" x14ac:dyDescent="0.2">
      <c r="A11" s="321"/>
    </row>
    <row r="12" spans="1:252" x14ac:dyDescent="0.2">
      <c r="A12" s="32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33"/>
  <sheetViews>
    <sheetView workbookViewId="0">
      <pane ySplit="5" topLeftCell="A6" activePane="bottomLeft" state="frozen"/>
      <selection pane="bottomLeft" activeCell="I10" sqref="I10"/>
    </sheetView>
  </sheetViews>
  <sheetFormatPr defaultRowHeight="12.75" x14ac:dyDescent="0.2"/>
  <cols>
    <col min="1" max="1" width="32.7109375" customWidth="1"/>
    <col min="3" max="3" width="15.7109375" customWidth="1"/>
    <col min="4" max="6" width="9.85546875" bestFit="1" customWidth="1"/>
    <col min="8" max="8" width="9.140625" customWidth="1"/>
  </cols>
  <sheetData>
    <row r="1" spans="1:253" s="284" customFormat="1" ht="15" customHeight="1" x14ac:dyDescent="0.2">
      <c r="A1" s="267" t="s">
        <v>222</v>
      </c>
      <c r="B1" s="280"/>
      <c r="C1" s="285" t="s">
        <v>139</v>
      </c>
    </row>
    <row r="2" spans="1:253" s="285" customFormat="1" ht="15" customHeight="1" x14ac:dyDescent="0.2">
      <c r="A2" s="286" t="s">
        <v>223</v>
      </c>
      <c r="B2" s="287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4"/>
      <c r="FD2" s="284"/>
      <c r="FE2" s="284"/>
      <c r="FF2" s="284"/>
      <c r="FG2" s="284"/>
      <c r="FH2" s="284"/>
      <c r="FI2" s="284"/>
      <c r="FJ2" s="284"/>
      <c r="FK2" s="284"/>
      <c r="FL2" s="284"/>
      <c r="FM2" s="284"/>
      <c r="FN2" s="284"/>
      <c r="FO2" s="284"/>
      <c r="FP2" s="284"/>
      <c r="FQ2" s="284"/>
      <c r="FR2" s="284"/>
      <c r="FS2" s="284"/>
      <c r="FT2" s="284"/>
      <c r="FU2" s="284"/>
      <c r="FV2" s="284"/>
      <c r="FW2" s="284"/>
      <c r="FX2" s="284"/>
      <c r="FY2" s="284"/>
      <c r="FZ2" s="284"/>
      <c r="GA2" s="284"/>
      <c r="GB2" s="284"/>
      <c r="GC2" s="284"/>
      <c r="GD2" s="284"/>
      <c r="GE2" s="284"/>
      <c r="GF2" s="284"/>
      <c r="GG2" s="284"/>
      <c r="GH2" s="284"/>
      <c r="GI2" s="284"/>
      <c r="GJ2" s="284"/>
      <c r="GK2" s="284"/>
      <c r="GL2" s="284"/>
      <c r="GM2" s="284"/>
      <c r="GN2" s="284"/>
      <c r="GO2" s="284"/>
      <c r="GP2" s="284"/>
      <c r="GQ2" s="284"/>
      <c r="GR2" s="284"/>
      <c r="GS2" s="284"/>
      <c r="GT2" s="284"/>
      <c r="GU2" s="284"/>
      <c r="GV2" s="284"/>
      <c r="GW2" s="284"/>
      <c r="GX2" s="284"/>
      <c r="GY2" s="284"/>
      <c r="GZ2" s="284"/>
      <c r="HA2" s="284"/>
      <c r="HB2" s="284"/>
      <c r="HC2" s="284"/>
      <c r="HD2" s="284"/>
      <c r="HE2" s="284"/>
      <c r="HF2" s="284"/>
      <c r="HG2" s="284"/>
      <c r="HH2" s="284"/>
      <c r="HI2" s="284"/>
      <c r="HJ2" s="284"/>
      <c r="HK2" s="284"/>
      <c r="HL2" s="284"/>
      <c r="HM2" s="284"/>
      <c r="HN2" s="284"/>
      <c r="HO2" s="284"/>
      <c r="HP2" s="284"/>
      <c r="HQ2" s="284"/>
      <c r="HR2" s="284"/>
      <c r="HS2" s="284"/>
      <c r="HT2" s="284"/>
      <c r="HU2" s="284"/>
      <c r="HV2" s="284"/>
      <c r="HW2" s="284"/>
      <c r="HX2" s="284"/>
      <c r="HY2" s="284"/>
      <c r="HZ2" s="284"/>
      <c r="IA2" s="284"/>
      <c r="IB2" s="284"/>
      <c r="IC2" s="284"/>
      <c r="ID2" s="284"/>
      <c r="IE2" s="284"/>
      <c r="IF2" s="284"/>
      <c r="IG2" s="284"/>
      <c r="IH2" s="284"/>
      <c r="II2" s="284"/>
      <c r="IJ2" s="284"/>
      <c r="IK2" s="284"/>
      <c r="IL2" s="284"/>
      <c r="IM2" s="284"/>
      <c r="IN2" s="284"/>
      <c r="IO2" s="284"/>
      <c r="IP2" s="284"/>
      <c r="IQ2" s="284"/>
      <c r="IR2" s="284"/>
      <c r="IS2" s="284"/>
    </row>
    <row r="3" spans="1:253" s="284" customFormat="1" ht="15" customHeight="1" x14ac:dyDescent="0.2">
      <c r="A3" s="289"/>
      <c r="B3" s="290"/>
    </row>
    <row r="4" spans="1:253" s="284" customFormat="1" ht="15" customHeight="1" x14ac:dyDescent="0.2">
      <c r="A4" s="292"/>
      <c r="B4" s="293"/>
      <c r="C4" s="294"/>
    </row>
    <row r="5" spans="1:253" s="284" customFormat="1" ht="15" customHeight="1" x14ac:dyDescent="0.2">
      <c r="A5" s="267" t="s">
        <v>42</v>
      </c>
      <c r="B5" s="280"/>
      <c r="C5" s="282">
        <v>2020</v>
      </c>
      <c r="D5" s="283">
        <v>2021</v>
      </c>
      <c r="E5" s="283">
        <v>2022</v>
      </c>
      <c r="F5" s="283">
        <v>2023</v>
      </c>
      <c r="G5" s="283"/>
    </row>
    <row r="6" spans="1:253" ht="15" x14ac:dyDescent="0.25">
      <c r="A6" s="70" t="s">
        <v>138</v>
      </c>
      <c r="B6" s="71"/>
      <c r="C6" s="71"/>
      <c r="D6" s="71"/>
      <c r="E6" s="71"/>
      <c r="F6" s="71"/>
      <c r="G6" s="71"/>
    </row>
    <row r="7" spans="1:253" ht="15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253" ht="30" x14ac:dyDescent="0.25">
      <c r="A8" s="48" t="s">
        <v>279</v>
      </c>
      <c r="B8" s="71"/>
      <c r="C8" s="139"/>
      <c r="D8" s="139"/>
      <c r="E8" s="139"/>
      <c r="F8" s="139"/>
      <c r="G8" s="71"/>
      <c r="I8" s="71"/>
      <c r="J8" s="71"/>
    </row>
    <row r="9" spans="1:253" ht="15" x14ac:dyDescent="0.25">
      <c r="A9" s="48" t="s">
        <v>353</v>
      </c>
      <c r="B9" s="71"/>
      <c r="C9" s="474">
        <f>Tuloslaskelma!F13</f>
        <v>0</v>
      </c>
      <c r="D9" s="138">
        <f>Tuloslaskelma!G13</f>
        <v>0</v>
      </c>
      <c r="E9" s="138">
        <f>Tuloslaskelma!H13</f>
        <v>0</v>
      </c>
      <c r="F9" s="138">
        <f>Tuloslaskelma!I13</f>
        <v>0</v>
      </c>
      <c r="H9" s="71"/>
      <c r="I9" s="71"/>
      <c r="J9" s="71"/>
    </row>
    <row r="10" spans="1:253" ht="120" x14ac:dyDescent="0.25">
      <c r="A10" s="48" t="s">
        <v>354</v>
      </c>
      <c r="C10" s="475">
        <f>0.01*(C9+D9+E9+F9)</f>
        <v>0</v>
      </c>
    </row>
    <row r="11" spans="1:253" ht="15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253" ht="45" x14ac:dyDescent="0.25">
      <c r="A12" s="48" t="s">
        <v>280</v>
      </c>
      <c r="B12" s="71"/>
      <c r="C12" s="138">
        <f>IF((C8+D8+E8+F8)&lt;=C10,(C8),(FALSE))</f>
        <v>0</v>
      </c>
      <c r="D12" s="138">
        <f>IF((D8+E8+F8+C8)&lt;=C10,(D8),(FALSE))</f>
        <v>0</v>
      </c>
      <c r="E12" s="138">
        <f>IF((E8+F8+C8+D8)&lt;=C10,(E8),(FALSE))</f>
        <v>0</v>
      </c>
      <c r="F12" s="138">
        <f>IF((F8+C8+D8+E8)&lt;=C10,(F8),(FALSE))</f>
        <v>0</v>
      </c>
      <c r="G12" s="71"/>
      <c r="H12" s="71"/>
      <c r="I12" s="71"/>
      <c r="J12" s="71"/>
    </row>
    <row r="13" spans="1:253" ht="15" x14ac:dyDescent="0.25">
      <c r="A13" s="72" t="s">
        <v>137</v>
      </c>
      <c r="B13" s="71"/>
      <c r="C13" s="71"/>
      <c r="D13" s="71"/>
      <c r="E13" s="71"/>
      <c r="F13" s="71"/>
      <c r="G13" s="71"/>
      <c r="H13" s="71"/>
      <c r="I13" s="71"/>
      <c r="J13" s="71"/>
    </row>
    <row r="14" spans="1:253" ht="15" x14ac:dyDescent="0.2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253" ht="15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253" ht="15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ht="15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15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15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ht="15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ht="15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5" x14ac:dyDescent="0.25">
      <c r="G23" s="71"/>
      <c r="H23" s="71"/>
      <c r="I23" s="71"/>
      <c r="J23" s="71"/>
    </row>
    <row r="24" spans="1:10" ht="15" x14ac:dyDescent="0.25">
      <c r="G24" s="71"/>
      <c r="H24" s="71"/>
      <c r="I24" s="71"/>
      <c r="J24" s="71"/>
    </row>
    <row r="25" spans="1:10" ht="15" x14ac:dyDescent="0.25">
      <c r="G25" s="71"/>
      <c r="H25" s="71"/>
      <c r="I25" s="71"/>
      <c r="J25" s="71"/>
    </row>
    <row r="26" spans="1:10" ht="15" x14ac:dyDescent="0.25">
      <c r="G26" s="71"/>
      <c r="H26" s="71"/>
      <c r="I26" s="71"/>
      <c r="J26" s="71"/>
    </row>
    <row r="27" spans="1:10" ht="15" x14ac:dyDescent="0.25">
      <c r="G27" s="71"/>
      <c r="H27" s="71"/>
      <c r="I27" s="71"/>
      <c r="J27" s="71"/>
    </row>
    <row r="28" spans="1:10" ht="15" x14ac:dyDescent="0.25">
      <c r="G28" s="71"/>
      <c r="H28" s="71"/>
      <c r="I28" s="71"/>
      <c r="J28" s="71"/>
    </row>
    <row r="29" spans="1:10" ht="15" x14ac:dyDescent="0.25">
      <c r="G29" s="71"/>
      <c r="H29" s="71"/>
      <c r="I29" s="71"/>
      <c r="J29" s="71"/>
    </row>
    <row r="30" spans="1:10" ht="15" x14ac:dyDescent="0.25">
      <c r="G30" s="71"/>
      <c r="H30" s="71"/>
      <c r="I30" s="71"/>
      <c r="J30" s="71"/>
    </row>
    <row r="31" spans="1:10" ht="15" x14ac:dyDescent="0.25">
      <c r="G31" s="71"/>
      <c r="H31" s="71"/>
      <c r="I31" s="71"/>
      <c r="J31" s="71"/>
    </row>
    <row r="32" spans="1:10" ht="15" x14ac:dyDescent="0.25">
      <c r="G32" s="71"/>
      <c r="H32" s="71"/>
      <c r="I32" s="71"/>
      <c r="J32" s="71"/>
    </row>
    <row r="33" spans="7:10" ht="15" x14ac:dyDescent="0.25">
      <c r="G33" s="71"/>
      <c r="H33" s="71"/>
      <c r="I33" s="71"/>
      <c r="J33" s="71"/>
    </row>
  </sheetData>
  <protectedRanges>
    <protectedRange sqref="C8:F8" name="Alue1"/>
  </protectedRanges>
  <customSheetViews>
    <customSheetView guid="{C44CE6ED-446D-4E43-AC42-1BADDBA87353}">
      <pane ySplit="5" topLeftCell="A6" activePane="bottomLeft" state="frozen"/>
      <selection pane="bottomLeft" activeCell="G25" sqref="G25"/>
      <pageMargins left="0.7" right="0.7" top="0.75" bottom="0.75" header="0.3" footer="0.3"/>
      <pageSetup orientation="portrait" horizontalDpi="200" verticalDpi="200" copies="0" r:id="rId1"/>
    </customSheetView>
    <customSheetView guid="{8386F830-B269-4ACC-A789-9E42C0FB51D1}">
      <pane ySplit="5" topLeftCell="A6" activePane="bottomLeft" state="frozen"/>
      <selection pane="bottomLeft" activeCell="C8" sqref="C8"/>
      <pageMargins left="0.7" right="0.7" top="0.75" bottom="0.75" header="0.3" footer="0.3"/>
      <pageSetup orientation="portrait" horizontalDpi="200" verticalDpi="200" copies="0" r:id="rId2"/>
    </customSheetView>
  </customSheetViews>
  <hyperlinks>
    <hyperlink ref="C1" location="Täyttöohje!A503" display="Innovaatiokannustin" xr:uid="{00000000-0004-0000-0800-000000000000}"/>
  </hyperlinks>
  <pageMargins left="0.7" right="0.7" top="0.75" bottom="0.75" header="0.3" footer="0.3"/>
  <pageSetup orientation="portrait" horizontalDpi="200" verticalDpi="200" copies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48D545B624AB244A21D45171E99030B" ma:contentTypeVersion="11" ma:contentTypeDescription="Luo uusi asiakirja." ma:contentTypeScope="" ma:versionID="c0fa9791ac878469c0efcec9f4942a68">
  <xsd:schema xmlns:xsd="http://www.w3.org/2001/XMLSchema" xmlns:xs="http://www.w3.org/2001/XMLSchema" xmlns:p="http://schemas.microsoft.com/office/2006/metadata/properties" xmlns:ns2="f298ac1c-8781-457c-836a-c94febb0efd7" xmlns:ns3="492ee864-9a00-4053-8292-33da4057805d" targetNamespace="http://schemas.microsoft.com/office/2006/metadata/properties" ma:root="true" ma:fieldsID="f1f72a05be1fc5dbd90d5cfe20c8637e" ns2:_="" ns3:_="">
    <xsd:import namespace="f298ac1c-8781-457c-836a-c94febb0efd7"/>
    <xsd:import namespace="492ee864-9a00-4053-8292-33da405780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8ac1c-8781-457c-836a-c94febb0ef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_Flow_SignoffStatus" ma:index="14" nillable="true" ma:displayName="Kuittauksen tila" ma:internalName="_x0024_Resources_x003a_core_x002c_Signoff_Status_x003b_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ee864-9a00-4053-8292-33da4057805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298ac1c-8781-457c-836a-c94febb0ef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D3078D-22E1-4352-A522-F8A63BCD6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8ac1c-8781-457c-836a-c94febb0efd7"/>
    <ds:schemaRef ds:uri="492ee864-9a00-4053-8292-33da405780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14BA6-54A5-4BCB-A20D-2CF972490FC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492ee864-9a00-4053-8292-33da4057805d"/>
    <ds:schemaRef ds:uri="http://purl.org/dc/elements/1.1/"/>
    <ds:schemaRef ds:uri="http://schemas.microsoft.com/office/2006/metadata/properties"/>
    <ds:schemaRef ds:uri="http://schemas.microsoft.com/office/infopath/2007/PartnerControls"/>
    <ds:schemaRef ds:uri="f298ac1c-8781-457c-836a-c94febb0ef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F624FC-C427-4CA3-A5BF-A5E058C536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4</vt:i4>
      </vt:variant>
    </vt:vector>
  </HeadingPairs>
  <TitlesOfParts>
    <vt:vector size="14" baseType="lpstr">
      <vt:lpstr>Tuloslaskelma</vt:lpstr>
      <vt:lpstr>Vastaavaa</vt:lpstr>
      <vt:lpstr>Vastattavaa</vt:lpstr>
      <vt:lpstr>Parametrit</vt:lpstr>
      <vt:lpstr>Laatukannustin</vt:lpstr>
      <vt:lpstr>Tehostamiskannustin</vt:lpstr>
      <vt:lpstr>Kohtuullinen tuotto</vt:lpstr>
      <vt:lpstr>Toimitusvarmuuskannustin</vt:lpstr>
      <vt:lpstr>Innovaatiokannustin</vt:lpstr>
      <vt:lpstr>Investointikannustin</vt:lpstr>
      <vt:lpstr>Laatukannustin!Tulostusalue</vt:lpstr>
      <vt:lpstr>Tuloslaskelma!Tulostusalue</vt:lpstr>
      <vt:lpstr>Vastaavaa!Tulostusalue</vt:lpstr>
      <vt:lpstr>Vastattavaa!Tulostusalue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EMV</dc:creator>
  <cp:lastModifiedBy>Seppälä Joel</cp:lastModifiedBy>
  <cp:lastPrinted>2012-02-03T11:22:29Z</cp:lastPrinted>
  <dcterms:created xsi:type="dcterms:W3CDTF">2004-02-06T13:22:36Z</dcterms:created>
  <dcterms:modified xsi:type="dcterms:W3CDTF">2021-09-13T09:41:17Z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0x010100548D545B624AB244A21D45171E99030B</vt:lpwstr>
  </property>
</Properties>
</file>