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3059408\Desktop\"/>
    </mc:Choice>
  </mc:AlternateContent>
  <xr:revisionPtr revIDLastSave="0" documentId="8_{CDA011AC-4832-47BD-B52C-A806D1FB9F65}" xr6:coauthVersionLast="47" xr6:coauthVersionMax="47" xr10:uidLastSave="{00000000-0000-0000-0000-000000000000}"/>
  <bookViews>
    <workbookView xWindow="28680" yWindow="-150" windowWidth="29040" windowHeight="15840" tabRatio="797" xr2:uid="{00000000-000D-0000-FFFF-FFFF00000000}"/>
  </bookViews>
  <sheets>
    <sheet name="Tuloslaskelma" sheetId="12" r:id="rId1"/>
    <sheet name="Vastaavaa" sheetId="14" r:id="rId2"/>
    <sheet name="Vastattavaa" sheetId="15" r:id="rId3"/>
    <sheet name="Parametrit" sheetId="9" r:id="rId4"/>
    <sheet name="Kohtuullinen tuotto" sheetId="10" r:id="rId5"/>
    <sheet name="Laatukannustin" sheetId="7" r:id="rId6"/>
    <sheet name="Tehostamiskannustin" sheetId="11" r:id="rId7"/>
    <sheet name="Investointikannustin" sheetId="6" r:id="rId8"/>
    <sheet name="Innovaatiokannustin" sheetId="8" r:id="rId9"/>
    <sheet name="Joustokannustin" sheetId="17" r:id="rId10"/>
  </sheets>
  <externalReferences>
    <externalReference r:id="rId11"/>
  </externalReferences>
  <definedNames>
    <definedName name="AloittavaTaseTarkistus" localSheetId="0">#REF!</definedName>
    <definedName name="AloittavaTaseTarkistus" localSheetId="1">#REF!</definedName>
    <definedName name="AloittavaTaseTarkistus" localSheetId="2">#REF!</definedName>
    <definedName name="AloittavaTaseTarkistus">#REF!</definedName>
    <definedName name="EliminointiTarkistus" localSheetId="0">#REF!</definedName>
    <definedName name="EliminointiTarkistus" localSheetId="1">#REF!</definedName>
    <definedName name="EliminointiTarkistus" localSheetId="2">#REF!</definedName>
    <definedName name="EliminointiTarkistus">#REF!</definedName>
    <definedName name="HenkilostoTarkistus" localSheetId="0">#REF!</definedName>
    <definedName name="HenkilostoTarkistus" localSheetId="1">#REF!</definedName>
    <definedName name="HenkilostoTarkistus" localSheetId="2">#REF!</definedName>
    <definedName name="HenkilostoTarkistus">#REF!</definedName>
    <definedName name="InvestointiTarkistus" localSheetId="0">#REF!</definedName>
    <definedName name="InvestointiTarkistus" localSheetId="1">#REF!</definedName>
    <definedName name="InvestointiTarkistus" localSheetId="2">#REF!</definedName>
    <definedName name="InvestointiTarkistus">#REF!</definedName>
    <definedName name="kieliversio" localSheetId="0">#REF!</definedName>
    <definedName name="kieliversio" localSheetId="1">#REF!</definedName>
    <definedName name="kieliversio" localSheetId="2">#REF!</definedName>
    <definedName name="kieliversio">#REF!</definedName>
    <definedName name="KorvausInvestointiTarkistus" localSheetId="0">#REF!</definedName>
    <definedName name="KorvausInvestointiTarkistus" localSheetId="1">#REF!</definedName>
    <definedName name="KorvausInvestointiTarkistus" localSheetId="2">#REF!</definedName>
    <definedName name="KorvausInvestointiTarkistus">#REF!</definedName>
    <definedName name="LiittymisMaksuTuloutusTarkistus" localSheetId="0">#REF!</definedName>
    <definedName name="LiittymisMaksuTuloutusTarkistus" localSheetId="1">#REF!</definedName>
    <definedName name="LiittymisMaksuTuloutusTarkistus" localSheetId="2">#REF!</definedName>
    <definedName name="LiittymisMaksuTuloutusTarkistus">#REF!</definedName>
    <definedName name="MaakaasuInvestointiTarkistus" localSheetId="0">#REF!</definedName>
    <definedName name="MaakaasuInvestointiTarkistus" localSheetId="1">#REF!</definedName>
    <definedName name="MaakaasuInvestointiTarkistus" localSheetId="2">#REF!</definedName>
    <definedName name="MaakaasuInvestointiTarkistus">#REF!</definedName>
    <definedName name="MaakaasuLeasingTarkistus" localSheetId="0">#REF!</definedName>
    <definedName name="MaakaasuLeasingTarkistus" localSheetId="1">#REF!</definedName>
    <definedName name="MaakaasuLeasingTarkistus" localSheetId="2">#REF!</definedName>
    <definedName name="MaakaasuLeasingTarkistus">#REF!</definedName>
    <definedName name="MaakaasuMaksutTarkistus">#REF!</definedName>
    <definedName name="MaakaasuOsingotTarkistus">#REF!</definedName>
    <definedName name="MaakaasuVerkonarvoTarkistus">#REF!</definedName>
    <definedName name="SahkonostotTarkistus">#REF!</definedName>
    <definedName name="sallittupoikkeama">#REF!</definedName>
    <definedName name="suojaussalasana">#REF!</definedName>
    <definedName name="SuurinVerkkoInvestointiTarkistus">#REF!</definedName>
    <definedName name="TaseenloppusummaTarkistus">#REF!</definedName>
    <definedName name="TuloslaskelmaOsuudetTarkistus">#REF!</definedName>
    <definedName name="TuloslaskelmaTaseTarkistus">#REF!</definedName>
    <definedName name="TulosTarkistus">#REF!</definedName>
    <definedName name="Tulostatarkistusraportti">#REF!</definedName>
    <definedName name="_xlnm.Print_Area" localSheetId="5">Laatukannustin!$B$1:$I$42</definedName>
    <definedName name="_xlnm.Print_Area" localSheetId="0">Tuloslaskelma!$A$1:$I$78</definedName>
    <definedName name="_xlnm.Print_Area" localSheetId="1">Vastaavaa!$A$1:$I$37</definedName>
    <definedName name="_xlnm.Print_Area" localSheetId="2">Vastattavaa!$A$1:$I$49</definedName>
    <definedName name="TulotKulutTarkistus" localSheetId="0">#REF!</definedName>
    <definedName name="TulotKulutTarkistus" localSheetId="1">#REF!</definedName>
    <definedName name="TulotKulutTarkistus" localSheetId="2">#REF!</definedName>
    <definedName name="TulotKulutTarkistus">#REF!</definedName>
    <definedName name="valuutta">[1]Settings!$B$33</definedName>
    <definedName name="Verkko_havioTarkistus" localSheetId="0">#REF!</definedName>
    <definedName name="Verkko_havioTarkistus" localSheetId="1">#REF!</definedName>
    <definedName name="Verkko_havioTarkistus" localSheetId="2">#REF!</definedName>
    <definedName name="Verkko_havioTarkistus">#REF!</definedName>
    <definedName name="Verkko_kvmaksuTarkistus" localSheetId="0">#REF!</definedName>
    <definedName name="Verkko_kvmaksuTarkistus" localSheetId="1">#REF!</definedName>
    <definedName name="Verkko_kvmaksuTarkistus" localSheetId="2">#REF!</definedName>
    <definedName name="Verkko_kvmaksuTarkistus">#REF!</definedName>
    <definedName name="Verkko_LeasingTarkistus" localSheetId="0">#REF!</definedName>
    <definedName name="Verkko_LeasingTarkistus" localSheetId="1">#REF!</definedName>
    <definedName name="Verkko_LeasingTarkistus" localSheetId="2">#REF!</definedName>
    <definedName name="Verkko_LeasingTarkistus">#REF!</definedName>
    <definedName name="Verkko_LisayksetJaVahennyksetTarkistus">#REF!</definedName>
    <definedName name="Verkko_SIPOTarkistus">#REF!</definedName>
    <definedName name="VerkonarvoTarkistus">#REF!</definedName>
    <definedName name="vuosiversio">#REF!</definedName>
    <definedName name="Z_8386F830_B269_4ACC_A789_9E42C0FB51D1_.wvu.PrintArea" localSheetId="5" hidden="1">Laatukannustin!$B$1:$I$42</definedName>
    <definedName name="Z_8386F830_B269_4ACC_A789_9E42C0FB51D1_.wvu.PrintArea" localSheetId="0" hidden="1">Tuloslaskelma!$A$1:$I$78</definedName>
    <definedName name="Z_8386F830_B269_4ACC_A789_9E42C0FB51D1_.wvu.PrintArea" localSheetId="1" hidden="1">Vastaavaa!$A$1:$I$37</definedName>
    <definedName name="Z_8386F830_B269_4ACC_A789_9E42C0FB51D1_.wvu.PrintArea" localSheetId="2" hidden="1">Vastattavaa!$A$1:$I$49</definedName>
    <definedName name="Z_8386F830_B269_4ACC_A789_9E42C0FB51D1_.wvu.Rows" localSheetId="0" hidden="1">Tuloslaskelma!#REF!</definedName>
    <definedName name="Z_C44CE6ED_446D_4E43_AC42_1BADDBA87353_.wvu.PrintArea" localSheetId="5" hidden="1">Laatukannustin!$B$1:$I$42</definedName>
    <definedName name="Z_C44CE6ED_446D_4E43_AC42_1BADDBA87353_.wvu.PrintArea" localSheetId="0" hidden="1">Tuloslaskelma!$A$1:$I$78</definedName>
    <definedName name="Z_C44CE6ED_446D_4E43_AC42_1BADDBA87353_.wvu.PrintArea" localSheetId="1" hidden="1">Vastaavaa!$A$1:$I$37</definedName>
    <definedName name="Z_C44CE6ED_446D_4E43_AC42_1BADDBA87353_.wvu.PrintArea" localSheetId="2" hidden="1">Vastattavaa!$A$1:$I$49</definedName>
    <definedName name="Z_C44CE6ED_446D_4E43_AC42_1BADDBA87353_.wvu.Rows" localSheetId="0" hidden="1">Tuloslaskelma!#REF!</definedName>
  </definedNames>
  <calcPr calcId="191029"/>
  <customWorkbookViews>
    <customWorkbookView name="Matti Ilonen - Oma näkymä" guid="{C44CE6ED-446D-4E43-AC42-1BADDBA87353}" mergeInterval="0" personalView="1" maximized="1" xWindow="1" yWindow="1" windowWidth="1920" windowHeight="970" tabRatio="797" activeSheetId="11"/>
    <customWorkbookView name="Tkarppinen - Oma näkymä" guid="{8386F830-B269-4ACC-A789-9E42C0FB51D1}" mergeInterval="0" personalView="1" maximized="1" xWindow="1" yWindow="1" windowWidth="1447" windowHeight="851" tabRatio="797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10" l="1"/>
  <c r="D58" i="10"/>
  <c r="C58" i="10"/>
  <c r="B58" i="10"/>
  <c r="E29" i="10"/>
  <c r="D29" i="10"/>
  <c r="C29" i="10"/>
  <c r="F19" i="15"/>
  <c r="B45" i="10" s="1"/>
  <c r="B16" i="9"/>
  <c r="B29" i="10" l="1"/>
  <c r="C16" i="9"/>
  <c r="D16" i="9"/>
  <c r="E16" i="9"/>
  <c r="E21" i="9"/>
  <c r="E19" i="9"/>
  <c r="E18" i="9"/>
  <c r="I26" i="9"/>
  <c r="E31" i="9" l="1"/>
  <c r="D31" i="9"/>
  <c r="C31" i="9"/>
  <c r="B31" i="9"/>
  <c r="B42" i="10"/>
  <c r="H31" i="14"/>
  <c r="E42" i="10"/>
  <c r="D42" i="10"/>
  <c r="C42" i="10"/>
  <c r="E15" i="10"/>
  <c r="D15" i="10"/>
  <c r="C15" i="10"/>
  <c r="B15" i="10"/>
  <c r="B12" i="10"/>
  <c r="C12" i="10"/>
  <c r="D12" i="10"/>
  <c r="E12" i="10"/>
  <c r="B16" i="10"/>
  <c r="C45" i="10"/>
  <c r="D45" i="10"/>
  <c r="E45" i="10"/>
  <c r="C13" i="7"/>
  <c r="D13" i="7"/>
  <c r="E13" i="7"/>
  <c r="F13" i="7"/>
  <c r="G13" i="7"/>
  <c r="H13" i="7"/>
  <c r="I13" i="7"/>
  <c r="J13" i="7"/>
  <c r="K13" i="7"/>
  <c r="L13" i="7"/>
  <c r="M13" i="7"/>
  <c r="N13" i="7"/>
  <c r="C21" i="7"/>
  <c r="D21" i="7"/>
  <c r="N27" i="7"/>
  <c r="F27" i="7"/>
  <c r="G27" i="7"/>
  <c r="H27" i="7"/>
  <c r="I27" i="7"/>
  <c r="J27" i="7"/>
  <c r="K27" i="7"/>
  <c r="L27" i="7"/>
  <c r="M27" i="7"/>
  <c r="E27" i="7"/>
  <c r="N21" i="7"/>
  <c r="M21" i="7"/>
  <c r="L21" i="7"/>
  <c r="K21" i="7"/>
  <c r="J21" i="7"/>
  <c r="I21" i="7"/>
  <c r="H21" i="7"/>
  <c r="G21" i="7"/>
  <c r="F21" i="7"/>
  <c r="E21" i="7"/>
  <c r="E68" i="10"/>
  <c r="D68" i="10"/>
  <c r="C68" i="10"/>
  <c r="C16" i="6"/>
  <c r="D16" i="6"/>
  <c r="E16" i="6"/>
  <c r="B16" i="6"/>
  <c r="B68" i="10" s="1"/>
  <c r="B18" i="10" l="1"/>
  <c r="M21" i="11"/>
  <c r="M22" i="11"/>
  <c r="M23" i="11"/>
  <c r="M20" i="11"/>
  <c r="C61" i="11"/>
  <c r="I28" i="9"/>
  <c r="I29" i="9"/>
  <c r="F9" i="17" l="1"/>
  <c r="E9" i="17"/>
  <c r="D9" i="17"/>
  <c r="C9" i="17"/>
  <c r="C24" i="9"/>
  <c r="D24" i="9"/>
  <c r="E24" i="9"/>
  <c r="B24" i="9"/>
  <c r="C10" i="17" l="1"/>
  <c r="F12" i="17"/>
  <c r="E82" i="10" s="1"/>
  <c r="E12" i="17"/>
  <c r="D82" i="10" s="1"/>
  <c r="D12" i="17"/>
  <c r="C82" i="10" s="1"/>
  <c r="C12" i="17"/>
  <c r="B82" i="10" s="1"/>
  <c r="G19" i="15" l="1"/>
  <c r="H19" i="15"/>
  <c r="I19" i="15"/>
  <c r="F42" i="15" l="1"/>
  <c r="F36" i="15"/>
  <c r="F30" i="15"/>
  <c r="F26" i="15"/>
  <c r="F24" i="15" l="1"/>
  <c r="F25" i="15"/>
  <c r="C62" i="10" l="1"/>
  <c r="D62" i="10"/>
  <c r="E62" i="10"/>
  <c r="B62" i="10"/>
  <c r="F37" i="12"/>
  <c r="F36" i="12" s="1"/>
  <c r="C38" i="10"/>
  <c r="D38" i="10"/>
  <c r="E38" i="10"/>
  <c r="B38" i="10"/>
  <c r="B36" i="10"/>
  <c r="C31" i="10"/>
  <c r="D31" i="10"/>
  <c r="E31" i="10"/>
  <c r="B31" i="10"/>
  <c r="C28" i="10"/>
  <c r="D28" i="10"/>
  <c r="E28" i="10"/>
  <c r="B28" i="10"/>
  <c r="G26" i="15"/>
  <c r="H26" i="15"/>
  <c r="I26" i="15"/>
  <c r="G11" i="15"/>
  <c r="H11" i="15"/>
  <c r="I11" i="15"/>
  <c r="F11" i="15"/>
  <c r="F72" i="12" l="1"/>
  <c r="F69" i="12"/>
  <c r="F64" i="12"/>
  <c r="F63" i="12" s="1"/>
  <c r="I72" i="12"/>
  <c r="H72" i="12"/>
  <c r="G72" i="12"/>
  <c r="I69" i="12"/>
  <c r="H69" i="12"/>
  <c r="G69" i="12"/>
  <c r="F54" i="12"/>
  <c r="G54" i="12"/>
  <c r="H54" i="12"/>
  <c r="I54" i="12"/>
  <c r="G16" i="12"/>
  <c r="F16" i="12"/>
  <c r="H16" i="12"/>
  <c r="I16" i="12"/>
  <c r="G45" i="12"/>
  <c r="H45" i="12"/>
  <c r="I45" i="12"/>
  <c r="F45" i="12"/>
  <c r="I10" i="14"/>
  <c r="H10" i="14"/>
  <c r="G10" i="14"/>
  <c r="F10" i="14"/>
  <c r="I17" i="14"/>
  <c r="H17" i="14"/>
  <c r="G17" i="14"/>
  <c r="F17" i="14"/>
  <c r="K15" i="11" l="1"/>
  <c r="K16" i="11" s="1"/>
  <c r="K17" i="11" s="1"/>
  <c r="K18" i="11" s="1"/>
  <c r="K20" i="11" s="1"/>
  <c r="K21" i="11" s="1"/>
  <c r="K22" i="11" s="1"/>
  <c r="K23" i="11" s="1"/>
  <c r="J15" i="11"/>
  <c r="J16" i="11" s="1"/>
  <c r="J17" i="11" s="1"/>
  <c r="J18" i="11" s="1"/>
  <c r="J20" i="11" s="1"/>
  <c r="J21" i="11" s="1"/>
  <c r="J22" i="11" s="1"/>
  <c r="J23" i="11" s="1"/>
  <c r="I15" i="11"/>
  <c r="I16" i="11" s="1"/>
  <c r="I17" i="11" s="1"/>
  <c r="I18" i="11" s="1"/>
  <c r="I20" i="11" s="1"/>
  <c r="L20" i="11" s="1"/>
  <c r="M68" i="11" s="1"/>
  <c r="H15" i="11"/>
  <c r="O64" i="11" s="1"/>
  <c r="G15" i="11"/>
  <c r="N64" i="11" s="1"/>
  <c r="F15" i="11"/>
  <c r="L64" i="11" s="1"/>
  <c r="E15" i="11"/>
  <c r="K64" i="11" s="1"/>
  <c r="E16" i="11" l="1"/>
  <c r="F16" i="11"/>
  <c r="L65" i="11" s="1"/>
  <c r="G16" i="11"/>
  <c r="H16" i="11"/>
  <c r="N65" i="11" l="1"/>
  <c r="G17" i="11"/>
  <c r="F17" i="11"/>
  <c r="L66" i="11" s="1"/>
  <c r="O65" i="11"/>
  <c r="H17" i="11"/>
  <c r="K65" i="11"/>
  <c r="E17" i="11"/>
  <c r="K66" i="11" l="1"/>
  <c r="E18" i="11"/>
  <c r="N66" i="11"/>
  <c r="G18" i="11"/>
  <c r="F18" i="11"/>
  <c r="O66" i="11"/>
  <c r="H18" i="11"/>
  <c r="O67" i="11" l="1"/>
  <c r="H20" i="11"/>
  <c r="N67" i="11"/>
  <c r="G20" i="11"/>
  <c r="K67" i="11"/>
  <c r="E20" i="11"/>
  <c r="F20" i="11"/>
  <c r="L67" i="11"/>
  <c r="I27" i="9"/>
  <c r="I25" i="9"/>
  <c r="G21" i="11" l="1"/>
  <c r="N68" i="11"/>
  <c r="F21" i="11"/>
  <c r="L68" i="11"/>
  <c r="K68" i="11"/>
  <c r="E21" i="11"/>
  <c r="O68" i="11"/>
  <c r="H21" i="11"/>
  <c r="L5" i="11"/>
  <c r="O69" i="11" l="1"/>
  <c r="H22" i="11"/>
  <c r="V592" i="11"/>
  <c r="V488" i="11"/>
  <c r="V358" i="11"/>
  <c r="V189" i="11"/>
  <c r="V566" i="11"/>
  <c r="V454" i="11"/>
  <c r="V314" i="11"/>
  <c r="V142" i="11"/>
  <c r="V551" i="11"/>
  <c r="V437" i="11"/>
  <c r="V290" i="11"/>
  <c r="V118" i="11"/>
  <c r="V525" i="11"/>
  <c r="V402" i="11"/>
  <c r="V245" i="11"/>
  <c r="V74" i="11"/>
  <c r="V522" i="11"/>
  <c r="V581" i="11"/>
  <c r="V472" i="11"/>
  <c r="V338" i="11"/>
  <c r="V166" i="11"/>
  <c r="V552" i="11"/>
  <c r="V438" i="11"/>
  <c r="V293" i="11"/>
  <c r="V122" i="11"/>
  <c r="V538" i="11"/>
  <c r="V421" i="11"/>
  <c r="V269" i="11"/>
  <c r="V98" i="11"/>
  <c r="V567" i="11"/>
  <c r="V456" i="11"/>
  <c r="V317" i="11"/>
  <c r="V146" i="11"/>
  <c r="V541" i="11"/>
  <c r="V422" i="11"/>
  <c r="V270" i="11"/>
  <c r="V101" i="11"/>
  <c r="V526" i="11"/>
  <c r="V405" i="11"/>
  <c r="V246" i="11"/>
  <c r="V77" i="11"/>
  <c r="V498" i="11"/>
  <c r="V370" i="11"/>
  <c r="V202" i="11"/>
  <c r="V599" i="11"/>
  <c r="V496" i="11"/>
  <c r="V71" i="11"/>
  <c r="V554" i="11"/>
  <c r="V440" i="11"/>
  <c r="V294" i="11"/>
  <c r="V125" i="11"/>
  <c r="V527" i="11"/>
  <c r="V406" i="11"/>
  <c r="V250" i="11"/>
  <c r="V78" i="11"/>
  <c r="V512" i="11"/>
  <c r="V389" i="11"/>
  <c r="V226" i="11"/>
  <c r="V589" i="11"/>
  <c r="V482" i="11"/>
  <c r="V350" i="11"/>
  <c r="V181" i="11"/>
  <c r="V586" i="11"/>
  <c r="V480" i="11"/>
  <c r="V517" i="11"/>
  <c r="V392" i="11"/>
  <c r="V230" i="11"/>
  <c r="V591" i="11"/>
  <c r="V486" i="11"/>
  <c r="V357" i="11"/>
  <c r="V186" i="11"/>
  <c r="V576" i="11"/>
  <c r="V469" i="11"/>
  <c r="V333" i="11"/>
  <c r="V162" i="11"/>
  <c r="V550" i="11"/>
  <c r="V434" i="11"/>
  <c r="V286" i="11"/>
  <c r="V117" i="11"/>
  <c r="V549" i="11"/>
  <c r="V432" i="11"/>
  <c r="V285" i="11"/>
  <c r="V253" i="11"/>
  <c r="V390" i="11"/>
  <c r="V565" i="11"/>
  <c r="V182" i="11"/>
  <c r="V418" i="11"/>
  <c r="V94" i="11"/>
  <c r="V416" i="11"/>
  <c r="V242" i="11"/>
  <c r="V70" i="11"/>
  <c r="V509" i="11"/>
  <c r="V382" i="11"/>
  <c r="V218" i="11"/>
  <c r="V597" i="11"/>
  <c r="V493" i="11"/>
  <c r="V365" i="11"/>
  <c r="V194" i="11"/>
  <c r="V568" i="11"/>
  <c r="V458" i="11"/>
  <c r="V318" i="11"/>
  <c r="V149" i="11"/>
  <c r="V564" i="11"/>
  <c r="V500" i="11"/>
  <c r="V436" i="11"/>
  <c r="V372" i="11"/>
  <c r="V308" i="11"/>
  <c r="V244" i="11"/>
  <c r="V180" i="11"/>
  <c r="V116" i="11"/>
  <c r="V595" i="11"/>
  <c r="V531" i="11"/>
  <c r="V467" i="11"/>
  <c r="V403" i="11"/>
  <c r="V339" i="11"/>
  <c r="V275" i="11"/>
  <c r="V211" i="11"/>
  <c r="V147" i="11"/>
  <c r="V83" i="11"/>
  <c r="V569" i="11"/>
  <c r="V505" i="11"/>
  <c r="V441" i="11"/>
  <c r="V377" i="11"/>
  <c r="V313" i="11"/>
  <c r="V249" i="11"/>
  <c r="V185" i="11"/>
  <c r="V121" i="11"/>
  <c r="V360" i="11"/>
  <c r="V296" i="11"/>
  <c r="V232" i="11"/>
  <c r="V168" i="11"/>
  <c r="V104" i="11"/>
  <c r="V471" i="11"/>
  <c r="V407" i="11"/>
  <c r="V343" i="11"/>
  <c r="V279" i="11"/>
  <c r="V215" i="11"/>
  <c r="V151" i="11"/>
  <c r="V87" i="11"/>
  <c r="V542" i="11"/>
  <c r="V210" i="11"/>
  <c r="V374" i="11"/>
  <c r="V501" i="11"/>
  <c r="V141" i="11"/>
  <c r="V386" i="11"/>
  <c r="V600" i="11"/>
  <c r="V400" i="11"/>
  <c r="V221" i="11"/>
  <c r="V598" i="11"/>
  <c r="V494" i="11"/>
  <c r="V366" i="11"/>
  <c r="V197" i="11"/>
  <c r="V583" i="11"/>
  <c r="V477" i="11"/>
  <c r="V342" i="11"/>
  <c r="V173" i="11"/>
  <c r="V557" i="11"/>
  <c r="V442" i="11"/>
  <c r="V298" i="11"/>
  <c r="V126" i="11"/>
  <c r="V556" i="11"/>
  <c r="V492" i="11"/>
  <c r="V428" i="11"/>
  <c r="V364" i="11"/>
  <c r="V300" i="11"/>
  <c r="V236" i="11"/>
  <c r="V172" i="11"/>
  <c r="V108" i="11"/>
  <c r="V587" i="11"/>
  <c r="V523" i="11"/>
  <c r="V459" i="11"/>
  <c r="V395" i="11"/>
  <c r="V331" i="11"/>
  <c r="V267" i="11"/>
  <c r="V203" i="11"/>
  <c r="V139" i="11"/>
  <c r="V75" i="11"/>
  <c r="V561" i="11"/>
  <c r="V497" i="11"/>
  <c r="V433" i="11"/>
  <c r="V369" i="11"/>
  <c r="V305" i="11"/>
  <c r="V241" i="11"/>
  <c r="V177" i="11"/>
  <c r="V113" i="11"/>
  <c r="V352" i="11"/>
  <c r="V288" i="11"/>
  <c r="V224" i="11"/>
  <c r="V160" i="11"/>
  <c r="V96" i="11"/>
  <c r="V463" i="11"/>
  <c r="V399" i="11"/>
  <c r="V335" i="11"/>
  <c r="V271" i="11"/>
  <c r="V207" i="11"/>
  <c r="V143" i="11"/>
  <c r="V79" i="11"/>
  <c r="V528" i="11"/>
  <c r="V102" i="11"/>
  <c r="V334" i="11"/>
  <c r="V485" i="11"/>
  <c r="V575" i="11"/>
  <c r="V330" i="11"/>
  <c r="V574" i="11"/>
  <c r="V384" i="11"/>
  <c r="V198" i="11"/>
  <c r="V584" i="11"/>
  <c r="V478" i="11"/>
  <c r="V346" i="11"/>
  <c r="V174" i="11"/>
  <c r="V570" i="11"/>
  <c r="V461" i="11"/>
  <c r="V322" i="11"/>
  <c r="V150" i="11"/>
  <c r="V543" i="11"/>
  <c r="V426" i="11"/>
  <c r="V277" i="11"/>
  <c r="V106" i="11"/>
  <c r="V548" i="11"/>
  <c r="V484" i="11"/>
  <c r="V420" i="11"/>
  <c r="V356" i="11"/>
  <c r="V292" i="11"/>
  <c r="V228" i="11"/>
  <c r="V164" i="11"/>
  <c r="V100" i="11"/>
  <c r="V579" i="11"/>
  <c r="V515" i="11"/>
  <c r="V451" i="11"/>
  <c r="V387" i="11"/>
  <c r="V323" i="11"/>
  <c r="V259" i="11"/>
  <c r="V195" i="11"/>
  <c r="V131" i="11"/>
  <c r="V67" i="11"/>
  <c r="V553" i="11"/>
  <c r="V489" i="11"/>
  <c r="V425" i="11"/>
  <c r="V361" i="11"/>
  <c r="V297" i="11"/>
  <c r="V233" i="11"/>
  <c r="V169" i="11"/>
  <c r="V105" i="11"/>
  <c r="V344" i="11"/>
  <c r="V280" i="11"/>
  <c r="V216" i="11"/>
  <c r="V152" i="11"/>
  <c r="V88" i="11"/>
  <c r="V455" i="11"/>
  <c r="V391" i="11"/>
  <c r="V327" i="11"/>
  <c r="V263" i="11"/>
  <c r="V199" i="11"/>
  <c r="V135" i="11"/>
  <c r="V503" i="11"/>
  <c r="V82" i="11"/>
  <c r="V229" i="11"/>
  <c r="V453" i="11"/>
  <c r="V562" i="11"/>
  <c r="V309" i="11"/>
  <c r="V560" i="11"/>
  <c r="V368" i="11"/>
  <c r="V178" i="11"/>
  <c r="V573" i="11"/>
  <c r="V462" i="11"/>
  <c r="V325" i="11"/>
  <c r="V154" i="11"/>
  <c r="V558" i="11"/>
  <c r="V445" i="11"/>
  <c r="V301" i="11"/>
  <c r="V130" i="11"/>
  <c r="V530" i="11"/>
  <c r="V410" i="11"/>
  <c r="V254" i="11"/>
  <c r="V85" i="11"/>
  <c r="V540" i="11"/>
  <c r="V476" i="11"/>
  <c r="V412" i="11"/>
  <c r="V348" i="11"/>
  <c r="V284" i="11"/>
  <c r="V220" i="11"/>
  <c r="V156" i="11"/>
  <c r="V92" i="11"/>
  <c r="V571" i="11"/>
  <c r="V507" i="11"/>
  <c r="V443" i="11"/>
  <c r="V379" i="11"/>
  <c r="V315" i="11"/>
  <c r="V251" i="11"/>
  <c r="V187" i="11"/>
  <c r="V123" i="11"/>
  <c r="V66" i="11"/>
  <c r="V545" i="11"/>
  <c r="V481" i="11"/>
  <c r="V417" i="11"/>
  <c r="V353" i="11"/>
  <c r="V289" i="11"/>
  <c r="V225" i="11"/>
  <c r="V161" i="11"/>
  <c r="V97" i="11"/>
  <c r="V336" i="11"/>
  <c r="V272" i="11"/>
  <c r="V208" i="11"/>
  <c r="V144" i="11"/>
  <c r="V80" i="11"/>
  <c r="V447" i="11"/>
  <c r="V383" i="11"/>
  <c r="V319" i="11"/>
  <c r="V255" i="11"/>
  <c r="V191" i="11"/>
  <c r="V127" i="11"/>
  <c r="V311" i="11"/>
  <c r="V183" i="11"/>
  <c r="V424" i="11"/>
  <c r="V578" i="11"/>
  <c r="V206" i="11"/>
  <c r="V373" i="11"/>
  <c r="V536" i="11"/>
  <c r="V266" i="11"/>
  <c r="V535" i="11"/>
  <c r="V349" i="11"/>
  <c r="V157" i="11"/>
  <c r="V559" i="11"/>
  <c r="V446" i="11"/>
  <c r="V302" i="11"/>
  <c r="V133" i="11"/>
  <c r="V544" i="11"/>
  <c r="V429" i="11"/>
  <c r="V278" i="11"/>
  <c r="V109" i="11"/>
  <c r="V518" i="11"/>
  <c r="V394" i="11"/>
  <c r="V234" i="11"/>
  <c r="V596" i="11"/>
  <c r="V532" i="11"/>
  <c r="V468" i="11"/>
  <c r="V404" i="11"/>
  <c r="V340" i="11"/>
  <c r="V276" i="11"/>
  <c r="V212" i="11"/>
  <c r="V148" i="11"/>
  <c r="V84" i="11"/>
  <c r="V563" i="11"/>
  <c r="V499" i="11"/>
  <c r="V435" i="11"/>
  <c r="V371" i="11"/>
  <c r="V307" i="11"/>
  <c r="V243" i="11"/>
  <c r="V179" i="11"/>
  <c r="V115" i="11"/>
  <c r="V601" i="11"/>
  <c r="V537" i="11"/>
  <c r="V473" i="11"/>
  <c r="V409" i="11"/>
  <c r="V345" i="11"/>
  <c r="V281" i="11"/>
  <c r="V217" i="11"/>
  <c r="V153" i="11"/>
  <c r="V89" i="11"/>
  <c r="V328" i="11"/>
  <c r="V264" i="11"/>
  <c r="V200" i="11"/>
  <c r="V136" i="11"/>
  <c r="V72" i="11"/>
  <c r="V439" i="11"/>
  <c r="V375" i="11"/>
  <c r="V247" i="11"/>
  <c r="V119" i="11"/>
  <c r="V376" i="11"/>
  <c r="V502" i="11"/>
  <c r="V602" i="11"/>
  <c r="V310" i="11"/>
  <c r="V466" i="11"/>
  <c r="V158" i="11"/>
  <c r="V464" i="11"/>
  <c r="V306" i="11"/>
  <c r="V114" i="11"/>
  <c r="V534" i="11"/>
  <c r="V414" i="11"/>
  <c r="V261" i="11"/>
  <c r="V90" i="11"/>
  <c r="V519" i="11"/>
  <c r="V397" i="11"/>
  <c r="V237" i="11"/>
  <c r="V594" i="11"/>
  <c r="V490" i="11"/>
  <c r="V362" i="11"/>
  <c r="V190" i="11"/>
  <c r="V580" i="11"/>
  <c r="V516" i="11"/>
  <c r="V452" i="11"/>
  <c r="V388" i="11"/>
  <c r="V324" i="11"/>
  <c r="V260" i="11"/>
  <c r="V196" i="11"/>
  <c r="V132" i="11"/>
  <c r="V68" i="11"/>
  <c r="V547" i="11"/>
  <c r="V483" i="11"/>
  <c r="V419" i="11"/>
  <c r="V355" i="11"/>
  <c r="V291" i="11"/>
  <c r="V227" i="11"/>
  <c r="V163" i="11"/>
  <c r="V99" i="11"/>
  <c r="V585" i="11"/>
  <c r="V521" i="11"/>
  <c r="V457" i="11"/>
  <c r="V393" i="11"/>
  <c r="V329" i="11"/>
  <c r="V265" i="11"/>
  <c r="V201" i="11"/>
  <c r="V137" i="11"/>
  <c r="V73" i="11"/>
  <c r="V312" i="11"/>
  <c r="V248" i="11"/>
  <c r="V184" i="11"/>
  <c r="V120" i="11"/>
  <c r="V487" i="11"/>
  <c r="V423" i="11"/>
  <c r="V359" i="11"/>
  <c r="V295" i="11"/>
  <c r="V231" i="11"/>
  <c r="V167" i="11"/>
  <c r="V103" i="11"/>
  <c r="V165" i="11"/>
  <c r="V510" i="11"/>
  <c r="V430" i="11"/>
  <c r="V413" i="11"/>
  <c r="V378" i="11"/>
  <c r="V460" i="11"/>
  <c r="V204" i="11"/>
  <c r="V491" i="11"/>
  <c r="V235" i="11"/>
  <c r="V529" i="11"/>
  <c r="V273" i="11"/>
  <c r="V320" i="11"/>
  <c r="V495" i="11"/>
  <c r="V239" i="11"/>
  <c r="V257" i="11"/>
  <c r="V479" i="11"/>
  <c r="V408" i="11"/>
  <c r="V86" i="11"/>
  <c r="V401" i="11"/>
  <c r="V274" i="11"/>
  <c r="V316" i="11"/>
  <c r="V129" i="11"/>
  <c r="V539" i="11"/>
  <c r="V590" i="11"/>
  <c r="V448" i="11"/>
  <c r="V398" i="11"/>
  <c r="V381" i="11"/>
  <c r="V341" i="11"/>
  <c r="V444" i="11"/>
  <c r="V188" i="11"/>
  <c r="V475" i="11"/>
  <c r="V219" i="11"/>
  <c r="V513" i="11"/>
  <c r="V304" i="11"/>
  <c r="V223" i="11"/>
  <c r="V134" i="11"/>
  <c r="V76" i="11"/>
  <c r="V111" i="11"/>
  <c r="V69" i="11"/>
  <c r="V347" i="11"/>
  <c r="V176" i="11"/>
  <c r="V321" i="11"/>
  <c r="V354" i="11"/>
  <c r="V326" i="11"/>
  <c r="V282" i="11"/>
  <c r="V258" i="11"/>
  <c r="V213" i="11"/>
  <c r="V396" i="11"/>
  <c r="V140" i="11"/>
  <c r="V427" i="11"/>
  <c r="V171" i="11"/>
  <c r="V465" i="11"/>
  <c r="V209" i="11"/>
  <c r="V256" i="11"/>
  <c r="V431" i="11"/>
  <c r="V175" i="11"/>
  <c r="V240" i="11"/>
  <c r="V159" i="11"/>
  <c r="V588" i="11"/>
  <c r="V107" i="11"/>
  <c r="V192" i="11"/>
  <c r="V450" i="11"/>
  <c r="V582" i="11"/>
  <c r="V91" i="11"/>
  <c r="V351" i="11"/>
  <c r="V577" i="11"/>
  <c r="V205" i="11"/>
  <c r="V262" i="11"/>
  <c r="V238" i="11"/>
  <c r="V214" i="11"/>
  <c r="V170" i="11"/>
  <c r="V380" i="11"/>
  <c r="V124" i="11"/>
  <c r="V411" i="11"/>
  <c r="V155" i="11"/>
  <c r="V449" i="11"/>
  <c r="V193" i="11"/>
  <c r="V415" i="11"/>
  <c r="V110" i="11"/>
  <c r="V363" i="11"/>
  <c r="V145" i="11"/>
  <c r="V93" i="11"/>
  <c r="V572" i="11"/>
  <c r="V385" i="11"/>
  <c r="V95" i="11"/>
  <c r="V65" i="11"/>
  <c r="V511" i="11"/>
  <c r="V332" i="11"/>
  <c r="V367" i="11"/>
  <c r="V64" i="11"/>
  <c r="V252" i="11"/>
  <c r="V112" i="11"/>
  <c r="V514" i="11"/>
  <c r="V222" i="11"/>
  <c r="V546" i="11"/>
  <c r="V533" i="11"/>
  <c r="V504" i="11"/>
  <c r="V524" i="11"/>
  <c r="V268" i="11"/>
  <c r="V555" i="11"/>
  <c r="V299" i="11"/>
  <c r="V593" i="11"/>
  <c r="V337" i="11"/>
  <c r="V81" i="11"/>
  <c r="V128" i="11"/>
  <c r="V303" i="11"/>
  <c r="V470" i="11"/>
  <c r="V138" i="11"/>
  <c r="V520" i="11"/>
  <c r="V506" i="11"/>
  <c r="V474" i="11"/>
  <c r="V508" i="11"/>
  <c r="V283" i="11"/>
  <c r="V287" i="11"/>
  <c r="F22" i="11"/>
  <c r="L69" i="11"/>
  <c r="K69" i="11"/>
  <c r="E22" i="11"/>
  <c r="G22" i="11"/>
  <c r="N69" i="11"/>
  <c r="B52" i="11"/>
  <c r="L70" i="11" l="1"/>
  <c r="F23" i="11"/>
  <c r="L71" i="11" s="1"/>
  <c r="Q68" i="11"/>
  <c r="O70" i="11"/>
  <c r="H23" i="11"/>
  <c r="O71" i="11" s="1"/>
  <c r="G23" i="11"/>
  <c r="N71" i="11" s="1"/>
  <c r="N70" i="11"/>
  <c r="K70" i="11"/>
  <c r="E23" i="11"/>
  <c r="K71" i="11" s="1"/>
  <c r="I24" i="9"/>
  <c r="B28" i="11" s="1"/>
  <c r="D15" i="11" s="1"/>
  <c r="I23" i="9"/>
  <c r="C55" i="11"/>
  <c r="D55" i="11"/>
  <c r="E55" i="11"/>
  <c r="B55" i="11"/>
  <c r="D16" i="11" l="1"/>
  <c r="F9" i="8"/>
  <c r="C9" i="8"/>
  <c r="D17" i="11" l="1"/>
  <c r="D9" i="8"/>
  <c r="E9" i="8"/>
  <c r="C10" i="8" l="1"/>
  <c r="D18" i="11"/>
  <c r="C44" i="11"/>
  <c r="D44" i="11"/>
  <c r="E44" i="11"/>
  <c r="C46" i="11"/>
  <c r="D46" i="11"/>
  <c r="E46" i="11"/>
  <c r="C47" i="11"/>
  <c r="D47" i="11"/>
  <c r="E47" i="11"/>
  <c r="C48" i="11"/>
  <c r="D48" i="11"/>
  <c r="E48" i="11"/>
  <c r="C49" i="11"/>
  <c r="D49" i="11"/>
  <c r="E49" i="11"/>
  <c r="C52" i="11"/>
  <c r="D52" i="11"/>
  <c r="E52" i="11"/>
  <c r="C53" i="11"/>
  <c r="D53" i="11"/>
  <c r="E53" i="11"/>
  <c r="F23" i="12"/>
  <c r="B53" i="11"/>
  <c r="B49" i="11"/>
  <c r="B48" i="11"/>
  <c r="B47" i="11"/>
  <c r="B46" i="11"/>
  <c r="B44" i="11"/>
  <c r="B30" i="9"/>
  <c r="B32" i="9" s="1"/>
  <c r="B57" i="10"/>
  <c r="D20" i="11" l="1"/>
  <c r="F22" i="12"/>
  <c r="B43" i="11"/>
  <c r="I9" i="9"/>
  <c r="D21" i="11" l="1"/>
  <c r="B20" i="11"/>
  <c r="C61" i="10"/>
  <c r="D61" i="10"/>
  <c r="E61" i="10"/>
  <c r="C60" i="10"/>
  <c r="D60" i="10"/>
  <c r="E60" i="10"/>
  <c r="B61" i="10"/>
  <c r="B60" i="10"/>
  <c r="D22" i="11" l="1"/>
  <c r="B41" i="10"/>
  <c r="D23" i="11" l="1"/>
  <c r="C43" i="10"/>
  <c r="D43" i="10"/>
  <c r="E43" i="10"/>
  <c r="B43" i="10"/>
  <c r="G18" i="15" l="1"/>
  <c r="F18" i="15"/>
  <c r="H18" i="15" l="1"/>
  <c r="I18" i="15"/>
  <c r="I8" i="9" l="1"/>
  <c r="I10" i="9"/>
  <c r="I11" i="9"/>
  <c r="I12" i="9"/>
  <c r="I13" i="9"/>
  <c r="I14" i="9"/>
  <c r="I16" i="9"/>
  <c r="I17" i="9"/>
  <c r="I18" i="9"/>
  <c r="I19" i="9"/>
  <c r="I20" i="9"/>
  <c r="I21" i="9"/>
  <c r="I22" i="9"/>
  <c r="I7" i="9"/>
  <c r="F9" i="14"/>
  <c r="B44" i="10"/>
  <c r="D61" i="11" l="1"/>
  <c r="M15" i="11"/>
  <c r="M16" i="11"/>
  <c r="M17" i="11"/>
  <c r="M18" i="11"/>
  <c r="B61" i="11"/>
  <c r="E61" i="11"/>
  <c r="F61" i="11"/>
  <c r="H68" i="11" l="1"/>
  <c r="H72" i="11"/>
  <c r="H76" i="11"/>
  <c r="H80" i="11"/>
  <c r="H84" i="11"/>
  <c r="H88" i="11"/>
  <c r="H92" i="11"/>
  <c r="H96" i="11"/>
  <c r="H100" i="11"/>
  <c r="H104" i="11"/>
  <c r="H108" i="11"/>
  <c r="H112" i="11"/>
  <c r="H116" i="11"/>
  <c r="H120" i="11"/>
  <c r="H124" i="11"/>
  <c r="H128" i="11"/>
  <c r="H132" i="11"/>
  <c r="H136" i="11"/>
  <c r="H140" i="11"/>
  <c r="H144" i="11"/>
  <c r="H148" i="11"/>
  <c r="H152" i="11"/>
  <c r="H156" i="11"/>
  <c r="H160" i="11"/>
  <c r="H164" i="11"/>
  <c r="H168" i="11"/>
  <c r="H172" i="11"/>
  <c r="H176" i="11"/>
  <c r="H180" i="11"/>
  <c r="H184" i="11"/>
  <c r="H188" i="11"/>
  <c r="H192" i="11"/>
  <c r="H196" i="11"/>
  <c r="H200" i="11"/>
  <c r="H204" i="11"/>
  <c r="H208" i="11"/>
  <c r="H212" i="11"/>
  <c r="H216" i="11"/>
  <c r="H220" i="11"/>
  <c r="H224" i="11"/>
  <c r="H228" i="11"/>
  <c r="H232" i="11"/>
  <c r="H236" i="11"/>
  <c r="H240" i="11"/>
  <c r="H244" i="11"/>
  <c r="H248" i="11"/>
  <c r="H252" i="11"/>
  <c r="H256" i="11"/>
  <c r="H260" i="11"/>
  <c r="H264" i="11"/>
  <c r="H268" i="11"/>
  <c r="H272" i="11"/>
  <c r="H276" i="11"/>
  <c r="H280" i="11"/>
  <c r="H284" i="11"/>
  <c r="H288" i="11"/>
  <c r="H292" i="11"/>
  <c r="H296" i="11"/>
  <c r="H300" i="11"/>
  <c r="H304" i="11"/>
  <c r="H308" i="11"/>
  <c r="H312" i="11"/>
  <c r="H316" i="11"/>
  <c r="H320" i="11"/>
  <c r="H324" i="11"/>
  <c r="H328" i="11"/>
  <c r="H332" i="11"/>
  <c r="H336" i="11"/>
  <c r="H340" i="11"/>
  <c r="H344" i="11"/>
  <c r="H348" i="11"/>
  <c r="H352" i="11"/>
  <c r="H356" i="11"/>
  <c r="H360" i="11"/>
  <c r="H364" i="11"/>
  <c r="H368" i="11"/>
  <c r="H372" i="11"/>
  <c r="H376" i="11"/>
  <c r="H380" i="11"/>
  <c r="H384" i="11"/>
  <c r="H388" i="11"/>
  <c r="H392" i="11"/>
  <c r="H396" i="11"/>
  <c r="H400" i="11"/>
  <c r="H404" i="11"/>
  <c r="H408" i="11"/>
  <c r="H412" i="11"/>
  <c r="H416" i="11"/>
  <c r="H420" i="11"/>
  <c r="H424" i="11"/>
  <c r="H428" i="11"/>
  <c r="H432" i="11"/>
  <c r="H436" i="11"/>
  <c r="H440" i="11"/>
  <c r="H444" i="11"/>
  <c r="H448" i="11"/>
  <c r="H452" i="11"/>
  <c r="H456" i="11"/>
  <c r="H460" i="11"/>
  <c r="H464" i="11"/>
  <c r="H468" i="11"/>
  <c r="H472" i="11"/>
  <c r="H476" i="11"/>
  <c r="H480" i="11"/>
  <c r="H484" i="11"/>
  <c r="H488" i="11"/>
  <c r="H492" i="11"/>
  <c r="H496" i="11"/>
  <c r="H500" i="11"/>
  <c r="H504" i="11"/>
  <c r="H508" i="11"/>
  <c r="H512" i="11"/>
  <c r="H516" i="11"/>
  <c r="H520" i="11"/>
  <c r="H524" i="11"/>
  <c r="H528" i="11"/>
  <c r="H532" i="11"/>
  <c r="H536" i="11"/>
  <c r="H540" i="11"/>
  <c r="H544" i="11"/>
  <c r="H548" i="11"/>
  <c r="H552" i="11"/>
  <c r="H556" i="11"/>
  <c r="H560" i="11"/>
  <c r="H564" i="11"/>
  <c r="H568" i="11"/>
  <c r="H572" i="11"/>
  <c r="H576" i="11"/>
  <c r="H580" i="11"/>
  <c r="H584" i="11"/>
  <c r="H588" i="11"/>
  <c r="H592" i="11"/>
  <c r="H596" i="11"/>
  <c r="H600" i="11"/>
  <c r="H65" i="11"/>
  <c r="H69" i="11"/>
  <c r="H73" i="11"/>
  <c r="H77" i="11"/>
  <c r="H81" i="11"/>
  <c r="H85" i="11"/>
  <c r="H89" i="11"/>
  <c r="H93" i="11"/>
  <c r="H97" i="11"/>
  <c r="H101" i="11"/>
  <c r="H105" i="11"/>
  <c r="H109" i="11"/>
  <c r="H113" i="11"/>
  <c r="H117" i="11"/>
  <c r="H121" i="11"/>
  <c r="H125" i="11"/>
  <c r="H129" i="11"/>
  <c r="H133" i="11"/>
  <c r="H137" i="11"/>
  <c r="H141" i="11"/>
  <c r="H145" i="11"/>
  <c r="H149" i="11"/>
  <c r="H153" i="11"/>
  <c r="H157" i="11"/>
  <c r="H161" i="11"/>
  <c r="H165" i="11"/>
  <c r="H169" i="11"/>
  <c r="H173" i="11"/>
  <c r="H177" i="11"/>
  <c r="H181" i="11"/>
  <c r="H185" i="11"/>
  <c r="H189" i="11"/>
  <c r="H193" i="11"/>
  <c r="H197" i="11"/>
  <c r="H201" i="11"/>
  <c r="H205" i="11"/>
  <c r="H209" i="11"/>
  <c r="H213" i="11"/>
  <c r="H217" i="11"/>
  <c r="H221" i="11"/>
  <c r="H225" i="11"/>
  <c r="H229" i="11"/>
  <c r="H233" i="11"/>
  <c r="H237" i="11"/>
  <c r="H241" i="11"/>
  <c r="H245" i="11"/>
  <c r="H249" i="11"/>
  <c r="H253" i="11"/>
  <c r="H257" i="11"/>
  <c r="H261" i="11"/>
  <c r="H265" i="11"/>
  <c r="H269" i="11"/>
  <c r="H273" i="11"/>
  <c r="H277" i="11"/>
  <c r="H281" i="11"/>
  <c r="H285" i="11"/>
  <c r="H289" i="11"/>
  <c r="H293" i="11"/>
  <c r="H297" i="11"/>
  <c r="H301" i="11"/>
  <c r="H305" i="11"/>
  <c r="H309" i="11"/>
  <c r="H313" i="11"/>
  <c r="H317" i="11"/>
  <c r="H321" i="11"/>
  <c r="H325" i="11"/>
  <c r="H329" i="11"/>
  <c r="H333" i="11"/>
  <c r="H337" i="11"/>
  <c r="H341" i="11"/>
  <c r="H345" i="11"/>
  <c r="H349" i="11"/>
  <c r="H353" i="11"/>
  <c r="H357" i="11"/>
  <c r="H361" i="11"/>
  <c r="H365" i="11"/>
  <c r="H369" i="11"/>
  <c r="H373" i="11"/>
  <c r="H377" i="11"/>
  <c r="H381" i="11"/>
  <c r="H385" i="11"/>
  <c r="H389" i="11"/>
  <c r="H393" i="11"/>
  <c r="H397" i="11"/>
  <c r="H401" i="11"/>
  <c r="H405" i="11"/>
  <c r="H409" i="11"/>
  <c r="H413" i="11"/>
  <c r="H417" i="11"/>
  <c r="H421" i="11"/>
  <c r="H425" i="11"/>
  <c r="H429" i="11"/>
  <c r="H433" i="11"/>
  <c r="H437" i="11"/>
  <c r="H441" i="11"/>
  <c r="H445" i="11"/>
  <c r="H449" i="11"/>
  <c r="H453" i="11"/>
  <c r="H457" i="11"/>
  <c r="H461" i="11"/>
  <c r="H465" i="11"/>
  <c r="H469" i="11"/>
  <c r="H473" i="11"/>
  <c r="H477" i="11"/>
  <c r="H481" i="11"/>
  <c r="H485" i="11"/>
  <c r="H489" i="11"/>
  <c r="H493" i="11"/>
  <c r="H497" i="11"/>
  <c r="H501" i="11"/>
  <c r="H505" i="11"/>
  <c r="H509" i="11"/>
  <c r="H513" i="11"/>
  <c r="H517" i="11"/>
  <c r="H521" i="11"/>
  <c r="H525" i="11"/>
  <c r="H529" i="11"/>
  <c r="H533" i="11"/>
  <c r="H537" i="11"/>
  <c r="H541" i="11"/>
  <c r="H545" i="11"/>
  <c r="H549" i="11"/>
  <c r="H553" i="11"/>
  <c r="H557" i="11"/>
  <c r="H561" i="11"/>
  <c r="H565" i="11"/>
  <c r="H569" i="11"/>
  <c r="H573" i="11"/>
  <c r="H577" i="11"/>
  <c r="H581" i="11"/>
  <c r="H585" i="11"/>
  <c r="H589" i="11"/>
  <c r="H593" i="11"/>
  <c r="H597" i="11"/>
  <c r="H601" i="11"/>
  <c r="H64" i="11"/>
  <c r="H70" i="11"/>
  <c r="H78" i="11"/>
  <c r="H86" i="11"/>
  <c r="H94" i="11"/>
  <c r="H102" i="11"/>
  <c r="H110" i="11"/>
  <c r="H118" i="11"/>
  <c r="H126" i="11"/>
  <c r="H134" i="11"/>
  <c r="H142" i="11"/>
  <c r="H150" i="11"/>
  <c r="H158" i="11"/>
  <c r="H166" i="11"/>
  <c r="H174" i="11"/>
  <c r="H182" i="11"/>
  <c r="H190" i="11"/>
  <c r="H198" i="11"/>
  <c r="H206" i="11"/>
  <c r="H214" i="11"/>
  <c r="H222" i="11"/>
  <c r="H230" i="11"/>
  <c r="H238" i="11"/>
  <c r="H246" i="11"/>
  <c r="H254" i="11"/>
  <c r="H262" i="11"/>
  <c r="H270" i="11"/>
  <c r="H278" i="11"/>
  <c r="H286" i="11"/>
  <c r="H294" i="11"/>
  <c r="H302" i="11"/>
  <c r="H310" i="11"/>
  <c r="H318" i="11"/>
  <c r="H326" i="11"/>
  <c r="H334" i="11"/>
  <c r="H342" i="11"/>
  <c r="H350" i="11"/>
  <c r="H358" i="11"/>
  <c r="H366" i="11"/>
  <c r="H374" i="11"/>
  <c r="H382" i="11"/>
  <c r="H390" i="11"/>
  <c r="H398" i="11"/>
  <c r="H406" i="11"/>
  <c r="H414" i="11"/>
  <c r="H422" i="11"/>
  <c r="H430" i="11"/>
  <c r="H438" i="11"/>
  <c r="H446" i="11"/>
  <c r="H454" i="11"/>
  <c r="H462" i="11"/>
  <c r="H470" i="11"/>
  <c r="H478" i="11"/>
  <c r="H486" i="11"/>
  <c r="H494" i="11"/>
  <c r="H502" i="11"/>
  <c r="H510" i="11"/>
  <c r="H518" i="11"/>
  <c r="H526" i="11"/>
  <c r="H534" i="11"/>
  <c r="H542" i="11"/>
  <c r="H550" i="11"/>
  <c r="H558" i="11"/>
  <c r="H566" i="11"/>
  <c r="H574" i="11"/>
  <c r="H582" i="11"/>
  <c r="H590" i="11"/>
  <c r="H598" i="11"/>
  <c r="H71" i="11"/>
  <c r="H87" i="11"/>
  <c r="H95" i="11"/>
  <c r="H111" i="11"/>
  <c r="H127" i="11"/>
  <c r="H143" i="11"/>
  <c r="H151" i="11"/>
  <c r="H167" i="11"/>
  <c r="H183" i="11"/>
  <c r="H191" i="11"/>
  <c r="H207" i="11"/>
  <c r="H223" i="11"/>
  <c r="H239" i="11"/>
  <c r="H255" i="11"/>
  <c r="H271" i="11"/>
  <c r="H279" i="11"/>
  <c r="H295" i="11"/>
  <c r="H311" i="11"/>
  <c r="H319" i="11"/>
  <c r="H335" i="11"/>
  <c r="H351" i="11"/>
  <c r="H367" i="11"/>
  <c r="H383" i="11"/>
  <c r="H399" i="11"/>
  <c r="H415" i="11"/>
  <c r="H431" i="11"/>
  <c r="H447" i="11"/>
  <c r="H463" i="11"/>
  <c r="H479" i="11"/>
  <c r="H495" i="11"/>
  <c r="H511" i="11"/>
  <c r="H527" i="11"/>
  <c r="H535" i="11"/>
  <c r="H551" i="11"/>
  <c r="H567" i="11"/>
  <c r="H583" i="11"/>
  <c r="H599" i="11"/>
  <c r="H66" i="11"/>
  <c r="H74" i="11"/>
  <c r="H90" i="11"/>
  <c r="H106" i="11"/>
  <c r="H114" i="11"/>
  <c r="H130" i="11"/>
  <c r="H146" i="11"/>
  <c r="H162" i="11"/>
  <c r="H178" i="11"/>
  <c r="H194" i="11"/>
  <c r="H202" i="11"/>
  <c r="H218" i="11"/>
  <c r="H234" i="11"/>
  <c r="H250" i="11"/>
  <c r="H258" i="11"/>
  <c r="H274" i="11"/>
  <c r="H290" i="11"/>
  <c r="H306" i="11"/>
  <c r="H322" i="11"/>
  <c r="H338" i="11"/>
  <c r="H354" i="11"/>
  <c r="H362" i="11"/>
  <c r="H378" i="11"/>
  <c r="H394" i="11"/>
  <c r="H402" i="11"/>
  <c r="H418" i="11"/>
  <c r="H434" i="11"/>
  <c r="H450" i="11"/>
  <c r="H466" i="11"/>
  <c r="H482" i="11"/>
  <c r="H498" i="11"/>
  <c r="H514" i="11"/>
  <c r="H538" i="11"/>
  <c r="H554" i="11"/>
  <c r="H570" i="11"/>
  <c r="H586" i="11"/>
  <c r="H602" i="11"/>
  <c r="H67" i="11"/>
  <c r="H83" i="11"/>
  <c r="H91" i="11"/>
  <c r="H107" i="11"/>
  <c r="H123" i="11"/>
  <c r="H139" i="11"/>
  <c r="H147" i="11"/>
  <c r="H163" i="11"/>
  <c r="H179" i="11"/>
  <c r="H187" i="11"/>
  <c r="H203" i="11"/>
  <c r="H219" i="11"/>
  <c r="H235" i="11"/>
  <c r="H251" i="11"/>
  <c r="H259" i="11"/>
  <c r="H275" i="11"/>
  <c r="H291" i="11"/>
  <c r="H307" i="11"/>
  <c r="H323" i="11"/>
  <c r="H339" i="11"/>
  <c r="H347" i="11"/>
  <c r="H363" i="11"/>
  <c r="H379" i="11"/>
  <c r="H395" i="11"/>
  <c r="H411" i="11"/>
  <c r="H427" i="11"/>
  <c r="H443" i="11"/>
  <c r="H451" i="11"/>
  <c r="H467" i="11"/>
  <c r="H483" i="11"/>
  <c r="H499" i="11"/>
  <c r="H515" i="11"/>
  <c r="H531" i="11"/>
  <c r="H547" i="11"/>
  <c r="H563" i="11"/>
  <c r="H579" i="11"/>
  <c r="H595" i="11"/>
  <c r="H79" i="11"/>
  <c r="H103" i="11"/>
  <c r="H119" i="11"/>
  <c r="H135" i="11"/>
  <c r="H159" i="11"/>
  <c r="H175" i="11"/>
  <c r="H199" i="11"/>
  <c r="H215" i="11"/>
  <c r="H231" i="11"/>
  <c r="H247" i="11"/>
  <c r="H263" i="11"/>
  <c r="H287" i="11"/>
  <c r="H303" i="11"/>
  <c r="H327" i="11"/>
  <c r="H343" i="11"/>
  <c r="H359" i="11"/>
  <c r="H375" i="11"/>
  <c r="H391" i="11"/>
  <c r="H407" i="11"/>
  <c r="H423" i="11"/>
  <c r="H439" i="11"/>
  <c r="H455" i="11"/>
  <c r="H471" i="11"/>
  <c r="H487" i="11"/>
  <c r="H503" i="11"/>
  <c r="H519" i="11"/>
  <c r="H543" i="11"/>
  <c r="H559" i="11"/>
  <c r="H575" i="11"/>
  <c r="H591" i="11"/>
  <c r="H82" i="11"/>
  <c r="H98" i="11"/>
  <c r="H122" i="11"/>
  <c r="H138" i="11"/>
  <c r="H154" i="11"/>
  <c r="H170" i="11"/>
  <c r="H186" i="11"/>
  <c r="H210" i="11"/>
  <c r="H226" i="11"/>
  <c r="H242" i="11"/>
  <c r="H266" i="11"/>
  <c r="H282" i="11"/>
  <c r="H298" i="11"/>
  <c r="H314" i="11"/>
  <c r="H330" i="11"/>
  <c r="H346" i="11"/>
  <c r="H370" i="11"/>
  <c r="H386" i="11"/>
  <c r="H410" i="11"/>
  <c r="H426" i="11"/>
  <c r="H442" i="11"/>
  <c r="H458" i="11"/>
  <c r="H474" i="11"/>
  <c r="H490" i="11"/>
  <c r="H506" i="11"/>
  <c r="H522" i="11"/>
  <c r="H530" i="11"/>
  <c r="H546" i="11"/>
  <c r="H562" i="11"/>
  <c r="H578" i="11"/>
  <c r="H594" i="11"/>
  <c r="H75" i="11"/>
  <c r="H99" i="11"/>
  <c r="H115" i="11"/>
  <c r="H131" i="11"/>
  <c r="H155" i="11"/>
  <c r="H171" i="11"/>
  <c r="H195" i="11"/>
  <c r="H211" i="11"/>
  <c r="H227" i="11"/>
  <c r="H243" i="11"/>
  <c r="H267" i="11"/>
  <c r="H283" i="11"/>
  <c r="H299" i="11"/>
  <c r="H315" i="11"/>
  <c r="H331" i="11"/>
  <c r="H355" i="11"/>
  <c r="H371" i="11"/>
  <c r="H387" i="11"/>
  <c r="H403" i="11"/>
  <c r="H419" i="11"/>
  <c r="H435" i="11"/>
  <c r="H459" i="11"/>
  <c r="H475" i="11"/>
  <c r="H491" i="11"/>
  <c r="H507" i="11"/>
  <c r="H523" i="11"/>
  <c r="H539" i="11"/>
  <c r="H555" i="11"/>
  <c r="H571" i="11"/>
  <c r="H587" i="11"/>
  <c r="H60" i="11" l="1"/>
  <c r="B8" i="11" s="1"/>
  <c r="D8" i="11" l="1"/>
  <c r="E8" i="11" s="1"/>
  <c r="L15" i="11"/>
  <c r="M64" i="11" s="1"/>
  <c r="C8" i="11" l="1"/>
  <c r="R68" i="11"/>
  <c r="R73" i="11"/>
  <c r="R78" i="11"/>
  <c r="R84" i="11"/>
  <c r="R89" i="11"/>
  <c r="R94" i="11"/>
  <c r="R100" i="11"/>
  <c r="R105" i="11"/>
  <c r="R110" i="11"/>
  <c r="R116" i="11"/>
  <c r="R121" i="11"/>
  <c r="R126" i="11"/>
  <c r="R132" i="11"/>
  <c r="R137" i="11"/>
  <c r="R142" i="11"/>
  <c r="R148" i="11"/>
  <c r="R153" i="11"/>
  <c r="R158" i="11"/>
  <c r="R164" i="11"/>
  <c r="R169" i="11"/>
  <c r="R174" i="11"/>
  <c r="R180" i="11"/>
  <c r="R185" i="11"/>
  <c r="R190" i="11"/>
  <c r="R196" i="11"/>
  <c r="R201" i="11"/>
  <c r="R206" i="11"/>
  <c r="R212" i="11"/>
  <c r="R217" i="11"/>
  <c r="R222" i="11"/>
  <c r="R228" i="11"/>
  <c r="R233" i="11"/>
  <c r="R238" i="11"/>
  <c r="R244" i="11"/>
  <c r="R249" i="11"/>
  <c r="R254" i="11"/>
  <c r="R260" i="11"/>
  <c r="R265" i="11"/>
  <c r="R270" i="11"/>
  <c r="R276" i="11"/>
  <c r="R281" i="11"/>
  <c r="R286" i="11"/>
  <c r="R292" i="11"/>
  <c r="R297" i="11"/>
  <c r="R302" i="11"/>
  <c r="R308" i="11"/>
  <c r="R313" i="11"/>
  <c r="R318" i="11"/>
  <c r="R324" i="11"/>
  <c r="R329" i="11"/>
  <c r="R334" i="11"/>
  <c r="R340" i="11"/>
  <c r="R345" i="11"/>
  <c r="R350" i="11"/>
  <c r="R356" i="11"/>
  <c r="R361" i="11"/>
  <c r="R366" i="11"/>
  <c r="R372" i="11"/>
  <c r="R377" i="11"/>
  <c r="R382" i="11"/>
  <c r="R388" i="11"/>
  <c r="R393" i="11"/>
  <c r="R398" i="11"/>
  <c r="R404" i="11"/>
  <c r="R409" i="11"/>
  <c r="R414" i="11"/>
  <c r="R420" i="11"/>
  <c r="R425" i="11"/>
  <c r="R430" i="11"/>
  <c r="R436" i="11"/>
  <c r="R441" i="11"/>
  <c r="R446" i="11"/>
  <c r="R452" i="11"/>
  <c r="R457" i="11"/>
  <c r="R462" i="11"/>
  <c r="R468" i="11"/>
  <c r="R473" i="11"/>
  <c r="R478" i="11"/>
  <c r="R484" i="11"/>
  <c r="R489" i="11"/>
  <c r="R494" i="11"/>
  <c r="R500" i="11"/>
  <c r="R505" i="11"/>
  <c r="R510" i="11"/>
  <c r="R516" i="11"/>
  <c r="R521" i="11"/>
  <c r="R526" i="11"/>
  <c r="R532" i="11"/>
  <c r="R537" i="11"/>
  <c r="R542" i="11"/>
  <c r="R548" i="11"/>
  <c r="R553" i="11"/>
  <c r="R558" i="11"/>
  <c r="R564" i="11"/>
  <c r="R569" i="11"/>
  <c r="R574" i="11"/>
  <c r="R580" i="11"/>
  <c r="R585" i="11"/>
  <c r="R590" i="11"/>
  <c r="R596" i="11"/>
  <c r="R601" i="11"/>
  <c r="R69" i="11"/>
  <c r="R80" i="11"/>
  <c r="R90" i="11"/>
  <c r="R101" i="11"/>
  <c r="R112" i="11"/>
  <c r="R122" i="11"/>
  <c r="R133" i="11"/>
  <c r="R144" i="11"/>
  <c r="R154" i="11"/>
  <c r="R165" i="11"/>
  <c r="R176" i="11"/>
  <c r="R186" i="11"/>
  <c r="R197" i="11"/>
  <c r="R208" i="11"/>
  <c r="R218" i="11"/>
  <c r="R229" i="11"/>
  <c r="R240" i="11"/>
  <c r="R250" i="11"/>
  <c r="R261" i="11"/>
  <c r="R272" i="11"/>
  <c r="R282" i="11"/>
  <c r="R293" i="11"/>
  <c r="R304" i="11"/>
  <c r="R314" i="11"/>
  <c r="R325" i="11"/>
  <c r="R336" i="11"/>
  <c r="R346" i="11"/>
  <c r="R357" i="11"/>
  <c r="R368" i="11"/>
  <c r="R378" i="11"/>
  <c r="R389" i="11"/>
  <c r="R400" i="11"/>
  <c r="R410" i="11"/>
  <c r="R421" i="11"/>
  <c r="R432" i="11"/>
  <c r="R442" i="11"/>
  <c r="R453" i="11"/>
  <c r="R464" i="11"/>
  <c r="R474" i="11"/>
  <c r="R485" i="11"/>
  <c r="R496" i="11"/>
  <c r="R506" i="11"/>
  <c r="R517" i="11"/>
  <c r="R528" i="11"/>
  <c r="R538" i="11"/>
  <c r="R549" i="11"/>
  <c r="R560" i="11"/>
  <c r="R570" i="11"/>
  <c r="R581" i="11"/>
  <c r="R592" i="11"/>
  <c r="R602" i="11"/>
  <c r="R70" i="11"/>
  <c r="R81" i="11"/>
  <c r="R92" i="11"/>
  <c r="R102" i="11"/>
  <c r="R113" i="11"/>
  <c r="R124" i="11"/>
  <c r="R134" i="11"/>
  <c r="R145" i="11"/>
  <c r="R156" i="11"/>
  <c r="R166" i="11"/>
  <c r="R177" i="11"/>
  <c r="R198" i="11"/>
  <c r="R209" i="11"/>
  <c r="R220" i="11"/>
  <c r="R230" i="11"/>
  <c r="R241" i="11"/>
  <c r="R252" i="11"/>
  <c r="R262" i="11"/>
  <c r="R273" i="11"/>
  <c r="R294" i="11"/>
  <c r="R316" i="11"/>
  <c r="R326" i="11"/>
  <c r="R348" i="11"/>
  <c r="R369" i="11"/>
  <c r="R390" i="11"/>
  <c r="R412" i="11"/>
  <c r="R433" i="11"/>
  <c r="R454" i="11"/>
  <c r="R476" i="11"/>
  <c r="R497" i="11"/>
  <c r="R518" i="11"/>
  <c r="R529" i="11"/>
  <c r="R550" i="11"/>
  <c r="R572" i="11"/>
  <c r="R593" i="11"/>
  <c r="R85" i="11"/>
  <c r="R106" i="11"/>
  <c r="R128" i="11"/>
  <c r="R149" i="11"/>
  <c r="R170" i="11"/>
  <c r="R192" i="11"/>
  <c r="R213" i="11"/>
  <c r="R234" i="11"/>
  <c r="R256" i="11"/>
  <c r="R277" i="11"/>
  <c r="R298" i="11"/>
  <c r="R320" i="11"/>
  <c r="R341" i="11"/>
  <c r="R362" i="11"/>
  <c r="R373" i="11"/>
  <c r="R394" i="11"/>
  <c r="R416" i="11"/>
  <c r="R437" i="11"/>
  <c r="R458" i="11"/>
  <c r="R480" i="11"/>
  <c r="R501" i="11"/>
  <c r="R522" i="11"/>
  <c r="R533" i="11"/>
  <c r="R554" i="11"/>
  <c r="R576" i="11"/>
  <c r="R597" i="11"/>
  <c r="R76" i="11"/>
  <c r="R97" i="11"/>
  <c r="R118" i="11"/>
  <c r="R140" i="11"/>
  <c r="R150" i="11"/>
  <c r="R172" i="11"/>
  <c r="R193" i="11"/>
  <c r="R214" i="11"/>
  <c r="R236" i="11"/>
  <c r="R257" i="11"/>
  <c r="R278" i="11"/>
  <c r="R300" i="11"/>
  <c r="R321" i="11"/>
  <c r="R332" i="11"/>
  <c r="R353" i="11"/>
  <c r="R374" i="11"/>
  <c r="R396" i="11"/>
  <c r="R417" i="11"/>
  <c r="R438" i="11"/>
  <c r="R449" i="11"/>
  <c r="R470" i="11"/>
  <c r="R481" i="11"/>
  <c r="R502" i="11"/>
  <c r="R513" i="11"/>
  <c r="R534" i="11"/>
  <c r="R556" i="11"/>
  <c r="R577" i="11"/>
  <c r="R598" i="11"/>
  <c r="R188" i="11"/>
  <c r="R284" i="11"/>
  <c r="R305" i="11"/>
  <c r="R337" i="11"/>
  <c r="R358" i="11"/>
  <c r="R380" i="11"/>
  <c r="R401" i="11"/>
  <c r="R422" i="11"/>
  <c r="R444" i="11"/>
  <c r="R465" i="11"/>
  <c r="R486" i="11"/>
  <c r="R508" i="11"/>
  <c r="R540" i="11"/>
  <c r="R561" i="11"/>
  <c r="R582" i="11"/>
  <c r="R74" i="11"/>
  <c r="R96" i="11"/>
  <c r="R117" i="11"/>
  <c r="R138" i="11"/>
  <c r="R160" i="11"/>
  <c r="R181" i="11"/>
  <c r="R202" i="11"/>
  <c r="R224" i="11"/>
  <c r="R245" i="11"/>
  <c r="R266" i="11"/>
  <c r="R288" i="11"/>
  <c r="R309" i="11"/>
  <c r="R330" i="11"/>
  <c r="R352" i="11"/>
  <c r="R384" i="11"/>
  <c r="R405" i="11"/>
  <c r="R426" i="11"/>
  <c r="R448" i="11"/>
  <c r="R469" i="11"/>
  <c r="R490" i="11"/>
  <c r="R512" i="11"/>
  <c r="R544" i="11"/>
  <c r="R565" i="11"/>
  <c r="R586" i="11"/>
  <c r="R65" i="11"/>
  <c r="R86" i="11"/>
  <c r="R108" i="11"/>
  <c r="R129" i="11"/>
  <c r="R161" i="11"/>
  <c r="R182" i="11"/>
  <c r="R204" i="11"/>
  <c r="R225" i="11"/>
  <c r="R246" i="11"/>
  <c r="R268" i="11"/>
  <c r="R289" i="11"/>
  <c r="R310" i="11"/>
  <c r="R342" i="11"/>
  <c r="R364" i="11"/>
  <c r="R385" i="11"/>
  <c r="R406" i="11"/>
  <c r="R428" i="11"/>
  <c r="R460" i="11"/>
  <c r="R492" i="11"/>
  <c r="R524" i="11"/>
  <c r="R545" i="11"/>
  <c r="R566" i="11"/>
  <c r="R588" i="11"/>
  <c r="R75" i="11"/>
  <c r="R91" i="11"/>
  <c r="R107" i="11"/>
  <c r="R123" i="11"/>
  <c r="R139" i="11"/>
  <c r="R155" i="11"/>
  <c r="R171" i="11"/>
  <c r="R187" i="11"/>
  <c r="R203" i="11"/>
  <c r="R219" i="11"/>
  <c r="R235" i="11"/>
  <c r="R251" i="11"/>
  <c r="R267" i="11"/>
  <c r="R283" i="11"/>
  <c r="R299" i="11"/>
  <c r="R315" i="11"/>
  <c r="R331" i="11"/>
  <c r="R347" i="11"/>
  <c r="R363" i="11"/>
  <c r="R379" i="11"/>
  <c r="R395" i="11"/>
  <c r="R411" i="11"/>
  <c r="R427" i="11"/>
  <c r="R443" i="11"/>
  <c r="R459" i="11"/>
  <c r="R475" i="11"/>
  <c r="R491" i="11"/>
  <c r="R507" i="11"/>
  <c r="R523" i="11"/>
  <c r="R539" i="11"/>
  <c r="R555" i="11"/>
  <c r="R571" i="11"/>
  <c r="R587" i="11"/>
  <c r="R584" i="11"/>
  <c r="R562" i="11"/>
  <c r="R541" i="11"/>
  <c r="R520" i="11"/>
  <c r="R498" i="11"/>
  <c r="R477" i="11"/>
  <c r="R456" i="11"/>
  <c r="R434" i="11"/>
  <c r="R413" i="11"/>
  <c r="R392" i="11"/>
  <c r="R370" i="11"/>
  <c r="R349" i="11"/>
  <c r="R328" i="11"/>
  <c r="R306" i="11"/>
  <c r="R285" i="11"/>
  <c r="R264" i="11"/>
  <c r="R242" i="11"/>
  <c r="R221" i="11"/>
  <c r="R200" i="11"/>
  <c r="R178" i="11"/>
  <c r="R157" i="11"/>
  <c r="R136" i="11"/>
  <c r="R114" i="11"/>
  <c r="R93" i="11"/>
  <c r="R72" i="11"/>
  <c r="R71" i="11"/>
  <c r="R119" i="11"/>
  <c r="R151" i="11"/>
  <c r="R183" i="11"/>
  <c r="R215" i="11"/>
  <c r="R247" i="11"/>
  <c r="R279" i="11"/>
  <c r="R295" i="11"/>
  <c r="R327" i="11"/>
  <c r="R359" i="11"/>
  <c r="R391" i="11"/>
  <c r="R423" i="11"/>
  <c r="R455" i="11"/>
  <c r="R503" i="11"/>
  <c r="R535" i="11"/>
  <c r="R551" i="11"/>
  <c r="R599" i="11"/>
  <c r="R589" i="11"/>
  <c r="R568" i="11"/>
  <c r="R525" i="11"/>
  <c r="R482" i="11"/>
  <c r="R440" i="11"/>
  <c r="R397" i="11"/>
  <c r="R354" i="11"/>
  <c r="R312" i="11"/>
  <c r="R269" i="11"/>
  <c r="R226" i="11"/>
  <c r="R184" i="11"/>
  <c r="R141" i="11"/>
  <c r="R98" i="11"/>
  <c r="R79" i="11"/>
  <c r="R95" i="11"/>
  <c r="R111" i="11"/>
  <c r="R127" i="11"/>
  <c r="R143" i="11"/>
  <c r="R159" i="11"/>
  <c r="R175" i="11"/>
  <c r="R191" i="11"/>
  <c r="R207" i="11"/>
  <c r="R223" i="11"/>
  <c r="R239" i="11"/>
  <c r="R255" i="11"/>
  <c r="R271" i="11"/>
  <c r="R287" i="11"/>
  <c r="R303" i="11"/>
  <c r="R319" i="11"/>
  <c r="R335" i="11"/>
  <c r="R351" i="11"/>
  <c r="R367" i="11"/>
  <c r="R383" i="11"/>
  <c r="R399" i="11"/>
  <c r="R415" i="11"/>
  <c r="R431" i="11"/>
  <c r="R447" i="11"/>
  <c r="R463" i="11"/>
  <c r="R479" i="11"/>
  <c r="R495" i="11"/>
  <c r="R511" i="11"/>
  <c r="R527" i="11"/>
  <c r="R543" i="11"/>
  <c r="R559" i="11"/>
  <c r="R575" i="11"/>
  <c r="R591" i="11"/>
  <c r="R64" i="11"/>
  <c r="R600" i="11"/>
  <c r="R578" i="11"/>
  <c r="R557" i="11"/>
  <c r="R536" i="11"/>
  <c r="R514" i="11"/>
  <c r="R493" i="11"/>
  <c r="R472" i="11"/>
  <c r="R450" i="11"/>
  <c r="R429" i="11"/>
  <c r="R408" i="11"/>
  <c r="R386" i="11"/>
  <c r="R365" i="11"/>
  <c r="R344" i="11"/>
  <c r="R322" i="11"/>
  <c r="R301" i="11"/>
  <c r="R280" i="11"/>
  <c r="R258" i="11"/>
  <c r="R237" i="11"/>
  <c r="R216" i="11"/>
  <c r="R194" i="11"/>
  <c r="R173" i="11"/>
  <c r="R152" i="11"/>
  <c r="R130" i="11"/>
  <c r="R109" i="11"/>
  <c r="R88" i="11"/>
  <c r="R66" i="11"/>
  <c r="R67" i="11"/>
  <c r="R83" i="11"/>
  <c r="R99" i="11"/>
  <c r="R115" i="11"/>
  <c r="R131" i="11"/>
  <c r="R147" i="11"/>
  <c r="R163" i="11"/>
  <c r="R179" i="11"/>
  <c r="R195" i="11"/>
  <c r="R211" i="11"/>
  <c r="R227" i="11"/>
  <c r="R243" i="11"/>
  <c r="R259" i="11"/>
  <c r="R275" i="11"/>
  <c r="R291" i="11"/>
  <c r="R307" i="11"/>
  <c r="R323" i="11"/>
  <c r="R339" i="11"/>
  <c r="R355" i="11"/>
  <c r="R371" i="11"/>
  <c r="R387" i="11"/>
  <c r="R403" i="11"/>
  <c r="R419" i="11"/>
  <c r="R435" i="11"/>
  <c r="R451" i="11"/>
  <c r="R467" i="11"/>
  <c r="R483" i="11"/>
  <c r="R499" i="11"/>
  <c r="R515" i="11"/>
  <c r="R531" i="11"/>
  <c r="R547" i="11"/>
  <c r="R563" i="11"/>
  <c r="R579" i="11"/>
  <c r="R595" i="11"/>
  <c r="R594" i="11"/>
  <c r="R573" i="11"/>
  <c r="R552" i="11"/>
  <c r="R530" i="11"/>
  <c r="R509" i="11"/>
  <c r="R488" i="11"/>
  <c r="R466" i="11"/>
  <c r="R445" i="11"/>
  <c r="R424" i="11"/>
  <c r="R402" i="11"/>
  <c r="R381" i="11"/>
  <c r="R360" i="11"/>
  <c r="R338" i="11"/>
  <c r="R317" i="11"/>
  <c r="R296" i="11"/>
  <c r="R274" i="11"/>
  <c r="R253" i="11"/>
  <c r="R232" i="11"/>
  <c r="R210" i="11"/>
  <c r="R189" i="11"/>
  <c r="R168" i="11"/>
  <c r="R146" i="11"/>
  <c r="R125" i="11"/>
  <c r="R104" i="11"/>
  <c r="R82" i="11"/>
  <c r="R87" i="11"/>
  <c r="R103" i="11"/>
  <c r="R135" i="11"/>
  <c r="R167" i="11"/>
  <c r="R199" i="11"/>
  <c r="R231" i="11"/>
  <c r="R263" i="11"/>
  <c r="R311" i="11"/>
  <c r="R343" i="11"/>
  <c r="R375" i="11"/>
  <c r="R407" i="11"/>
  <c r="R439" i="11"/>
  <c r="R471" i="11"/>
  <c r="R487" i="11"/>
  <c r="R519" i="11"/>
  <c r="R567" i="11"/>
  <c r="R583" i="11"/>
  <c r="R546" i="11"/>
  <c r="R504" i="11"/>
  <c r="R461" i="11"/>
  <c r="R418" i="11"/>
  <c r="R376" i="11"/>
  <c r="R333" i="11"/>
  <c r="R290" i="11"/>
  <c r="R248" i="11"/>
  <c r="R205" i="11"/>
  <c r="R162" i="11"/>
  <c r="R120" i="11"/>
  <c r="R77" i="11"/>
  <c r="L16" i="11"/>
  <c r="M65" i="11" s="1"/>
  <c r="Q64" i="11" l="1"/>
  <c r="B15" i="11" s="1"/>
  <c r="B77" i="10" s="1"/>
  <c r="S78" i="11"/>
  <c r="S126" i="11"/>
  <c r="S146" i="11"/>
  <c r="S162" i="11"/>
  <c r="S178" i="11"/>
  <c r="S194" i="11"/>
  <c r="S210" i="11"/>
  <c r="S226" i="11"/>
  <c r="S242" i="11"/>
  <c r="S258" i="11"/>
  <c r="S282" i="11"/>
  <c r="S298" i="11"/>
  <c r="S383" i="11"/>
  <c r="S94" i="11"/>
  <c r="S110" i="11"/>
  <c r="S138" i="11"/>
  <c r="S154" i="11"/>
  <c r="S170" i="11"/>
  <c r="S186" i="11"/>
  <c r="S202" i="11"/>
  <c r="S218" i="11"/>
  <c r="S234" i="11"/>
  <c r="S250" i="11"/>
  <c r="S266" i="11"/>
  <c r="S274" i="11"/>
  <c r="S290" i="11"/>
  <c r="S306" i="11"/>
  <c r="S111" i="11"/>
  <c r="S155" i="11"/>
  <c r="S187" i="11"/>
  <c r="S219" i="11"/>
  <c r="S251" i="11"/>
  <c r="S283" i="11"/>
  <c r="S314" i="11"/>
  <c r="S330" i="11"/>
  <c r="S346" i="11"/>
  <c r="S362" i="11"/>
  <c r="S378" i="11"/>
  <c r="S394" i="11"/>
  <c r="S410" i="11"/>
  <c r="S426" i="11"/>
  <c r="S441" i="11"/>
  <c r="S451" i="11"/>
  <c r="S462" i="11"/>
  <c r="S473" i="11"/>
  <c r="S483" i="11"/>
  <c r="S494" i="11"/>
  <c r="S505" i="11"/>
  <c r="S515" i="11"/>
  <c r="S526" i="11"/>
  <c r="S537" i="11"/>
  <c r="S547" i="11"/>
  <c r="S558" i="11"/>
  <c r="S569" i="11"/>
  <c r="S579" i="11"/>
  <c r="S590" i="11"/>
  <c r="S601" i="11"/>
  <c r="S127" i="11"/>
  <c r="S163" i="11"/>
  <c r="S195" i="11"/>
  <c r="S227" i="11"/>
  <c r="S259" i="11"/>
  <c r="S291" i="11"/>
  <c r="S315" i="11"/>
  <c r="S331" i="11"/>
  <c r="S347" i="11"/>
  <c r="S363" i="11"/>
  <c r="S379" i="11"/>
  <c r="S395" i="11"/>
  <c r="S411" i="11"/>
  <c r="S427" i="11"/>
  <c r="S442" i="11"/>
  <c r="S453" i="11"/>
  <c r="S463" i="11"/>
  <c r="S474" i="11"/>
  <c r="S485" i="11"/>
  <c r="S495" i="11"/>
  <c r="S506" i="11"/>
  <c r="S517" i="11"/>
  <c r="S527" i="11"/>
  <c r="S538" i="11"/>
  <c r="S549" i="11"/>
  <c r="S559" i="11"/>
  <c r="S570" i="11"/>
  <c r="S581" i="11"/>
  <c r="S591" i="11"/>
  <c r="S602" i="11"/>
  <c r="S139" i="11"/>
  <c r="S203" i="11"/>
  <c r="S267" i="11"/>
  <c r="S322" i="11"/>
  <c r="S354" i="11"/>
  <c r="S386" i="11"/>
  <c r="S434" i="11"/>
  <c r="S457" i="11"/>
  <c r="S478" i="11"/>
  <c r="S489" i="11"/>
  <c r="S510" i="11"/>
  <c r="S531" i="11"/>
  <c r="S553" i="11"/>
  <c r="S574" i="11"/>
  <c r="S595" i="11"/>
  <c r="S64" i="11"/>
  <c r="S147" i="11"/>
  <c r="S211" i="11"/>
  <c r="S275" i="11"/>
  <c r="S307" i="11"/>
  <c r="S339" i="11"/>
  <c r="S371" i="11"/>
  <c r="S403" i="11"/>
  <c r="S435" i="11"/>
  <c r="S447" i="11"/>
  <c r="S469" i="11"/>
  <c r="S490" i="11"/>
  <c r="S511" i="11"/>
  <c r="S533" i="11"/>
  <c r="S554" i="11"/>
  <c r="S575" i="11"/>
  <c r="S586" i="11"/>
  <c r="S79" i="11"/>
  <c r="S171" i="11"/>
  <c r="S235" i="11"/>
  <c r="S299" i="11"/>
  <c r="S338" i="11"/>
  <c r="S370" i="11"/>
  <c r="S402" i="11"/>
  <c r="S418" i="11"/>
  <c r="S446" i="11"/>
  <c r="S467" i="11"/>
  <c r="S499" i="11"/>
  <c r="S521" i="11"/>
  <c r="S542" i="11"/>
  <c r="S563" i="11"/>
  <c r="S585" i="11"/>
  <c r="S95" i="11"/>
  <c r="S179" i="11"/>
  <c r="S243" i="11"/>
  <c r="S323" i="11"/>
  <c r="S355" i="11"/>
  <c r="S387" i="11"/>
  <c r="S419" i="11"/>
  <c r="S458" i="11"/>
  <c r="S479" i="11"/>
  <c r="S501" i="11"/>
  <c r="S522" i="11"/>
  <c r="S543" i="11"/>
  <c r="S565" i="11"/>
  <c r="S597" i="11"/>
  <c r="S71" i="11"/>
  <c r="S375" i="11"/>
  <c r="S343" i="11"/>
  <c r="S311" i="11"/>
  <c r="S279" i="11"/>
  <c r="S247" i="11"/>
  <c r="S215" i="11"/>
  <c r="S183" i="11"/>
  <c r="S151" i="11"/>
  <c r="S103" i="11"/>
  <c r="S76" i="11"/>
  <c r="S92" i="11"/>
  <c r="S108" i="11"/>
  <c r="S124" i="11"/>
  <c r="S69" i="11"/>
  <c r="S85" i="11"/>
  <c r="S101" i="11"/>
  <c r="S117" i="11"/>
  <c r="S133" i="11"/>
  <c r="S90" i="11"/>
  <c r="S122" i="11"/>
  <c r="S144" i="11"/>
  <c r="S160" i="11"/>
  <c r="S367" i="11"/>
  <c r="S335" i="11"/>
  <c r="S303" i="11"/>
  <c r="S271" i="11"/>
  <c r="S239" i="11"/>
  <c r="S207" i="11"/>
  <c r="S175" i="11"/>
  <c r="S143" i="11"/>
  <c r="S87" i="11"/>
  <c r="S80" i="11"/>
  <c r="S96" i="11"/>
  <c r="S112" i="11"/>
  <c r="S128" i="11"/>
  <c r="S73" i="11"/>
  <c r="S89" i="11"/>
  <c r="S105" i="11"/>
  <c r="S121" i="11"/>
  <c r="S66" i="11"/>
  <c r="S98" i="11"/>
  <c r="S130" i="11"/>
  <c r="S148" i="11"/>
  <c r="S164" i="11"/>
  <c r="S180" i="11"/>
  <c r="S196" i="11"/>
  <c r="S212" i="11"/>
  <c r="S228" i="11"/>
  <c r="S244" i="11"/>
  <c r="S260" i="11"/>
  <c r="S276" i="11"/>
  <c r="S292" i="11"/>
  <c r="S308" i="11"/>
  <c r="S324" i="11"/>
  <c r="S340" i="11"/>
  <c r="S356" i="11"/>
  <c r="S372" i="11"/>
  <c r="S388" i="11"/>
  <c r="S404" i="11"/>
  <c r="S420" i="11"/>
  <c r="S436" i="11"/>
  <c r="S452" i="11"/>
  <c r="S468" i="11"/>
  <c r="S484" i="11"/>
  <c r="S500" i="11"/>
  <c r="S516" i="11"/>
  <c r="S532" i="11"/>
  <c r="S548" i="11"/>
  <c r="S564" i="11"/>
  <c r="S580" i="11"/>
  <c r="S596" i="11"/>
  <c r="S83" i="11"/>
  <c r="S115" i="11"/>
  <c r="S141" i="11"/>
  <c r="S157" i="11"/>
  <c r="S173" i="11"/>
  <c r="S189" i="11"/>
  <c r="S205" i="11"/>
  <c r="S221" i="11"/>
  <c r="S237" i="11"/>
  <c r="S253" i="11"/>
  <c r="S269" i="11"/>
  <c r="S285" i="11"/>
  <c r="S301" i="11"/>
  <c r="S317" i="11"/>
  <c r="S333" i="11"/>
  <c r="S349" i="11"/>
  <c r="S327" i="11"/>
  <c r="S263" i="11"/>
  <c r="S199" i="11"/>
  <c r="S135" i="11"/>
  <c r="S84" i="11"/>
  <c r="S116" i="11"/>
  <c r="S77" i="11"/>
  <c r="S109" i="11"/>
  <c r="S74" i="11"/>
  <c r="S136" i="11"/>
  <c r="S168" i="11"/>
  <c r="S188" i="11"/>
  <c r="S208" i="11"/>
  <c r="S232" i="11"/>
  <c r="S252" i="11"/>
  <c r="S272" i="11"/>
  <c r="S296" i="11"/>
  <c r="S316" i="11"/>
  <c r="S336" i="11"/>
  <c r="S360" i="11"/>
  <c r="S380" i="11"/>
  <c r="S400" i="11"/>
  <c r="S424" i="11"/>
  <c r="S444" i="11"/>
  <c r="S464" i="11"/>
  <c r="S488" i="11"/>
  <c r="S508" i="11"/>
  <c r="S528" i="11"/>
  <c r="S552" i="11"/>
  <c r="S572" i="11"/>
  <c r="S592" i="11"/>
  <c r="S99" i="11"/>
  <c r="S137" i="11"/>
  <c r="S161" i="11"/>
  <c r="S181" i="11"/>
  <c r="S201" i="11"/>
  <c r="S225" i="11"/>
  <c r="S245" i="11"/>
  <c r="S265" i="11"/>
  <c r="S289" i="11"/>
  <c r="S309" i="11"/>
  <c r="S329" i="11"/>
  <c r="S353" i="11"/>
  <c r="S369" i="11"/>
  <c r="S385" i="11"/>
  <c r="S401" i="11"/>
  <c r="S417" i="11"/>
  <c r="S433" i="11"/>
  <c r="S583" i="11"/>
  <c r="S562" i="11"/>
  <c r="S541" i="11"/>
  <c r="S519" i="11"/>
  <c r="S498" i="11"/>
  <c r="S477" i="11"/>
  <c r="S455" i="11"/>
  <c r="S431" i="11"/>
  <c r="S399" i="11"/>
  <c r="S582" i="11"/>
  <c r="S561" i="11"/>
  <c r="S539" i="11"/>
  <c r="S518" i="11"/>
  <c r="S497" i="11"/>
  <c r="S475" i="11"/>
  <c r="S454" i="11"/>
  <c r="S430" i="11"/>
  <c r="S398" i="11"/>
  <c r="S366" i="11"/>
  <c r="S334" i="11"/>
  <c r="S302" i="11"/>
  <c r="S270" i="11"/>
  <c r="S238" i="11"/>
  <c r="S206" i="11"/>
  <c r="S174" i="11"/>
  <c r="S142" i="11"/>
  <c r="S86" i="11"/>
  <c r="S351" i="11"/>
  <c r="S223" i="11"/>
  <c r="S72" i="11"/>
  <c r="S97" i="11"/>
  <c r="S114" i="11"/>
  <c r="S184" i="11"/>
  <c r="S224" i="11"/>
  <c r="S268" i="11"/>
  <c r="S312" i="11"/>
  <c r="S352" i="11"/>
  <c r="S396" i="11"/>
  <c r="S440" i="11"/>
  <c r="S480" i="11"/>
  <c r="S524" i="11"/>
  <c r="S568" i="11"/>
  <c r="S131" i="11"/>
  <c r="S177" i="11"/>
  <c r="S217" i="11"/>
  <c r="S261" i="11"/>
  <c r="S305" i="11"/>
  <c r="S345" i="11"/>
  <c r="S381" i="11"/>
  <c r="S413" i="11"/>
  <c r="S567" i="11"/>
  <c r="S525" i="11"/>
  <c r="S482" i="11"/>
  <c r="S439" i="11"/>
  <c r="S566" i="11"/>
  <c r="S523" i="11"/>
  <c r="S481" i="11"/>
  <c r="S438" i="11"/>
  <c r="S374" i="11"/>
  <c r="S310" i="11"/>
  <c r="S246" i="11"/>
  <c r="S182" i="11"/>
  <c r="S102" i="11"/>
  <c r="S319" i="11"/>
  <c r="S255" i="11"/>
  <c r="S191" i="11"/>
  <c r="S119" i="11"/>
  <c r="S88" i="11"/>
  <c r="S120" i="11"/>
  <c r="S81" i="11"/>
  <c r="S113" i="11"/>
  <c r="S82" i="11"/>
  <c r="S140" i="11"/>
  <c r="S172" i="11"/>
  <c r="S192" i="11"/>
  <c r="S216" i="11"/>
  <c r="S236" i="11"/>
  <c r="S256" i="11"/>
  <c r="S280" i="11"/>
  <c r="S300" i="11"/>
  <c r="S320" i="11"/>
  <c r="S344" i="11"/>
  <c r="S364" i="11"/>
  <c r="S384" i="11"/>
  <c r="S408" i="11"/>
  <c r="S428" i="11"/>
  <c r="S448" i="11"/>
  <c r="S472" i="11"/>
  <c r="S492" i="11"/>
  <c r="S512" i="11"/>
  <c r="S536" i="11"/>
  <c r="S556" i="11"/>
  <c r="S576" i="11"/>
  <c r="S600" i="11"/>
  <c r="S67" i="11"/>
  <c r="S107" i="11"/>
  <c r="S145" i="11"/>
  <c r="S165" i="11"/>
  <c r="S185" i="11"/>
  <c r="S209" i="11"/>
  <c r="S229" i="11"/>
  <c r="S249" i="11"/>
  <c r="S273" i="11"/>
  <c r="S293" i="11"/>
  <c r="S313" i="11"/>
  <c r="S337" i="11"/>
  <c r="S357" i="11"/>
  <c r="S373" i="11"/>
  <c r="S389" i="11"/>
  <c r="S405" i="11"/>
  <c r="S421" i="11"/>
  <c r="S437" i="11"/>
  <c r="S599" i="11"/>
  <c r="S578" i="11"/>
  <c r="S557" i="11"/>
  <c r="S535" i="11"/>
  <c r="S514" i="11"/>
  <c r="S493" i="11"/>
  <c r="S471" i="11"/>
  <c r="S450" i="11"/>
  <c r="S423" i="11"/>
  <c r="S391" i="11"/>
  <c r="S598" i="11"/>
  <c r="S577" i="11"/>
  <c r="S555" i="11"/>
  <c r="S534" i="11"/>
  <c r="S513" i="11"/>
  <c r="S491" i="11"/>
  <c r="S470" i="11"/>
  <c r="S449" i="11"/>
  <c r="S422" i="11"/>
  <c r="S390" i="11"/>
  <c r="S358" i="11"/>
  <c r="S326" i="11"/>
  <c r="S294" i="11"/>
  <c r="S262" i="11"/>
  <c r="S230" i="11"/>
  <c r="S198" i="11"/>
  <c r="S166" i="11"/>
  <c r="S134" i="11"/>
  <c r="S70" i="11"/>
  <c r="S359" i="11"/>
  <c r="S295" i="11"/>
  <c r="S231" i="11"/>
  <c r="S167" i="11"/>
  <c r="S68" i="11"/>
  <c r="S100" i="11"/>
  <c r="S132" i="11"/>
  <c r="S93" i="11"/>
  <c r="S125" i="11"/>
  <c r="S106" i="11"/>
  <c r="S152" i="11"/>
  <c r="S176" i="11"/>
  <c r="S200" i="11"/>
  <c r="S220" i="11"/>
  <c r="S240" i="11"/>
  <c r="S264" i="11"/>
  <c r="S284" i="11"/>
  <c r="S304" i="11"/>
  <c r="S328" i="11"/>
  <c r="S348" i="11"/>
  <c r="S368" i="11"/>
  <c r="S392" i="11"/>
  <c r="S412" i="11"/>
  <c r="S432" i="11"/>
  <c r="S456" i="11"/>
  <c r="S476" i="11"/>
  <c r="S496" i="11"/>
  <c r="S520" i="11"/>
  <c r="S540" i="11"/>
  <c r="S560" i="11"/>
  <c r="S584" i="11"/>
  <c r="S75" i="11"/>
  <c r="S123" i="11"/>
  <c r="S149" i="11"/>
  <c r="S169" i="11"/>
  <c r="S193" i="11"/>
  <c r="S213" i="11"/>
  <c r="S233" i="11"/>
  <c r="S257" i="11"/>
  <c r="S277" i="11"/>
  <c r="S297" i="11"/>
  <c r="S321" i="11"/>
  <c r="S341" i="11"/>
  <c r="S361" i="11"/>
  <c r="S377" i="11"/>
  <c r="S393" i="11"/>
  <c r="S409" i="11"/>
  <c r="S425" i="11"/>
  <c r="S594" i="11"/>
  <c r="S573" i="11"/>
  <c r="S551" i="11"/>
  <c r="S530" i="11"/>
  <c r="S509" i="11"/>
  <c r="S487" i="11"/>
  <c r="S466" i="11"/>
  <c r="S445" i="11"/>
  <c r="S415" i="11"/>
  <c r="S593" i="11"/>
  <c r="S571" i="11"/>
  <c r="S550" i="11"/>
  <c r="S529" i="11"/>
  <c r="S507" i="11"/>
  <c r="S486" i="11"/>
  <c r="S465" i="11"/>
  <c r="S443" i="11"/>
  <c r="S414" i="11"/>
  <c r="S382" i="11"/>
  <c r="S350" i="11"/>
  <c r="S318" i="11"/>
  <c r="S286" i="11"/>
  <c r="S254" i="11"/>
  <c r="S222" i="11"/>
  <c r="S190" i="11"/>
  <c r="S158" i="11"/>
  <c r="S118" i="11"/>
  <c r="S287" i="11"/>
  <c r="S159" i="11"/>
  <c r="S104" i="11"/>
  <c r="S65" i="11"/>
  <c r="S129" i="11"/>
  <c r="S156" i="11"/>
  <c r="S204" i="11"/>
  <c r="S248" i="11"/>
  <c r="S288" i="11"/>
  <c r="S332" i="11"/>
  <c r="S376" i="11"/>
  <c r="S416" i="11"/>
  <c r="S460" i="11"/>
  <c r="S504" i="11"/>
  <c r="S544" i="11"/>
  <c r="S588" i="11"/>
  <c r="S91" i="11"/>
  <c r="S153" i="11"/>
  <c r="S197" i="11"/>
  <c r="S241" i="11"/>
  <c r="S281" i="11"/>
  <c r="S325" i="11"/>
  <c r="S365" i="11"/>
  <c r="S397" i="11"/>
  <c r="S429" i="11"/>
  <c r="S589" i="11"/>
  <c r="S546" i="11"/>
  <c r="S503" i="11"/>
  <c r="S461" i="11"/>
  <c r="S407" i="11"/>
  <c r="S587" i="11"/>
  <c r="S545" i="11"/>
  <c r="S502" i="11"/>
  <c r="S459" i="11"/>
  <c r="S406" i="11"/>
  <c r="S342" i="11"/>
  <c r="S278" i="11"/>
  <c r="S214" i="11"/>
  <c r="S150" i="11"/>
  <c r="L18" i="11"/>
  <c r="M67" i="11" s="1"/>
  <c r="L17" i="11"/>
  <c r="M66" i="11" s="1"/>
  <c r="Q65" i="11" l="1"/>
  <c r="B16" i="11" s="1"/>
  <c r="C77" i="10" s="1"/>
  <c r="T66" i="11"/>
  <c r="T82" i="11"/>
  <c r="T98" i="11"/>
  <c r="T114" i="11"/>
  <c r="T130" i="11"/>
  <c r="T146" i="11"/>
  <c r="T162" i="11"/>
  <c r="T178" i="11"/>
  <c r="T194" i="11"/>
  <c r="T210" i="11"/>
  <c r="T226" i="11"/>
  <c r="T242" i="11"/>
  <c r="T258" i="11"/>
  <c r="T274" i="11"/>
  <c r="T290" i="11"/>
  <c r="T306" i="11"/>
  <c r="T322" i="11"/>
  <c r="T338" i="11"/>
  <c r="T354" i="11"/>
  <c r="T370" i="11"/>
  <c r="T386" i="11"/>
  <c r="T402" i="11"/>
  <c r="T418" i="11"/>
  <c r="T434" i="11"/>
  <c r="T450" i="11"/>
  <c r="T466" i="11"/>
  <c r="T482" i="11"/>
  <c r="T498" i="11"/>
  <c r="T514" i="11"/>
  <c r="T85" i="11"/>
  <c r="T107" i="11"/>
  <c r="T128" i="11"/>
  <c r="T149" i="11"/>
  <c r="T171" i="11"/>
  <c r="T192" i="11"/>
  <c r="T213" i="11"/>
  <c r="T235" i="11"/>
  <c r="T256" i="11"/>
  <c r="T277" i="11"/>
  <c r="T299" i="11"/>
  <c r="T320" i="11"/>
  <c r="T341" i="11"/>
  <c r="T363" i="11"/>
  <c r="T384" i="11"/>
  <c r="T405" i="11"/>
  <c r="T427" i="11"/>
  <c r="T448" i="11"/>
  <c r="T469" i="11"/>
  <c r="T491" i="11"/>
  <c r="T512" i="11"/>
  <c r="T529" i="11"/>
  <c r="T545" i="11"/>
  <c r="T561" i="11"/>
  <c r="T577" i="11"/>
  <c r="T593" i="11"/>
  <c r="T71" i="11"/>
  <c r="T92" i="11"/>
  <c r="T113" i="11"/>
  <c r="T135" i="11"/>
  <c r="T156" i="11"/>
  <c r="T177" i="11"/>
  <c r="T199" i="11"/>
  <c r="T220" i="11"/>
  <c r="T241" i="11"/>
  <c r="T263" i="11"/>
  <c r="T284" i="11"/>
  <c r="T305" i="11"/>
  <c r="T327" i="11"/>
  <c r="T348" i="11"/>
  <c r="T369" i="11"/>
  <c r="T391" i="11"/>
  <c r="T412" i="11"/>
  <c r="T433" i="11"/>
  <c r="T455" i="11"/>
  <c r="T476" i="11"/>
  <c r="T497" i="11"/>
  <c r="T518" i="11"/>
  <c r="T534" i="11"/>
  <c r="T550" i="11"/>
  <c r="T566" i="11"/>
  <c r="T582" i="11"/>
  <c r="T598" i="11"/>
  <c r="T99" i="11"/>
  <c r="T141" i="11"/>
  <c r="T184" i="11"/>
  <c r="T227" i="11"/>
  <c r="T269" i="11"/>
  <c r="T312" i="11"/>
  <c r="T355" i="11"/>
  <c r="T397" i="11"/>
  <c r="T440" i="11"/>
  <c r="T483" i="11"/>
  <c r="T523" i="11"/>
  <c r="T555" i="11"/>
  <c r="T587" i="11"/>
  <c r="T68" i="11"/>
  <c r="T111" i="11"/>
  <c r="T153" i="11"/>
  <c r="T196" i="11"/>
  <c r="T239" i="11"/>
  <c r="T281" i="11"/>
  <c r="T324" i="11"/>
  <c r="T367" i="11"/>
  <c r="T409" i="11"/>
  <c r="T452" i="11"/>
  <c r="T495" i="11"/>
  <c r="T532" i="11"/>
  <c r="T564" i="11"/>
  <c r="T596" i="11"/>
  <c r="T104" i="11"/>
  <c r="T189" i="11"/>
  <c r="T275" i="11"/>
  <c r="T360" i="11"/>
  <c r="T445" i="11"/>
  <c r="T527" i="11"/>
  <c r="T591" i="11"/>
  <c r="T136" i="11"/>
  <c r="T221" i="11"/>
  <c r="T328" i="11"/>
  <c r="T499" i="11"/>
  <c r="T84" i="11"/>
  <c r="T169" i="11"/>
  <c r="T255" i="11"/>
  <c r="T340" i="11"/>
  <c r="T425" i="11"/>
  <c r="T511" i="11"/>
  <c r="T576" i="11"/>
  <c r="T307" i="11"/>
  <c r="T477" i="11"/>
  <c r="T73" i="11"/>
  <c r="T95" i="11"/>
  <c r="T308" i="11"/>
  <c r="T457" i="11"/>
  <c r="T116" i="11"/>
  <c r="T70" i="11"/>
  <c r="T86" i="11"/>
  <c r="T102" i="11"/>
  <c r="T118" i="11"/>
  <c r="T134" i="11"/>
  <c r="T150" i="11"/>
  <c r="T166" i="11"/>
  <c r="T182" i="11"/>
  <c r="T198" i="11"/>
  <c r="T214" i="11"/>
  <c r="T230" i="11"/>
  <c r="T246" i="11"/>
  <c r="T262" i="11"/>
  <c r="T278" i="11"/>
  <c r="T294" i="11"/>
  <c r="T310" i="11"/>
  <c r="T326" i="11"/>
  <c r="T342" i="11"/>
  <c r="T358" i="11"/>
  <c r="T374" i="11"/>
  <c r="T390" i="11"/>
  <c r="T406" i="11"/>
  <c r="T422" i="11"/>
  <c r="T438" i="11"/>
  <c r="T454" i="11"/>
  <c r="T470" i="11"/>
  <c r="T486" i="11"/>
  <c r="T502" i="11"/>
  <c r="T69" i="11"/>
  <c r="T91" i="11"/>
  <c r="T112" i="11"/>
  <c r="T133" i="11"/>
  <c r="T155" i="11"/>
  <c r="T176" i="11"/>
  <c r="T197" i="11"/>
  <c r="T219" i="11"/>
  <c r="T240" i="11"/>
  <c r="T261" i="11"/>
  <c r="T283" i="11"/>
  <c r="T304" i="11"/>
  <c r="T325" i="11"/>
  <c r="T347" i="11"/>
  <c r="T368" i="11"/>
  <c r="T389" i="11"/>
  <c r="T411" i="11"/>
  <c r="T432" i="11"/>
  <c r="T453" i="11"/>
  <c r="T475" i="11"/>
  <c r="T496" i="11"/>
  <c r="T517" i="11"/>
  <c r="T533" i="11"/>
  <c r="T549" i="11"/>
  <c r="T565" i="11"/>
  <c r="T581" i="11"/>
  <c r="T597" i="11"/>
  <c r="T76" i="11"/>
  <c r="T97" i="11"/>
  <c r="T119" i="11"/>
  <c r="T140" i="11"/>
  <c r="T161" i="11"/>
  <c r="T183" i="11"/>
  <c r="T204" i="11"/>
  <c r="T225" i="11"/>
  <c r="T247" i="11"/>
  <c r="T268" i="11"/>
  <c r="T289" i="11"/>
  <c r="T311" i="11"/>
  <c r="T332" i="11"/>
  <c r="T353" i="11"/>
  <c r="T375" i="11"/>
  <c r="T396" i="11"/>
  <c r="T417" i="11"/>
  <c r="T439" i="11"/>
  <c r="T460" i="11"/>
  <c r="T481" i="11"/>
  <c r="T503" i="11"/>
  <c r="T522" i="11"/>
  <c r="T538" i="11"/>
  <c r="T554" i="11"/>
  <c r="T570" i="11"/>
  <c r="T586" i="11"/>
  <c r="T602" i="11"/>
  <c r="T67" i="11"/>
  <c r="T109" i="11"/>
  <c r="T152" i="11"/>
  <c r="T195" i="11"/>
  <c r="T237" i="11"/>
  <c r="T280" i="11"/>
  <c r="T323" i="11"/>
  <c r="T365" i="11"/>
  <c r="T408" i="11"/>
  <c r="T451" i="11"/>
  <c r="T493" i="11"/>
  <c r="T531" i="11"/>
  <c r="T563" i="11"/>
  <c r="T595" i="11"/>
  <c r="T79" i="11"/>
  <c r="T121" i="11"/>
  <c r="T164" i="11"/>
  <c r="T207" i="11"/>
  <c r="T249" i="11"/>
  <c r="T292" i="11"/>
  <c r="T335" i="11"/>
  <c r="T377" i="11"/>
  <c r="T420" i="11"/>
  <c r="T463" i="11"/>
  <c r="T505" i="11"/>
  <c r="T540" i="11"/>
  <c r="T572" i="11"/>
  <c r="T125" i="11"/>
  <c r="T211" i="11"/>
  <c r="T296" i="11"/>
  <c r="T381" i="11"/>
  <c r="T467" i="11"/>
  <c r="T543" i="11"/>
  <c r="T157" i="11"/>
  <c r="T243" i="11"/>
  <c r="T371" i="11"/>
  <c r="T535" i="11"/>
  <c r="T105" i="11"/>
  <c r="T191" i="11"/>
  <c r="T276" i="11"/>
  <c r="T361" i="11"/>
  <c r="T447" i="11"/>
  <c r="T528" i="11"/>
  <c r="T592" i="11"/>
  <c r="T349" i="11"/>
  <c r="T519" i="11"/>
  <c r="T520" i="11"/>
  <c r="T500" i="11"/>
  <c r="T584" i="11"/>
  <c r="T568" i="11"/>
  <c r="T552" i="11"/>
  <c r="T223" i="11"/>
  <c r="T372" i="11"/>
  <c r="T74" i="11"/>
  <c r="T106" i="11"/>
  <c r="T138" i="11"/>
  <c r="T170" i="11"/>
  <c r="T202" i="11"/>
  <c r="T234" i="11"/>
  <c r="T266" i="11"/>
  <c r="T298" i="11"/>
  <c r="T330" i="11"/>
  <c r="T362" i="11"/>
  <c r="T394" i="11"/>
  <c r="T426" i="11"/>
  <c r="T458" i="11"/>
  <c r="T490" i="11"/>
  <c r="T75" i="11"/>
  <c r="T117" i="11"/>
  <c r="T160" i="11"/>
  <c r="T203" i="11"/>
  <c r="T245" i="11"/>
  <c r="T288" i="11"/>
  <c r="T331" i="11"/>
  <c r="T373" i="11"/>
  <c r="T416" i="11"/>
  <c r="T459" i="11"/>
  <c r="T501" i="11"/>
  <c r="T537" i="11"/>
  <c r="T569" i="11"/>
  <c r="T601" i="11"/>
  <c r="T81" i="11"/>
  <c r="T124" i="11"/>
  <c r="T167" i="11"/>
  <c r="T209" i="11"/>
  <c r="T252" i="11"/>
  <c r="T295" i="11"/>
  <c r="T337" i="11"/>
  <c r="T380" i="11"/>
  <c r="T423" i="11"/>
  <c r="T465" i="11"/>
  <c r="T508" i="11"/>
  <c r="T542" i="11"/>
  <c r="T574" i="11"/>
  <c r="T120" i="11"/>
  <c r="T205" i="11"/>
  <c r="T291" i="11"/>
  <c r="T376" i="11"/>
  <c r="T461" i="11"/>
  <c r="T539" i="11"/>
  <c r="T132" i="11"/>
  <c r="T217" i="11"/>
  <c r="T303" i="11"/>
  <c r="T388" i="11"/>
  <c r="T473" i="11"/>
  <c r="T548" i="11"/>
  <c r="T232" i="11"/>
  <c r="T403" i="11"/>
  <c r="T559" i="11"/>
  <c r="T179" i="11"/>
  <c r="T413" i="11"/>
  <c r="T127" i="11"/>
  <c r="T297" i="11"/>
  <c r="T468" i="11"/>
  <c r="T551" i="11"/>
  <c r="T329" i="11"/>
  <c r="T415" i="11"/>
  <c r="T137" i="11"/>
  <c r="T600" i="11"/>
  <c r="T122" i="11"/>
  <c r="T282" i="11"/>
  <c r="T346" i="11"/>
  <c r="T410" i="11"/>
  <c r="T474" i="11"/>
  <c r="T96" i="11"/>
  <c r="T181" i="11"/>
  <c r="T267" i="11"/>
  <c r="T352" i="11"/>
  <c r="T437" i="11"/>
  <c r="T521" i="11"/>
  <c r="T585" i="11"/>
  <c r="T103" i="11"/>
  <c r="T188" i="11"/>
  <c r="T273" i="11"/>
  <c r="T359" i="11"/>
  <c r="T444" i="11"/>
  <c r="T526" i="11"/>
  <c r="T590" i="11"/>
  <c r="T163" i="11"/>
  <c r="T333" i="11"/>
  <c r="T504" i="11"/>
  <c r="T89" i="11"/>
  <c r="T260" i="11"/>
  <c r="T431" i="11"/>
  <c r="T580" i="11"/>
  <c r="T317" i="11"/>
  <c r="T93" i="11"/>
  <c r="T567" i="11"/>
  <c r="T212" i="11"/>
  <c r="T544" i="11"/>
  <c r="T436" i="11"/>
  <c r="T479" i="11"/>
  <c r="T126" i="11"/>
  <c r="T190" i="11"/>
  <c r="T254" i="11"/>
  <c r="T318" i="11"/>
  <c r="T382" i="11"/>
  <c r="T446" i="11"/>
  <c r="T510" i="11"/>
  <c r="T144" i="11"/>
  <c r="T229" i="11"/>
  <c r="T315" i="11"/>
  <c r="T400" i="11"/>
  <c r="T485" i="11"/>
  <c r="T557" i="11"/>
  <c r="T65" i="11"/>
  <c r="T108" i="11"/>
  <c r="T193" i="11"/>
  <c r="T279" i="11"/>
  <c r="T364" i="11"/>
  <c r="T449" i="11"/>
  <c r="T530" i="11"/>
  <c r="T562" i="11"/>
  <c r="T88" i="11"/>
  <c r="T259" i="11"/>
  <c r="T515" i="11"/>
  <c r="T579" i="11"/>
  <c r="T185" i="11"/>
  <c r="T356" i="11"/>
  <c r="T588" i="11"/>
  <c r="T339" i="11"/>
  <c r="T115" i="11"/>
  <c r="T599" i="11"/>
  <c r="T404" i="11"/>
  <c r="T435" i="11"/>
  <c r="T265" i="11"/>
  <c r="T78" i="11"/>
  <c r="T110" i="11"/>
  <c r="T142" i="11"/>
  <c r="T174" i="11"/>
  <c r="T206" i="11"/>
  <c r="T238" i="11"/>
  <c r="T270" i="11"/>
  <c r="T302" i="11"/>
  <c r="T334" i="11"/>
  <c r="T366" i="11"/>
  <c r="T398" i="11"/>
  <c r="T430" i="11"/>
  <c r="T462" i="11"/>
  <c r="T494" i="11"/>
  <c r="T80" i="11"/>
  <c r="T123" i="11"/>
  <c r="T165" i="11"/>
  <c r="T208" i="11"/>
  <c r="T251" i="11"/>
  <c r="T293" i="11"/>
  <c r="T336" i="11"/>
  <c r="T379" i="11"/>
  <c r="T421" i="11"/>
  <c r="T464" i="11"/>
  <c r="T507" i="11"/>
  <c r="T541" i="11"/>
  <c r="T573" i="11"/>
  <c r="T87" i="11"/>
  <c r="T129" i="11"/>
  <c r="T172" i="11"/>
  <c r="T215" i="11"/>
  <c r="T257" i="11"/>
  <c r="T300" i="11"/>
  <c r="T343" i="11"/>
  <c r="T385" i="11"/>
  <c r="T428" i="11"/>
  <c r="T471" i="11"/>
  <c r="T513" i="11"/>
  <c r="T546" i="11"/>
  <c r="T578" i="11"/>
  <c r="T131" i="11"/>
  <c r="T216" i="11"/>
  <c r="T301" i="11"/>
  <c r="T387" i="11"/>
  <c r="T472" i="11"/>
  <c r="T547" i="11"/>
  <c r="T143" i="11"/>
  <c r="T228" i="11"/>
  <c r="T313" i="11"/>
  <c r="T399" i="11"/>
  <c r="T484" i="11"/>
  <c r="T556" i="11"/>
  <c r="T83" i="11"/>
  <c r="T253" i="11"/>
  <c r="T424" i="11"/>
  <c r="T575" i="11"/>
  <c r="T200" i="11"/>
  <c r="T456" i="11"/>
  <c r="T148" i="11"/>
  <c r="T319" i="11"/>
  <c r="T489" i="11"/>
  <c r="T72" i="11"/>
  <c r="T583" i="11"/>
  <c r="T159" i="11"/>
  <c r="T244" i="11"/>
  <c r="T536" i="11"/>
  <c r="T90" i="11"/>
  <c r="T154" i="11"/>
  <c r="T186" i="11"/>
  <c r="T218" i="11"/>
  <c r="T250" i="11"/>
  <c r="T314" i="11"/>
  <c r="T378" i="11"/>
  <c r="T442" i="11"/>
  <c r="T506" i="11"/>
  <c r="T139" i="11"/>
  <c r="T224" i="11"/>
  <c r="T309" i="11"/>
  <c r="T395" i="11"/>
  <c r="T480" i="11"/>
  <c r="T553" i="11"/>
  <c r="T64" i="11"/>
  <c r="T145" i="11"/>
  <c r="T231" i="11"/>
  <c r="T316" i="11"/>
  <c r="T401" i="11"/>
  <c r="T487" i="11"/>
  <c r="T558" i="11"/>
  <c r="T77" i="11"/>
  <c r="T248" i="11"/>
  <c r="T419" i="11"/>
  <c r="T571" i="11"/>
  <c r="T175" i="11"/>
  <c r="T345" i="11"/>
  <c r="T516" i="11"/>
  <c r="T147" i="11"/>
  <c r="T488" i="11"/>
  <c r="T264" i="11"/>
  <c r="T383" i="11"/>
  <c r="T392" i="11"/>
  <c r="T351" i="11"/>
  <c r="T287" i="11"/>
  <c r="T94" i="11"/>
  <c r="T158" i="11"/>
  <c r="T222" i="11"/>
  <c r="T286" i="11"/>
  <c r="T350" i="11"/>
  <c r="T414" i="11"/>
  <c r="T478" i="11"/>
  <c r="T101" i="11"/>
  <c r="T187" i="11"/>
  <c r="T272" i="11"/>
  <c r="T357" i="11"/>
  <c r="T443" i="11"/>
  <c r="T525" i="11"/>
  <c r="T589" i="11"/>
  <c r="T151" i="11"/>
  <c r="T236" i="11"/>
  <c r="T321" i="11"/>
  <c r="T407" i="11"/>
  <c r="T492" i="11"/>
  <c r="T594" i="11"/>
  <c r="T173" i="11"/>
  <c r="T344" i="11"/>
  <c r="T429" i="11"/>
  <c r="T100" i="11"/>
  <c r="T271" i="11"/>
  <c r="T441" i="11"/>
  <c r="T524" i="11"/>
  <c r="T168" i="11"/>
  <c r="T509" i="11"/>
  <c r="T285" i="11"/>
  <c r="T233" i="11"/>
  <c r="T560" i="11"/>
  <c r="T180" i="11"/>
  <c r="T393" i="11"/>
  <c r="T201" i="11"/>
  <c r="U239" i="11"/>
  <c r="U490" i="11"/>
  <c r="U531" i="11"/>
  <c r="U559" i="11"/>
  <c r="U327" i="11"/>
  <c r="U405" i="11"/>
  <c r="U72" i="11"/>
  <c r="U88" i="11"/>
  <c r="U104" i="11"/>
  <c r="U120" i="11"/>
  <c r="U136" i="11"/>
  <c r="U152" i="11"/>
  <c r="U168" i="11"/>
  <c r="U184" i="11"/>
  <c r="U200" i="11"/>
  <c r="U216" i="11"/>
  <c r="U232" i="11"/>
  <c r="U248" i="11"/>
  <c r="U264" i="11"/>
  <c r="U280" i="11"/>
  <c r="U296" i="11"/>
  <c r="U312" i="11"/>
  <c r="U328" i="11"/>
  <c r="U344" i="11"/>
  <c r="U360" i="11"/>
  <c r="U376" i="11"/>
  <c r="U392" i="11"/>
  <c r="U69" i="11"/>
  <c r="U85" i="11"/>
  <c r="U101" i="11"/>
  <c r="U117" i="11"/>
  <c r="U133" i="11"/>
  <c r="U149" i="11"/>
  <c r="U165" i="11"/>
  <c r="U181" i="11"/>
  <c r="U197" i="11"/>
  <c r="U213" i="11"/>
  <c r="U229" i="11"/>
  <c r="U245" i="11"/>
  <c r="U261" i="11"/>
  <c r="U277" i="11"/>
  <c r="U293" i="11"/>
  <c r="U309" i="11"/>
  <c r="U325" i="11"/>
  <c r="U341" i="11"/>
  <c r="U357" i="11"/>
  <c r="U373" i="11"/>
  <c r="U389" i="11"/>
  <c r="U90" i="11"/>
  <c r="U122" i="11"/>
  <c r="U154" i="11"/>
  <c r="U186" i="11"/>
  <c r="U218" i="11"/>
  <c r="U250" i="11"/>
  <c r="U282" i="11"/>
  <c r="U314" i="11"/>
  <c r="U346" i="11"/>
  <c r="U378" i="11"/>
  <c r="U403" i="11"/>
  <c r="U419" i="11"/>
  <c r="U435" i="11"/>
  <c r="U451" i="11"/>
  <c r="U467" i="11"/>
  <c r="U483" i="11"/>
  <c r="U499" i="11"/>
  <c r="U515" i="11"/>
  <c r="U67" i="11"/>
  <c r="U99" i="11"/>
  <c r="U131" i="11"/>
  <c r="U163" i="11"/>
  <c r="U195" i="11"/>
  <c r="U227" i="11"/>
  <c r="U259" i="11"/>
  <c r="U291" i="11"/>
  <c r="U323" i="11"/>
  <c r="U355" i="11"/>
  <c r="U387" i="11"/>
  <c r="U408" i="11"/>
  <c r="U424" i="11"/>
  <c r="U440" i="11"/>
  <c r="U456" i="11"/>
  <c r="U472" i="11"/>
  <c r="U488" i="11"/>
  <c r="U504" i="11"/>
  <c r="U520" i="11"/>
  <c r="U536" i="11"/>
  <c r="U552" i="11"/>
  <c r="U568" i="11"/>
  <c r="U118" i="11"/>
  <c r="U182" i="11"/>
  <c r="U246" i="11"/>
  <c r="U310" i="11"/>
  <c r="U374" i="11"/>
  <c r="U417" i="11"/>
  <c r="U449" i="11"/>
  <c r="U481" i="11"/>
  <c r="U513" i="11"/>
  <c r="U539" i="11"/>
  <c r="U561" i="11"/>
  <c r="U579" i="11"/>
  <c r="U595" i="11"/>
  <c r="U95" i="11"/>
  <c r="U183" i="11"/>
  <c r="U270" i="11"/>
  <c r="U351" i="11"/>
  <c r="U418" i="11"/>
  <c r="U461" i="11"/>
  <c r="U502" i="11"/>
  <c r="U541" i="11"/>
  <c r="U569" i="11"/>
  <c r="U590" i="11"/>
  <c r="U126" i="11"/>
  <c r="U207" i="11"/>
  <c r="U295" i="11"/>
  <c r="U382" i="11"/>
  <c r="U430" i="11"/>
  <c r="U474" i="11"/>
  <c r="U517" i="11"/>
  <c r="U549" i="11"/>
  <c r="U576" i="11"/>
  <c r="U597" i="11"/>
  <c r="U87" i="11"/>
  <c r="U255" i="11"/>
  <c r="U413" i="11"/>
  <c r="U498" i="11"/>
  <c r="U565" i="11"/>
  <c r="U222" i="11"/>
  <c r="U391" i="11"/>
  <c r="U478" i="11"/>
  <c r="U553" i="11"/>
  <c r="U600" i="11"/>
  <c r="U279" i="11"/>
  <c r="U509" i="11"/>
  <c r="U402" i="11"/>
  <c r="U558" i="11"/>
  <c r="U199" i="11"/>
  <c r="U469" i="11"/>
  <c r="U594" i="11"/>
  <c r="U76" i="11"/>
  <c r="U92" i="11"/>
  <c r="U108" i="11"/>
  <c r="U124" i="11"/>
  <c r="U140" i="11"/>
  <c r="U156" i="11"/>
  <c r="U172" i="11"/>
  <c r="U188" i="11"/>
  <c r="U204" i="11"/>
  <c r="U220" i="11"/>
  <c r="U236" i="11"/>
  <c r="U252" i="11"/>
  <c r="U268" i="11"/>
  <c r="U284" i="11"/>
  <c r="U300" i="11"/>
  <c r="U316" i="11"/>
  <c r="U332" i="11"/>
  <c r="U348" i="11"/>
  <c r="U364" i="11"/>
  <c r="U380" i="11"/>
  <c r="U396" i="11"/>
  <c r="U73" i="11"/>
  <c r="U89" i="11"/>
  <c r="U105" i="11"/>
  <c r="U121" i="11"/>
  <c r="U137" i="11"/>
  <c r="U153" i="11"/>
  <c r="U169" i="11"/>
  <c r="U185" i="11"/>
  <c r="U201" i="11"/>
  <c r="U217" i="11"/>
  <c r="U233" i="11"/>
  <c r="U249" i="11"/>
  <c r="U265" i="11"/>
  <c r="U281" i="11"/>
  <c r="U297" i="11"/>
  <c r="U313" i="11"/>
  <c r="U329" i="11"/>
  <c r="U345" i="11"/>
  <c r="U361" i="11"/>
  <c r="U377" i="11"/>
  <c r="U66" i="11"/>
  <c r="U98" i="11"/>
  <c r="U130" i="11"/>
  <c r="U162" i="11"/>
  <c r="U194" i="11"/>
  <c r="U226" i="11"/>
  <c r="U258" i="11"/>
  <c r="U290" i="11"/>
  <c r="U322" i="11"/>
  <c r="U354" i="11"/>
  <c r="U386" i="11"/>
  <c r="U407" i="11"/>
  <c r="U423" i="11"/>
  <c r="U439" i="11"/>
  <c r="U455" i="11"/>
  <c r="U471" i="11"/>
  <c r="U487" i="11"/>
  <c r="U503" i="11"/>
  <c r="U519" i="11"/>
  <c r="U75" i="11"/>
  <c r="U107" i="11"/>
  <c r="U139" i="11"/>
  <c r="U171" i="11"/>
  <c r="U203" i="11"/>
  <c r="U235" i="11"/>
  <c r="U267" i="11"/>
  <c r="U299" i="11"/>
  <c r="U331" i="11"/>
  <c r="U363" i="11"/>
  <c r="U394" i="11"/>
  <c r="U412" i="11"/>
  <c r="U428" i="11"/>
  <c r="U444" i="11"/>
  <c r="U460" i="11"/>
  <c r="U476" i="11"/>
  <c r="U492" i="11"/>
  <c r="U508" i="11"/>
  <c r="U524" i="11"/>
  <c r="U540" i="11"/>
  <c r="U556" i="11"/>
  <c r="U70" i="11"/>
  <c r="U134" i="11"/>
  <c r="U198" i="11"/>
  <c r="U262" i="11"/>
  <c r="U326" i="11"/>
  <c r="U390" i="11"/>
  <c r="U425" i="11"/>
  <c r="U457" i="11"/>
  <c r="U489" i="11"/>
  <c r="U521" i="11"/>
  <c r="U545" i="11"/>
  <c r="U566" i="11"/>
  <c r="U583" i="11"/>
  <c r="U599" i="11"/>
  <c r="U119" i="11"/>
  <c r="U206" i="11"/>
  <c r="U287" i="11"/>
  <c r="U375" i="11"/>
  <c r="U429" i="11"/>
  <c r="U470" i="11"/>
  <c r="U514" i="11"/>
  <c r="U547" i="11"/>
  <c r="U574" i="11"/>
  <c r="U596" i="11"/>
  <c r="U64" i="11"/>
  <c r="U143" i="11"/>
  <c r="U231" i="11"/>
  <c r="U318" i="11"/>
  <c r="U397" i="11"/>
  <c r="U442" i="11"/>
  <c r="U485" i="11"/>
  <c r="U526" i="11"/>
  <c r="U557" i="11"/>
  <c r="U581" i="11"/>
  <c r="U602" i="11"/>
  <c r="U127" i="11"/>
  <c r="U302" i="11"/>
  <c r="U434" i="11"/>
  <c r="U518" i="11"/>
  <c r="U577" i="11"/>
  <c r="U94" i="11"/>
  <c r="U263" i="11"/>
  <c r="U414" i="11"/>
  <c r="U501" i="11"/>
  <c r="U567" i="11"/>
  <c r="U366" i="11"/>
  <c r="U543" i="11"/>
  <c r="U151" i="11"/>
  <c r="U445" i="11"/>
  <c r="U582" i="11"/>
  <c r="U286" i="11"/>
  <c r="U510" i="11"/>
  <c r="U584" i="11"/>
  <c r="U96" i="11"/>
  <c r="U128" i="11"/>
  <c r="U160" i="11"/>
  <c r="U192" i="11"/>
  <c r="U224" i="11"/>
  <c r="U256" i="11"/>
  <c r="U288" i="11"/>
  <c r="U320" i="11"/>
  <c r="U352" i="11"/>
  <c r="U384" i="11"/>
  <c r="U77" i="11"/>
  <c r="U109" i="11"/>
  <c r="U141" i="11"/>
  <c r="U173" i="11"/>
  <c r="U205" i="11"/>
  <c r="U237" i="11"/>
  <c r="U269" i="11"/>
  <c r="U301" i="11"/>
  <c r="U333" i="11"/>
  <c r="U365" i="11"/>
  <c r="U74" i="11"/>
  <c r="U138" i="11"/>
  <c r="U202" i="11"/>
  <c r="U266" i="11"/>
  <c r="U330" i="11"/>
  <c r="U393" i="11"/>
  <c r="U427" i="11"/>
  <c r="U459" i="11"/>
  <c r="U491" i="11"/>
  <c r="U523" i="11"/>
  <c r="U115" i="11"/>
  <c r="U179" i="11"/>
  <c r="U243" i="11"/>
  <c r="U307" i="11"/>
  <c r="U371" i="11"/>
  <c r="U416" i="11"/>
  <c r="U448" i="11"/>
  <c r="U480" i="11"/>
  <c r="U512" i="11"/>
  <c r="U544" i="11"/>
  <c r="U86" i="11"/>
  <c r="U214" i="11"/>
  <c r="U342" i="11"/>
  <c r="U433" i="11"/>
  <c r="U497" i="11"/>
  <c r="U550" i="11"/>
  <c r="U587" i="11"/>
  <c r="U71" i="11"/>
  <c r="U223" i="11"/>
  <c r="U395" i="11"/>
  <c r="U482" i="11"/>
  <c r="U554" i="11"/>
  <c r="U601" i="11"/>
  <c r="U167" i="11"/>
  <c r="U335" i="11"/>
  <c r="U453" i="11"/>
  <c r="U535" i="11"/>
  <c r="U586" i="11"/>
  <c r="U174" i="11"/>
  <c r="U454" i="11"/>
  <c r="U588" i="11"/>
  <c r="U303" i="11"/>
  <c r="U522" i="11"/>
  <c r="U110" i="11"/>
  <c r="U572" i="11"/>
  <c r="U486" i="11"/>
  <c r="U367" i="11"/>
  <c r="U446" i="11"/>
  <c r="U112" i="11"/>
  <c r="U176" i="11"/>
  <c r="U240" i="11"/>
  <c r="U336" i="11"/>
  <c r="U400" i="11"/>
  <c r="U93" i="11"/>
  <c r="U157" i="11"/>
  <c r="U221" i="11"/>
  <c r="U285" i="11"/>
  <c r="U349" i="11"/>
  <c r="U106" i="11"/>
  <c r="U234" i="11"/>
  <c r="U362" i="11"/>
  <c r="U443" i="11"/>
  <c r="U507" i="11"/>
  <c r="U147" i="11"/>
  <c r="U275" i="11"/>
  <c r="U399" i="11"/>
  <c r="U464" i="11"/>
  <c r="U528" i="11"/>
  <c r="U150" i="11"/>
  <c r="U401" i="11"/>
  <c r="U529" i="11"/>
  <c r="U311" i="11"/>
  <c r="U525" i="11"/>
  <c r="U79" i="11"/>
  <c r="U410" i="11"/>
  <c r="U563" i="11"/>
  <c r="U343" i="11"/>
  <c r="U135" i="11"/>
  <c r="U578" i="11"/>
  <c r="U84" i="11"/>
  <c r="U148" i="11"/>
  <c r="U212" i="11"/>
  <c r="U276" i="11"/>
  <c r="U340" i="11"/>
  <c r="U65" i="11"/>
  <c r="U129" i="11"/>
  <c r="U193" i="11"/>
  <c r="U257" i="11"/>
  <c r="U289" i="11"/>
  <c r="U385" i="11"/>
  <c r="U178" i="11"/>
  <c r="U306" i="11"/>
  <c r="U415" i="11"/>
  <c r="U479" i="11"/>
  <c r="U91" i="11"/>
  <c r="U155" i="11"/>
  <c r="U283" i="11"/>
  <c r="U436" i="11"/>
  <c r="U500" i="11"/>
  <c r="U532" i="11"/>
  <c r="U166" i="11"/>
  <c r="U409" i="11"/>
  <c r="U534" i="11"/>
  <c r="U450" i="11"/>
  <c r="U533" i="11"/>
  <c r="U103" i="11"/>
  <c r="U421" i="11"/>
  <c r="U570" i="11"/>
  <c r="U383" i="11"/>
  <c r="U175" i="11"/>
  <c r="U589" i="11"/>
  <c r="U319" i="11"/>
  <c r="U573" i="11"/>
  <c r="U68" i="11"/>
  <c r="U100" i="11"/>
  <c r="U132" i="11"/>
  <c r="U164" i="11"/>
  <c r="U196" i="11"/>
  <c r="U228" i="11"/>
  <c r="U260" i="11"/>
  <c r="U292" i="11"/>
  <c r="U324" i="11"/>
  <c r="U356" i="11"/>
  <c r="U388" i="11"/>
  <c r="U81" i="11"/>
  <c r="U113" i="11"/>
  <c r="U145" i="11"/>
  <c r="U177" i="11"/>
  <c r="U209" i="11"/>
  <c r="U241" i="11"/>
  <c r="U273" i="11"/>
  <c r="U305" i="11"/>
  <c r="U337" i="11"/>
  <c r="U369" i="11"/>
  <c r="U82" i="11"/>
  <c r="U146" i="11"/>
  <c r="U210" i="11"/>
  <c r="U274" i="11"/>
  <c r="U338" i="11"/>
  <c r="U398" i="11"/>
  <c r="U431" i="11"/>
  <c r="U463" i="11"/>
  <c r="U495" i="11"/>
  <c r="U527" i="11"/>
  <c r="U123" i="11"/>
  <c r="U187" i="11"/>
  <c r="U251" i="11"/>
  <c r="U315" i="11"/>
  <c r="U379" i="11"/>
  <c r="U420" i="11"/>
  <c r="U452" i="11"/>
  <c r="U484" i="11"/>
  <c r="U516" i="11"/>
  <c r="U548" i="11"/>
  <c r="U102" i="11"/>
  <c r="U230" i="11"/>
  <c r="U358" i="11"/>
  <c r="U441" i="11"/>
  <c r="U505" i="11"/>
  <c r="U555" i="11"/>
  <c r="U591" i="11"/>
  <c r="U78" i="11"/>
  <c r="U247" i="11"/>
  <c r="U406" i="11"/>
  <c r="U493" i="11"/>
  <c r="U562" i="11"/>
  <c r="U190" i="11"/>
  <c r="U359" i="11"/>
  <c r="U462" i="11"/>
  <c r="U542" i="11"/>
  <c r="U592" i="11"/>
  <c r="U215" i="11"/>
  <c r="U477" i="11"/>
  <c r="U598" i="11"/>
  <c r="U350" i="11"/>
  <c r="U538" i="11"/>
  <c r="U191" i="11"/>
  <c r="U593" i="11"/>
  <c r="U530" i="11"/>
  <c r="U426" i="11"/>
  <c r="U158" i="11"/>
  <c r="U80" i="11"/>
  <c r="U144" i="11"/>
  <c r="U208" i="11"/>
  <c r="U272" i="11"/>
  <c r="U304" i="11"/>
  <c r="U368" i="11"/>
  <c r="U125" i="11"/>
  <c r="U189" i="11"/>
  <c r="U253" i="11"/>
  <c r="U317" i="11"/>
  <c r="U381" i="11"/>
  <c r="U170" i="11"/>
  <c r="U298" i="11"/>
  <c r="U411" i="11"/>
  <c r="U475" i="11"/>
  <c r="U83" i="11"/>
  <c r="U211" i="11"/>
  <c r="U339" i="11"/>
  <c r="U432" i="11"/>
  <c r="U496" i="11"/>
  <c r="U560" i="11"/>
  <c r="U278" i="11"/>
  <c r="U465" i="11"/>
  <c r="U571" i="11"/>
  <c r="U142" i="11"/>
  <c r="U438" i="11"/>
  <c r="U580" i="11"/>
  <c r="U254" i="11"/>
  <c r="U494" i="11"/>
  <c r="U537" i="11"/>
  <c r="U437" i="11"/>
  <c r="U422" i="11"/>
  <c r="U238" i="11"/>
  <c r="U546" i="11"/>
  <c r="U116" i="11"/>
  <c r="U180" i="11"/>
  <c r="U244" i="11"/>
  <c r="U308" i="11"/>
  <c r="U372" i="11"/>
  <c r="U97" i="11"/>
  <c r="U161" i="11"/>
  <c r="U225" i="11"/>
  <c r="U321" i="11"/>
  <c r="U353" i="11"/>
  <c r="U114" i="11"/>
  <c r="U242" i="11"/>
  <c r="U370" i="11"/>
  <c r="U447" i="11"/>
  <c r="U511" i="11"/>
  <c r="U219" i="11"/>
  <c r="U347" i="11"/>
  <c r="U404" i="11"/>
  <c r="U468" i="11"/>
  <c r="U564" i="11"/>
  <c r="U294" i="11"/>
  <c r="U473" i="11"/>
  <c r="U575" i="11"/>
  <c r="U159" i="11"/>
  <c r="U334" i="11"/>
  <c r="U585" i="11"/>
  <c r="U271" i="11"/>
  <c r="U506" i="11"/>
  <c r="U551" i="11"/>
  <c r="U458" i="11"/>
  <c r="U466" i="11"/>
  <c r="U111" i="11"/>
  <c r="Q67" i="11" l="1"/>
  <c r="B18" i="11" s="1"/>
  <c r="E77" i="10" s="1"/>
  <c r="Q66" i="11"/>
  <c r="B17" i="11" s="1"/>
  <c r="D77" i="10" s="1"/>
  <c r="C16" i="10" l="1"/>
  <c r="C30" i="9"/>
  <c r="D30" i="9"/>
  <c r="E30" i="9"/>
  <c r="C23" i="9" l="1"/>
  <c r="C20" i="9" s="1"/>
  <c r="C25" i="9" s="1"/>
  <c r="D23" i="9"/>
  <c r="D20" i="9" s="1"/>
  <c r="D25" i="9" s="1"/>
  <c r="E23" i="9"/>
  <c r="E20" i="9" s="1"/>
  <c r="E25" i="9" s="1"/>
  <c r="B23" i="9"/>
  <c r="B33" i="9"/>
  <c r="B65" i="10" s="1"/>
  <c r="C12" i="8"/>
  <c r="F12" i="8" l="1"/>
  <c r="E12" i="8"/>
  <c r="D12" i="8"/>
  <c r="C27" i="9"/>
  <c r="C28" i="9" s="1"/>
  <c r="C90" i="10" s="1"/>
  <c r="E27" i="9"/>
  <c r="E28" i="9" s="1"/>
  <c r="E90" i="10" s="1"/>
  <c r="D27" i="9"/>
  <c r="D28" i="9" s="1"/>
  <c r="D90" i="10" s="1"/>
  <c r="E80" i="10" l="1"/>
  <c r="C80" i="10"/>
  <c r="B80" i="10"/>
  <c r="E11" i="9" l="1"/>
  <c r="E57" i="10" s="1"/>
  <c r="D11" i="9"/>
  <c r="D57" i="10" s="1"/>
  <c r="C11" i="9"/>
  <c r="C57" i="10" s="1"/>
  <c r="C44" i="10" l="1"/>
  <c r="D44" i="10"/>
  <c r="E44" i="10"/>
  <c r="C37" i="10"/>
  <c r="D37" i="10"/>
  <c r="E37" i="10"/>
  <c r="B37" i="10"/>
  <c r="D16" i="10"/>
  <c r="E16" i="10"/>
  <c r="I42" i="15"/>
  <c r="H42" i="15"/>
  <c r="G42" i="15"/>
  <c r="I36" i="15"/>
  <c r="E36" i="10" s="1"/>
  <c r="H36" i="15"/>
  <c r="D36" i="10" s="1"/>
  <c r="G36" i="15"/>
  <c r="C36" i="10" s="1"/>
  <c r="I30" i="15"/>
  <c r="H30" i="15"/>
  <c r="G30" i="15"/>
  <c r="I31" i="14"/>
  <c r="G31" i="14"/>
  <c r="F31" i="14"/>
  <c r="I27" i="14"/>
  <c r="I26" i="14" s="1"/>
  <c r="I23" i="14" s="1"/>
  <c r="H27" i="14"/>
  <c r="G27" i="14"/>
  <c r="F27" i="14"/>
  <c r="I9" i="14"/>
  <c r="H9" i="14"/>
  <c r="G9" i="14"/>
  <c r="C59" i="10"/>
  <c r="D59" i="10"/>
  <c r="E59" i="10"/>
  <c r="B59" i="10"/>
  <c r="I64" i="12"/>
  <c r="I63" i="12" s="1"/>
  <c r="H64" i="12"/>
  <c r="H63" i="12" s="1"/>
  <c r="G64" i="12"/>
  <c r="G63" i="12" s="1"/>
  <c r="I37" i="12"/>
  <c r="I36" i="12" s="1"/>
  <c r="H37" i="12"/>
  <c r="H36" i="12" s="1"/>
  <c r="G37" i="12"/>
  <c r="G36" i="12" s="1"/>
  <c r="I33" i="12"/>
  <c r="I31" i="12" s="1"/>
  <c r="E45" i="11" s="1"/>
  <c r="H33" i="12"/>
  <c r="H31" i="12" s="1"/>
  <c r="D45" i="11" s="1"/>
  <c r="G33" i="12"/>
  <c r="G31" i="12" s="1"/>
  <c r="C45" i="11" s="1"/>
  <c r="F33" i="12"/>
  <c r="F31" i="12" s="1"/>
  <c r="B45" i="11" s="1"/>
  <c r="B42" i="11" s="1"/>
  <c r="I27" i="12"/>
  <c r="H27" i="12"/>
  <c r="G27" i="12"/>
  <c r="F27" i="12"/>
  <c r="I23" i="12"/>
  <c r="E43" i="11" s="1"/>
  <c r="H23" i="12"/>
  <c r="D43" i="11" s="1"/>
  <c r="D42" i="11" s="1"/>
  <c r="G23" i="12"/>
  <c r="E42" i="11" l="1"/>
  <c r="H26" i="14"/>
  <c r="H23" i="14" s="1"/>
  <c r="H37" i="14" s="1"/>
  <c r="G26" i="14"/>
  <c r="G23" i="14" s="1"/>
  <c r="G37" i="14" s="1"/>
  <c r="I35" i="15"/>
  <c r="G25" i="15"/>
  <c r="G24" i="15"/>
  <c r="H25" i="15"/>
  <c r="H24" i="15"/>
  <c r="I24" i="15"/>
  <c r="I25" i="15"/>
  <c r="I22" i="12"/>
  <c r="I21" i="12" s="1"/>
  <c r="I53" i="12" s="1"/>
  <c r="E54" i="10" s="1"/>
  <c r="G22" i="12"/>
  <c r="G21" i="12" s="1"/>
  <c r="C43" i="11"/>
  <c r="D76" i="10"/>
  <c r="C91" i="10"/>
  <c r="H22" i="12"/>
  <c r="H21" i="12" s="1"/>
  <c r="H53" i="12" s="1"/>
  <c r="E76" i="10"/>
  <c r="G35" i="15"/>
  <c r="E91" i="10"/>
  <c r="B76" i="10"/>
  <c r="F26" i="14"/>
  <c r="F23" i="14" s="1"/>
  <c r="F37" i="14" s="1"/>
  <c r="I37" i="14"/>
  <c r="F35" i="15"/>
  <c r="F21" i="12"/>
  <c r="B91" i="10"/>
  <c r="D91" i="10"/>
  <c r="H35" i="15"/>
  <c r="G53" i="12"/>
  <c r="C42" i="11" l="1"/>
  <c r="C76" i="10" s="1"/>
  <c r="H62" i="12"/>
  <c r="D54" i="10"/>
  <c r="G62" i="12"/>
  <c r="C54" i="10"/>
  <c r="I62" i="12"/>
  <c r="F53" i="12"/>
  <c r="G77" i="12" l="1"/>
  <c r="G16" i="15" s="1"/>
  <c r="G9" i="15" s="1"/>
  <c r="I77" i="12"/>
  <c r="I16" i="15" s="1"/>
  <c r="I9" i="15" s="1"/>
  <c r="H77" i="12"/>
  <c r="H16" i="15" s="1"/>
  <c r="H9" i="15" s="1"/>
  <c r="B54" i="10"/>
  <c r="F62" i="12"/>
  <c r="B11" i="10"/>
  <c r="D80" i="10"/>
  <c r="H48" i="15" l="1"/>
  <c r="D27" i="10"/>
  <c r="I48" i="15"/>
  <c r="E27" i="10"/>
  <c r="G48" i="15"/>
  <c r="C27" i="10"/>
  <c r="F77" i="12"/>
  <c r="F16" i="15" s="1"/>
  <c r="F9" i="15" s="1"/>
  <c r="B21" i="10"/>
  <c r="F48" i="15" l="1"/>
  <c r="B27" i="10"/>
  <c r="C32" i="9"/>
  <c r="D32" i="9"/>
  <c r="E32" i="9"/>
  <c r="B32" i="10" l="1"/>
  <c r="B92" i="10" s="1"/>
  <c r="E33" i="9"/>
  <c r="D33" i="9"/>
  <c r="C33" i="9"/>
  <c r="E41" i="10"/>
  <c r="D41" i="10"/>
  <c r="C41" i="10"/>
  <c r="E11" i="10"/>
  <c r="E18" i="10" s="1"/>
  <c r="D11" i="10"/>
  <c r="D18" i="10" s="1"/>
  <c r="C11" i="10"/>
  <c r="C18" i="10" s="1"/>
  <c r="A11" i="9"/>
  <c r="A10" i="9"/>
  <c r="B20" i="9"/>
  <c r="B25" i="9" l="1"/>
  <c r="B27" i="9" s="1"/>
  <c r="B28" i="9" s="1"/>
  <c r="B90" i="10" s="1"/>
  <c r="B93" i="10" s="1"/>
  <c r="B78" i="10" s="1"/>
  <c r="B47" i="10"/>
  <c r="B49" i="10" s="1"/>
  <c r="D32" i="10"/>
  <c r="D47" i="10" s="1"/>
  <c r="C32" i="10" l="1"/>
  <c r="C47" i="10" s="1"/>
  <c r="E32" i="10"/>
  <c r="E47" i="10" s="1"/>
  <c r="C21" i="10"/>
  <c r="E21" i="10"/>
  <c r="D21" i="10"/>
  <c r="E65" i="10"/>
  <c r="C65" i="10"/>
  <c r="D65" i="10"/>
  <c r="C92" i="10" l="1"/>
  <c r="C93" i="10" s="1"/>
  <c r="E92" i="10"/>
  <c r="D49" i="10"/>
  <c r="C49" i="10"/>
  <c r="C78" i="10" l="1"/>
  <c r="E93" i="10"/>
  <c r="E49" i="10"/>
  <c r="D92" i="10"/>
  <c r="E78" i="10" l="1"/>
  <c r="D93" i="10"/>
  <c r="D78" i="10" l="1"/>
  <c r="I21" i="11" l="1"/>
  <c r="C4" i="7"/>
  <c r="C6" i="7" s="1"/>
  <c r="I4" i="7"/>
  <c r="I6" i="7" s="1"/>
  <c r="G4" i="7"/>
  <c r="G6" i="7" s="1"/>
  <c r="H4" i="7"/>
  <c r="H6" i="7" s="1"/>
  <c r="K4" i="7"/>
  <c r="K6" i="7" s="1"/>
  <c r="B71" i="10" s="1"/>
  <c r="M4" i="7"/>
  <c r="M6" i="7" s="1"/>
  <c r="D71" i="10" s="1"/>
  <c r="J4" i="7"/>
  <c r="J6" i="7" s="1"/>
  <c r="L4" i="7"/>
  <c r="L6" i="7" s="1"/>
  <c r="C71" i="10" s="1"/>
  <c r="N4" i="7"/>
  <c r="N6" i="7" s="1"/>
  <c r="E71" i="10" s="1"/>
  <c r="D4" i="7"/>
  <c r="D6" i="7" s="1"/>
  <c r="F4" i="7"/>
  <c r="F6" i="7"/>
  <c r="E4" i="7"/>
  <c r="E6" i="7" s="1"/>
  <c r="N37" i="7"/>
  <c r="E72" i="10" s="1"/>
  <c r="L37" i="7"/>
  <c r="C72" i="10" s="1"/>
  <c r="K37" i="7"/>
  <c r="B72" i="10" s="1"/>
  <c r="M37" i="7"/>
  <c r="D72" i="10" s="1"/>
  <c r="B73" i="10" l="1"/>
  <c r="B85" i="10" s="1"/>
  <c r="B96" i="10" s="1"/>
  <c r="I22" i="11"/>
  <c r="L21" i="11"/>
  <c r="M69" i="11" s="1"/>
  <c r="D73" i="10"/>
  <c r="D85" i="10" s="1"/>
  <c r="D96" i="10" s="1"/>
  <c r="E73" i="10"/>
  <c r="E85" i="10" s="1"/>
  <c r="E96" i="10" s="1"/>
  <c r="C73" i="10"/>
  <c r="C85" i="10" s="1"/>
  <c r="C96" i="10" s="1"/>
  <c r="W316" i="11" l="1"/>
  <c r="W466" i="11"/>
  <c r="W297" i="11"/>
  <c r="W535" i="11"/>
  <c r="W454" i="11"/>
  <c r="W133" i="11"/>
  <c r="W128" i="11"/>
  <c r="W453" i="11"/>
  <c r="W572" i="11"/>
  <c r="W267" i="11"/>
  <c r="W417" i="11"/>
  <c r="W280" i="11"/>
  <c r="W574" i="11"/>
  <c r="W212" i="11"/>
  <c r="W199" i="11"/>
  <c r="W573" i="11"/>
  <c r="W348" i="11"/>
  <c r="W451" i="11"/>
  <c r="W257" i="11"/>
  <c r="W464" i="11"/>
  <c r="W327" i="11"/>
  <c r="W238" i="11"/>
  <c r="W150" i="11"/>
  <c r="W90" i="11"/>
  <c r="W235" i="11"/>
  <c r="W234" i="11"/>
  <c r="W378" i="11"/>
  <c r="W99" i="11"/>
  <c r="W447" i="11"/>
  <c r="W366" i="11"/>
  <c r="W221" i="11"/>
  <c r="W89" i="11"/>
  <c r="W365" i="11"/>
  <c r="W324" i="11"/>
  <c r="W203" i="11"/>
  <c r="W377" i="11"/>
  <c r="W227" i="11"/>
  <c r="W534" i="11"/>
  <c r="W252" i="11"/>
  <c r="W239" i="11"/>
  <c r="W533" i="11"/>
  <c r="W388" i="11"/>
  <c r="W424" i="11"/>
  <c r="W229" i="11"/>
  <c r="W428" i="11"/>
  <c r="W369" i="11"/>
  <c r="W108" i="11"/>
  <c r="W349" i="11"/>
  <c r="W513" i="11"/>
  <c r="W334" i="11"/>
  <c r="W485" i="11"/>
  <c r="W490" i="11"/>
  <c r="W193" i="11"/>
  <c r="W161" i="11"/>
  <c r="W491" i="11"/>
  <c r="W543" i="11"/>
  <c r="W159" i="11"/>
  <c r="W185" i="11"/>
  <c r="W256" i="11"/>
  <c r="W196" i="11"/>
  <c r="W208" i="11"/>
  <c r="W421" i="11"/>
  <c r="W189" i="11"/>
  <c r="W440" i="11"/>
  <c r="W550" i="11"/>
  <c r="W126" i="11"/>
  <c r="W492" i="11"/>
  <c r="W477" i="11"/>
  <c r="W474" i="11"/>
  <c r="W169" i="11"/>
  <c r="W296" i="11"/>
  <c r="W452" i="11"/>
  <c r="W265" i="11"/>
  <c r="W488" i="11"/>
  <c r="W569" i="11"/>
  <c r="W95" i="11"/>
  <c r="W420" i="11"/>
  <c r="W293" i="11"/>
  <c r="W591" i="11"/>
  <c r="W183" i="11"/>
  <c r="W351" i="11"/>
  <c r="W254" i="11"/>
  <c r="W374" i="11"/>
  <c r="W493" i="11"/>
  <c r="W124" i="11"/>
  <c r="W362" i="11"/>
  <c r="W499" i="11"/>
  <c r="W125" i="11"/>
  <c r="W223" i="11"/>
  <c r="W476" i="11"/>
  <c r="W481" i="11"/>
  <c r="W538" i="11"/>
  <c r="W145" i="11"/>
  <c r="W157" i="11"/>
  <c r="W304" i="11"/>
  <c r="W553" i="11"/>
  <c r="W346" i="11"/>
  <c r="W320" i="11"/>
  <c r="W167" i="11"/>
  <c r="W436" i="11"/>
  <c r="W402" i="11"/>
  <c r="W216" i="11"/>
  <c r="W471" i="11"/>
  <c r="W390" i="11"/>
  <c r="W197" i="11"/>
  <c r="W65" i="11"/>
  <c r="W389" i="11"/>
  <c r="W64" i="11"/>
  <c r="W522" i="11"/>
  <c r="W353" i="11"/>
  <c r="W155" i="11"/>
  <c r="W510" i="11"/>
  <c r="W77" i="11"/>
  <c r="W72" i="11"/>
  <c r="W509" i="11"/>
  <c r="W404" i="11"/>
  <c r="W387" i="11"/>
  <c r="W537" i="11"/>
  <c r="W400" i="11"/>
  <c r="W263" i="11"/>
  <c r="W92" i="11"/>
  <c r="W79" i="11"/>
  <c r="W154" i="11"/>
  <c r="W484" i="11"/>
  <c r="W507" i="11"/>
  <c r="W314" i="11"/>
  <c r="W520" i="11"/>
  <c r="W383" i="11"/>
  <c r="W302" i="11"/>
  <c r="W94" i="11"/>
  <c r="W153" i="11"/>
  <c r="W301" i="11"/>
  <c r="W444" i="11"/>
  <c r="W482" i="11"/>
  <c r="W313" i="11"/>
  <c r="W551" i="11"/>
  <c r="W470" i="11"/>
  <c r="W117" i="11"/>
  <c r="W112" i="11"/>
  <c r="W469" i="11"/>
  <c r="W563" i="11"/>
  <c r="W241" i="11"/>
  <c r="W190" i="11"/>
  <c r="W276" i="11"/>
  <c r="W584" i="11"/>
  <c r="W260" i="11"/>
  <c r="W596" i="11"/>
  <c r="W329" i="11"/>
  <c r="W116" i="11"/>
  <c r="W333" i="11"/>
  <c r="W306" i="11"/>
  <c r="W478" i="11"/>
  <c r="W194" i="11"/>
  <c r="W307" i="11"/>
  <c r="W367" i="11"/>
  <c r="W120" i="11"/>
  <c r="W593" i="11"/>
  <c r="W448" i="11"/>
  <c r="W173" i="11"/>
  <c r="W594" i="11"/>
  <c r="W410" i="11"/>
  <c r="W427" i="11"/>
  <c r="W299" i="11"/>
  <c r="W233" i="11"/>
  <c r="W567" i="11"/>
  <c r="W585" i="11"/>
  <c r="W294" i="11"/>
  <c r="W583" i="11"/>
  <c r="W570" i="11"/>
  <c r="W166" i="11"/>
  <c r="W475" i="11"/>
  <c r="W230" i="11"/>
  <c r="W217" i="11"/>
  <c r="W548" i="11"/>
  <c r="W253" i="11"/>
  <c r="W132" i="11"/>
  <c r="W462" i="11"/>
  <c r="W500" i="11"/>
  <c r="W303" i="11"/>
  <c r="W601" i="11"/>
  <c r="W81" i="11"/>
  <c r="W494" i="11"/>
  <c r="W368" i="11"/>
  <c r="W385" i="11"/>
  <c r="W226" i="11"/>
  <c r="W332" i="11"/>
  <c r="W589" i="11"/>
  <c r="W115" i="11"/>
  <c r="W255" i="11"/>
  <c r="W83" i="11"/>
  <c r="W528" i="11"/>
  <c r="W442" i="11"/>
  <c r="W152" i="11"/>
  <c r="W598" i="11"/>
  <c r="W521" i="11"/>
  <c r="W347" i="11"/>
  <c r="W434" i="11"/>
  <c r="W165" i="11"/>
  <c r="W580" i="11"/>
  <c r="W531" i="11"/>
  <c r="W338" i="11"/>
  <c r="W544" i="11"/>
  <c r="W407" i="11"/>
  <c r="W326" i="11"/>
  <c r="W70" i="11"/>
  <c r="W129" i="11"/>
  <c r="W325" i="11"/>
  <c r="W248" i="11"/>
  <c r="W458" i="11"/>
  <c r="W289" i="11"/>
  <c r="W527" i="11"/>
  <c r="W446" i="11"/>
  <c r="W141" i="11"/>
  <c r="W136" i="11"/>
  <c r="W445" i="11"/>
  <c r="W460" i="11"/>
  <c r="W323" i="11"/>
  <c r="W473" i="11"/>
  <c r="W336" i="11"/>
  <c r="W600" i="11"/>
  <c r="W156" i="11"/>
  <c r="W143" i="11"/>
  <c r="W218" i="11"/>
  <c r="W284" i="11"/>
  <c r="W443" i="11"/>
  <c r="W243" i="11"/>
  <c r="W456" i="11"/>
  <c r="W319" i="11"/>
  <c r="W225" i="11"/>
  <c r="W158" i="11"/>
  <c r="W98" i="11"/>
  <c r="W224" i="11"/>
  <c r="W546" i="11"/>
  <c r="W418" i="11"/>
  <c r="W242" i="11"/>
  <c r="W487" i="11"/>
  <c r="W406" i="11"/>
  <c r="W181" i="11"/>
  <c r="W176" i="11"/>
  <c r="W405" i="11"/>
  <c r="W411" i="11"/>
  <c r="W439" i="11"/>
  <c r="W231" i="11"/>
  <c r="W259" i="11"/>
  <c r="W384" i="11"/>
  <c r="W237" i="11"/>
  <c r="W123" i="11"/>
  <c r="W552" i="11"/>
  <c r="W101" i="11"/>
  <c r="W586" i="11"/>
  <c r="W497" i="11"/>
  <c r="W300" i="11"/>
  <c r="W595" i="11"/>
  <c r="W467" i="11"/>
  <c r="W274" i="11"/>
  <c r="W480" i="11"/>
  <c r="W343" i="11"/>
  <c r="W262" i="11"/>
  <c r="W134" i="11"/>
  <c r="W74" i="11"/>
  <c r="W261" i="11"/>
  <c r="W372" i="11"/>
  <c r="W394" i="11"/>
  <c r="W200" i="11"/>
  <c r="W463" i="11"/>
  <c r="W382" i="11"/>
  <c r="W205" i="11"/>
  <c r="W73" i="11"/>
  <c r="W381" i="11"/>
  <c r="W554" i="11"/>
  <c r="W258" i="11"/>
  <c r="W409" i="11"/>
  <c r="W272" i="11"/>
  <c r="W566" i="11"/>
  <c r="W220" i="11"/>
  <c r="W207" i="11"/>
  <c r="W565" i="11"/>
  <c r="W340" i="11"/>
  <c r="W379" i="11"/>
  <c r="W529" i="11"/>
  <c r="W392" i="11"/>
  <c r="W251" i="11"/>
  <c r="W100" i="11"/>
  <c r="W87" i="11"/>
  <c r="W162" i="11"/>
  <c r="W364" i="11"/>
  <c r="W547" i="11"/>
  <c r="W354" i="11"/>
  <c r="W560" i="11"/>
  <c r="W423" i="11"/>
  <c r="W342" i="11"/>
  <c r="W245" i="11"/>
  <c r="W113" i="11"/>
  <c r="W341" i="11"/>
  <c r="W219" i="11"/>
  <c r="W287" i="11"/>
  <c r="W97" i="11"/>
  <c r="W555" i="11"/>
  <c r="W214" i="11"/>
  <c r="W376" i="11"/>
  <c r="W321" i="11"/>
  <c r="W298" i="11"/>
  <c r="W435" i="11"/>
  <c r="W495" i="11"/>
  <c r="W393" i="11"/>
  <c r="W559" i="11"/>
  <c r="W455" i="11"/>
  <c r="W592" i="11"/>
  <c r="W532" i="11"/>
  <c r="W211" i="11"/>
  <c r="W540" i="11"/>
  <c r="W170" i="11"/>
  <c r="W119" i="11"/>
  <c r="W232" i="11"/>
  <c r="W269" i="11"/>
  <c r="W517" i="11"/>
  <c r="W148" i="11"/>
  <c r="W515" i="11"/>
  <c r="W86" i="11"/>
  <c r="W273" i="11"/>
  <c r="W579" i="11"/>
  <c r="W175" i="11"/>
  <c r="W67" i="11"/>
  <c r="W486" i="11"/>
  <c r="W380" i="11"/>
  <c r="W209" i="11"/>
  <c r="W422" i="11"/>
  <c r="W530" i="11"/>
  <c r="W403" i="11"/>
  <c r="W107" i="11"/>
  <c r="W416" i="11"/>
  <c r="W279" i="11"/>
  <c r="W76" i="11"/>
  <c r="W198" i="11"/>
  <c r="W138" i="11"/>
  <c r="W564" i="11"/>
  <c r="W523" i="11"/>
  <c r="W330" i="11"/>
  <c r="W536" i="11"/>
  <c r="W399" i="11"/>
  <c r="W318" i="11"/>
  <c r="W78" i="11"/>
  <c r="W137" i="11"/>
  <c r="W317" i="11"/>
  <c r="W587" i="11"/>
  <c r="W514" i="11"/>
  <c r="W345" i="11"/>
  <c r="W91" i="11"/>
  <c r="W502" i="11"/>
  <c r="W85" i="11"/>
  <c r="W80" i="11"/>
  <c r="W501" i="11"/>
  <c r="W396" i="11"/>
  <c r="W315" i="11"/>
  <c r="W465" i="11"/>
  <c r="W328" i="11"/>
  <c r="W568" i="11"/>
  <c r="W164" i="11"/>
  <c r="W151" i="11"/>
  <c r="W576" i="11"/>
  <c r="W292" i="11"/>
  <c r="W483" i="11"/>
  <c r="W290" i="11"/>
  <c r="W496" i="11"/>
  <c r="W359" i="11"/>
  <c r="W278" i="11"/>
  <c r="W118" i="11"/>
  <c r="W177" i="11"/>
  <c r="W277" i="11"/>
  <c r="W370" i="11"/>
  <c r="W542" i="11"/>
  <c r="W130" i="11"/>
  <c r="W371" i="11"/>
  <c r="W431" i="11"/>
  <c r="W247" i="11"/>
  <c r="W539" i="11"/>
  <c r="W599" i="11"/>
  <c r="W103" i="11"/>
  <c r="W577" i="11"/>
  <c r="W512" i="11"/>
  <c r="W109" i="11"/>
  <c r="W206" i="11"/>
  <c r="W457" i="11"/>
  <c r="W286" i="11"/>
  <c r="W461" i="11"/>
  <c r="W283" i="11"/>
  <c r="W311" i="11"/>
  <c r="W168" i="11"/>
  <c r="W449" i="11"/>
  <c r="W479" i="11"/>
  <c r="W180" i="11"/>
  <c r="W236" i="11"/>
  <c r="W114" i="11"/>
  <c r="W398" i="11"/>
  <c r="W578" i="11"/>
  <c r="W432" i="11"/>
  <c r="W139" i="11"/>
  <c r="W122" i="11"/>
  <c r="W131" i="11"/>
  <c r="W358" i="11"/>
  <c r="W541" i="11"/>
  <c r="W240" i="11"/>
  <c r="W363" i="11"/>
  <c r="W415" i="11"/>
  <c r="W508" i="11"/>
  <c r="W102" i="11"/>
  <c r="W305" i="11"/>
  <c r="W172" i="11"/>
  <c r="W426" i="11"/>
  <c r="W106" i="11"/>
  <c r="W192" i="11"/>
  <c r="W184" i="11"/>
  <c r="W174" i="11"/>
  <c r="W588" i="11"/>
  <c r="W191" i="11"/>
  <c r="W468" i="11"/>
  <c r="W545" i="11"/>
  <c r="W271" i="11"/>
  <c r="W71" i="11"/>
  <c r="W75" i="11"/>
  <c r="W386" i="11"/>
  <c r="W213" i="11"/>
  <c r="W571" i="11"/>
  <c r="W337" i="11"/>
  <c r="W88" i="11"/>
  <c r="W505" i="11"/>
  <c r="W186" i="11"/>
  <c r="W68" i="11"/>
  <c r="W526" i="11"/>
  <c r="W121" i="11"/>
  <c r="W504" i="11"/>
  <c r="W414" i="11"/>
  <c r="W187" i="11"/>
  <c r="W549" i="11"/>
  <c r="W195" i="11"/>
  <c r="W518" i="11"/>
  <c r="W524" i="11"/>
  <c r="W344" i="11"/>
  <c r="W210" i="11"/>
  <c r="W322" i="11"/>
  <c r="W310" i="11"/>
  <c r="W602" i="11"/>
  <c r="W430" i="11"/>
  <c r="W429" i="11"/>
  <c r="W441" i="11"/>
  <c r="W597" i="11"/>
  <c r="W561" i="11"/>
  <c r="W350" i="11"/>
  <c r="W178" i="11"/>
  <c r="W104" i="11"/>
  <c r="W110" i="11"/>
  <c r="W413" i="11"/>
  <c r="W66" i="11"/>
  <c r="W556" i="11"/>
  <c r="W339" i="11"/>
  <c r="W489" i="11"/>
  <c r="W352" i="11"/>
  <c r="W147" i="11"/>
  <c r="W140" i="11"/>
  <c r="W127" i="11"/>
  <c r="W202" i="11"/>
  <c r="W412" i="11"/>
  <c r="W459" i="11"/>
  <c r="W266" i="11"/>
  <c r="W472" i="11"/>
  <c r="W335" i="11"/>
  <c r="W250" i="11"/>
  <c r="W142" i="11"/>
  <c r="W82" i="11"/>
  <c r="W249" i="11"/>
  <c r="W562" i="11"/>
  <c r="W450" i="11"/>
  <c r="W281" i="11"/>
  <c r="W519" i="11"/>
  <c r="W438" i="11"/>
  <c r="W149" i="11"/>
  <c r="W144" i="11"/>
  <c r="W437" i="11"/>
  <c r="W516" i="11"/>
  <c r="W246" i="11"/>
  <c r="W401" i="11"/>
  <c r="W264" i="11"/>
  <c r="W558" i="11"/>
  <c r="W228" i="11"/>
  <c r="W215" i="11"/>
  <c r="W557" i="11"/>
  <c r="W419" i="11"/>
  <c r="W201" i="11"/>
  <c r="W295" i="11"/>
  <c r="W182" i="11"/>
  <c r="W171" i="11"/>
  <c r="W179" i="11"/>
  <c r="W105" i="11"/>
  <c r="W96" i="11"/>
  <c r="W360" i="11"/>
  <c r="W356" i="11"/>
  <c r="W285" i="11"/>
  <c r="W590" i="11"/>
  <c r="W503" i="11"/>
  <c r="W160" i="11"/>
  <c r="W282" i="11"/>
  <c r="W275" i="11"/>
  <c r="W425" i="11"/>
  <c r="W288" i="11"/>
  <c r="W582" i="11"/>
  <c r="W204" i="11"/>
  <c r="W581" i="11"/>
  <c r="W395" i="11"/>
  <c r="W408" i="11"/>
  <c r="W84" i="11"/>
  <c r="W146" i="11"/>
  <c r="W308" i="11"/>
  <c r="W163" i="11"/>
  <c r="W373" i="11"/>
  <c r="W506" i="11"/>
  <c r="W93" i="11"/>
  <c r="W355" i="11"/>
  <c r="W111" i="11"/>
  <c r="W357" i="11"/>
  <c r="W498" i="11"/>
  <c r="W575" i="11"/>
  <c r="W268" i="11"/>
  <c r="W270" i="11"/>
  <c r="W312" i="11"/>
  <c r="W361" i="11"/>
  <c r="W69" i="11"/>
  <c r="W331" i="11"/>
  <c r="W135" i="11"/>
  <c r="W391" i="11"/>
  <c r="W309" i="11"/>
  <c r="W511" i="11"/>
  <c r="W291" i="11"/>
  <c r="W188" i="11"/>
  <c r="W244" i="11"/>
  <c r="W525" i="11"/>
  <c r="W375" i="11"/>
  <c r="W433" i="11"/>
  <c r="W397" i="11"/>
  <c r="W222" i="11"/>
  <c r="I23" i="11"/>
  <c r="L23" i="11" s="1"/>
  <c r="M71" i="11" s="1"/>
  <c r="L22" i="11"/>
  <c r="M70" i="11" s="1"/>
  <c r="X202" i="11" l="1"/>
  <c r="X106" i="11"/>
  <c r="X404" i="11"/>
  <c r="X83" i="11"/>
  <c r="X290" i="11"/>
  <c r="X140" i="11"/>
  <c r="X482" i="11"/>
  <c r="X107" i="11"/>
  <c r="X312" i="11"/>
  <c r="X512" i="11"/>
  <c r="X225" i="11"/>
  <c r="X361" i="11"/>
  <c r="X569" i="11"/>
  <c r="X169" i="11"/>
  <c r="X72" i="11"/>
  <c r="X340" i="11"/>
  <c r="X317" i="11"/>
  <c r="X517" i="11"/>
  <c r="X486" i="11"/>
  <c r="X149" i="11"/>
  <c r="X449" i="11"/>
  <c r="X296" i="11"/>
  <c r="X100" i="11"/>
  <c r="X440" i="11"/>
  <c r="X217" i="11"/>
  <c r="X353" i="11"/>
  <c r="X489" i="11"/>
  <c r="X71" i="11"/>
  <c r="X329" i="11"/>
  <c r="X259" i="11"/>
  <c r="X459" i="11"/>
  <c r="X595" i="11"/>
  <c r="X308" i="11"/>
  <c r="X516" i="11"/>
  <c r="X138" i="11"/>
  <c r="X457" i="11"/>
  <c r="X323" i="11"/>
  <c r="X523" i="11"/>
  <c r="X236" i="11"/>
  <c r="X372" i="11"/>
  <c r="X580" i="11"/>
  <c r="X257" i="11"/>
  <c r="X206" i="11"/>
  <c r="X200" i="11"/>
  <c r="X231" i="11"/>
  <c r="X367" i="11"/>
  <c r="X240" i="11"/>
  <c r="X297" i="11"/>
  <c r="X458" i="11"/>
  <c r="X178" i="11"/>
  <c r="X473" i="11"/>
  <c r="X158" i="11"/>
  <c r="X582" i="11"/>
  <c r="X598" i="11"/>
  <c r="X88" i="11"/>
  <c r="X254" i="11"/>
  <c r="X182" i="11"/>
  <c r="X571" i="11"/>
  <c r="X113" i="11"/>
  <c r="X401" i="11"/>
  <c r="X601" i="11"/>
  <c r="X314" i="11"/>
  <c r="X450" i="11"/>
  <c r="X235" i="11"/>
  <c r="X394" i="11"/>
  <c r="X125" i="11"/>
  <c r="X565" i="11"/>
  <c r="X472" i="11"/>
  <c r="X536" i="11"/>
  <c r="X66" i="11"/>
  <c r="X96" i="11"/>
  <c r="X444" i="11"/>
  <c r="X493" i="11"/>
  <c r="X279" i="11"/>
  <c r="X529" i="11"/>
  <c r="X306" i="11"/>
  <c r="X442" i="11"/>
  <c r="X82" i="11"/>
  <c r="X164" i="11"/>
  <c r="X123" i="11"/>
  <c r="X170" i="11"/>
  <c r="X180" i="11"/>
  <c r="X84" i="11"/>
  <c r="X245" i="11"/>
  <c r="X432" i="11"/>
  <c r="X490" i="11"/>
  <c r="X267" i="11"/>
  <c r="X403" i="11"/>
  <c r="X539" i="11"/>
  <c r="X324" i="11"/>
  <c r="X380" i="11"/>
  <c r="X69" i="11"/>
  <c r="X99" i="11"/>
  <c r="X136" i="11"/>
  <c r="X137" i="11"/>
  <c r="X247" i="11"/>
  <c r="X455" i="11"/>
  <c r="X252" i="11"/>
  <c r="X454" i="11"/>
  <c r="X265" i="11"/>
  <c r="X167" i="11"/>
  <c r="X395" i="11"/>
  <c r="X531" i="11"/>
  <c r="X244" i="11"/>
  <c r="X326" i="11"/>
  <c r="X532" i="11"/>
  <c r="X445" i="11"/>
  <c r="X550" i="11"/>
  <c r="X526" i="11"/>
  <c r="X447" i="11"/>
  <c r="X538" i="11"/>
  <c r="X494" i="11"/>
  <c r="X596" i="11"/>
  <c r="X509" i="11"/>
  <c r="X542" i="11"/>
  <c r="X114" i="11"/>
  <c r="X344" i="11"/>
  <c r="X371" i="11"/>
  <c r="X474" i="11"/>
  <c r="X194" i="11"/>
  <c r="X209" i="11"/>
  <c r="X409" i="11"/>
  <c r="X545" i="11"/>
  <c r="X362" i="11"/>
  <c r="X183" i="11"/>
  <c r="X358" i="11"/>
  <c r="X127" i="11"/>
  <c r="X518" i="11"/>
  <c r="X278" i="11"/>
  <c r="X564" i="11"/>
  <c r="X243" i="11"/>
  <c r="X173" i="11"/>
  <c r="X90" i="11"/>
  <c r="X471" i="11"/>
  <c r="X146" i="11"/>
  <c r="X93" i="11"/>
  <c r="X195" i="11"/>
  <c r="X142" i="11"/>
  <c r="X117" i="11"/>
  <c r="X276" i="11"/>
  <c r="X253" i="11"/>
  <c r="X453" i="11"/>
  <c r="X589" i="11"/>
  <c r="X414" i="11"/>
  <c r="X424" i="11"/>
  <c r="X207" i="11"/>
  <c r="X171" i="11"/>
  <c r="X376" i="11"/>
  <c r="X576" i="11"/>
  <c r="X289" i="11"/>
  <c r="X425" i="11"/>
  <c r="X210" i="11"/>
  <c r="X198" i="11"/>
  <c r="X470" i="11"/>
  <c r="X468" i="11"/>
  <c r="X381" i="11"/>
  <c r="X581" i="11"/>
  <c r="X478" i="11"/>
  <c r="X143" i="11"/>
  <c r="X197" i="11"/>
  <c r="X86" i="11"/>
  <c r="X129" i="11"/>
  <c r="X239" i="11"/>
  <c r="X375" i="11"/>
  <c r="X583" i="11"/>
  <c r="X349" i="11"/>
  <c r="X406" i="11"/>
  <c r="X120" i="11"/>
  <c r="X193" i="11"/>
  <c r="X303" i="11"/>
  <c r="X439" i="11"/>
  <c r="X224" i="11"/>
  <c r="X350" i="11"/>
  <c r="X187" i="11"/>
  <c r="X521" i="11"/>
  <c r="X387" i="11"/>
  <c r="X587" i="11"/>
  <c r="X300" i="11"/>
  <c r="X562" i="11"/>
  <c r="X260" i="11"/>
  <c r="X263" i="11"/>
  <c r="X241" i="11"/>
  <c r="X255" i="11"/>
  <c r="X85" i="11"/>
  <c r="X282" i="11"/>
  <c r="X80" i="11"/>
  <c r="X116" i="11"/>
  <c r="X364" i="11"/>
  <c r="X104" i="11"/>
  <c r="X602" i="11"/>
  <c r="X537" i="11"/>
  <c r="X185" i="11"/>
  <c r="X597" i="11"/>
  <c r="X385" i="11"/>
  <c r="X325" i="11"/>
  <c r="X357" i="11"/>
  <c r="X248" i="11"/>
  <c r="X130" i="11"/>
  <c r="X365" i="11"/>
  <c r="X168" i="11"/>
  <c r="X415" i="11"/>
  <c r="X328" i="11"/>
  <c r="X464" i="11"/>
  <c r="X435" i="11"/>
  <c r="X214" i="11"/>
  <c r="X256" i="11"/>
  <c r="X392" i="11"/>
  <c r="X313" i="11"/>
  <c r="X268" i="11"/>
  <c r="X443" i="11"/>
  <c r="X476" i="11"/>
  <c r="X397" i="11"/>
  <c r="X134" i="11"/>
  <c r="X335" i="11"/>
  <c r="X205" i="11"/>
  <c r="X233" i="11"/>
  <c r="X547" i="11"/>
  <c r="X511" i="11"/>
  <c r="X145" i="11"/>
  <c r="X527" i="11"/>
  <c r="X250" i="11"/>
  <c r="X515" i="11"/>
  <c r="X288" i="11"/>
  <c r="X520" i="11"/>
  <c r="X301" i="11"/>
  <c r="X555" i="11"/>
  <c r="X119" i="11"/>
  <c r="X135" i="11"/>
  <c r="X189" i="11"/>
  <c r="X560" i="11"/>
  <c r="X102" i="11"/>
  <c r="X184" i="11"/>
  <c r="X334" i="11"/>
  <c r="X215" i="11"/>
  <c r="X196" i="11"/>
  <c r="X501" i="11"/>
  <c r="X575" i="11"/>
  <c r="X216" i="11"/>
  <c r="X305" i="11"/>
  <c r="X165" i="11"/>
  <c r="X557" i="11"/>
  <c r="X237" i="11"/>
  <c r="X177" i="11"/>
  <c r="X465" i="11"/>
  <c r="X242" i="11"/>
  <c r="X378" i="11"/>
  <c r="X514" i="11"/>
  <c r="X299" i="11"/>
  <c r="X227" i="11"/>
  <c r="X270" i="11"/>
  <c r="X92" i="11"/>
  <c r="X369" i="11"/>
  <c r="X246" i="11"/>
  <c r="X179" i="11"/>
  <c r="X148" i="11"/>
  <c r="X151" i="11"/>
  <c r="X249" i="11"/>
  <c r="X479" i="11"/>
  <c r="X528" i="11"/>
  <c r="X67" i="11"/>
  <c r="X261" i="11"/>
  <c r="X452" i="11"/>
  <c r="X199" i="11"/>
  <c r="X510" i="11"/>
  <c r="X373" i="11"/>
  <c r="X433" i="11"/>
  <c r="X389" i="11"/>
  <c r="X566" i="11"/>
  <c r="X154" i="11"/>
  <c r="X186" i="11"/>
  <c r="X223" i="11"/>
  <c r="X79" i="11"/>
  <c r="X499" i="11"/>
  <c r="X220" i="11"/>
  <c r="X64" i="11"/>
  <c r="X534" i="11"/>
  <c r="X551" i="11"/>
  <c r="X341" i="11"/>
  <c r="X89" i="11"/>
  <c r="X302" i="11"/>
  <c r="X97" i="11"/>
  <c r="X502" i="11"/>
  <c r="X318" i="11"/>
  <c r="X150" i="11"/>
  <c r="X488" i="11"/>
  <c r="X599" i="11"/>
  <c r="X498" i="11"/>
  <c r="X115" i="11"/>
  <c r="X230" i="11"/>
  <c r="X588" i="11"/>
  <c r="X81" i="11"/>
  <c r="X497" i="11"/>
  <c r="X451" i="11"/>
  <c r="X229" i="11"/>
  <c r="X160" i="11"/>
  <c r="X396" i="11"/>
  <c r="X503" i="11"/>
  <c r="X131" i="11"/>
  <c r="X347" i="11"/>
  <c r="X266" i="11"/>
  <c r="X413" i="11"/>
  <c r="X109" i="11"/>
  <c r="X310" i="11"/>
  <c r="X122" i="11"/>
  <c r="X352" i="11"/>
  <c r="X418" i="11"/>
  <c r="X284" i="11"/>
  <c r="X491" i="11"/>
  <c r="X172" i="11"/>
  <c r="X108" i="11"/>
  <c r="X273" i="11"/>
  <c r="X492" i="11"/>
  <c r="X65" i="11"/>
  <c r="X412" i="11"/>
  <c r="X600" i="11"/>
  <c r="X121" i="11"/>
  <c r="X181" i="11"/>
  <c r="X110" i="11"/>
  <c r="X304" i="11"/>
  <c r="X579" i="11"/>
  <c r="X272" i="11"/>
  <c r="X462" i="11"/>
  <c r="X487" i="11"/>
  <c r="X277" i="11"/>
  <c r="X133" i="11"/>
  <c r="X484" i="11"/>
  <c r="X519" i="11"/>
  <c r="X504" i="11"/>
  <c r="X417" i="11"/>
  <c r="X338" i="11"/>
  <c r="X78" i="11"/>
  <c r="X345" i="11"/>
  <c r="X166" i="11"/>
  <c r="X176" i="11"/>
  <c r="X309" i="11"/>
  <c r="X238" i="11"/>
  <c r="X275" i="11"/>
  <c r="X508" i="11"/>
  <c r="X156" i="11"/>
  <c r="X258" i="11"/>
  <c r="X132" i="11"/>
  <c r="X295" i="11"/>
  <c r="X203" i="11"/>
  <c r="X475" i="11"/>
  <c r="X386" i="11"/>
  <c r="X422" i="11"/>
  <c r="X355" i="11"/>
  <c r="X437" i="11"/>
  <c r="X315" i="11"/>
  <c r="X556" i="11"/>
  <c r="X219" i="11"/>
  <c r="X98" i="11"/>
  <c r="X585" i="11"/>
  <c r="X410" i="11"/>
  <c r="X574" i="11"/>
  <c r="X332" i="11"/>
  <c r="X405" i="11"/>
  <c r="X320" i="11"/>
  <c r="X139" i="11"/>
  <c r="X428" i="11"/>
  <c r="X218" i="11"/>
  <c r="X162" i="11"/>
  <c r="X382" i="11"/>
  <c r="X393" i="11"/>
  <c r="X126" i="11"/>
  <c r="X213" i="11"/>
  <c r="X192" i="11"/>
  <c r="X331" i="11"/>
  <c r="X544" i="11"/>
  <c r="X155" i="11"/>
  <c r="X201" i="11"/>
  <c r="X95" i="11"/>
  <c r="X593" i="11"/>
  <c r="X506" i="11"/>
  <c r="X427" i="11"/>
  <c r="X407" i="11"/>
  <c r="X434" i="11"/>
  <c r="X283" i="11"/>
  <c r="X572" i="11"/>
  <c r="X280" i="11"/>
  <c r="X101" i="11"/>
  <c r="X152" i="11"/>
  <c r="X105" i="11"/>
  <c r="X232" i="11"/>
  <c r="X274" i="11"/>
  <c r="X337" i="11"/>
  <c r="X228" i="11"/>
  <c r="X591" i="11"/>
  <c r="X377" i="11"/>
  <c r="X438" i="11"/>
  <c r="X530" i="11"/>
  <c r="X507" i="11"/>
  <c r="X411" i="11"/>
  <c r="X559" i="11"/>
  <c r="X370" i="11"/>
  <c r="X430" i="11"/>
  <c r="X416" i="11"/>
  <c r="X495" i="11"/>
  <c r="X128" i="11"/>
  <c r="X554" i="11"/>
  <c r="X548" i="11"/>
  <c r="X590" i="11"/>
  <c r="X339" i="11"/>
  <c r="X330" i="11"/>
  <c r="X118" i="11"/>
  <c r="X535" i="11"/>
  <c r="X94" i="11"/>
  <c r="X423" i="11"/>
  <c r="X391" i="11"/>
  <c r="X91" i="11"/>
  <c r="X420" i="11"/>
  <c r="X388" i="11"/>
  <c r="X111" i="11"/>
  <c r="X264" i="11"/>
  <c r="X390" i="11"/>
  <c r="X348" i="11"/>
  <c r="X269" i="11"/>
  <c r="X294" i="11"/>
  <c r="X379" i="11"/>
  <c r="X175" i="11"/>
  <c r="X469" i="11"/>
  <c r="X321" i="11"/>
  <c r="X543" i="11"/>
  <c r="X456" i="11"/>
  <c r="X500" i="11"/>
  <c r="X124" i="11"/>
  <c r="X147" i="11"/>
  <c r="X477" i="11"/>
  <c r="X408" i="11"/>
  <c r="X431" i="11"/>
  <c r="X541" i="11"/>
  <c r="X524" i="11"/>
  <c r="X354" i="11"/>
  <c r="X293" i="11"/>
  <c r="X87" i="11"/>
  <c r="X594" i="11"/>
  <c r="X549" i="11"/>
  <c r="X319" i="11"/>
  <c r="X429" i="11"/>
  <c r="X448" i="11"/>
  <c r="X384" i="11"/>
  <c r="X441" i="11"/>
  <c r="X68" i="11"/>
  <c r="X285" i="11"/>
  <c r="X316" i="11"/>
  <c r="X112" i="11"/>
  <c r="X191" i="11"/>
  <c r="X76" i="11"/>
  <c r="X356" i="11"/>
  <c r="X480" i="11"/>
  <c r="X496" i="11"/>
  <c r="X190" i="11"/>
  <c r="X485" i="11"/>
  <c r="X77" i="11"/>
  <c r="X204" i="11"/>
  <c r="X262" i="11"/>
  <c r="X342" i="11"/>
  <c r="X141" i="11"/>
  <c r="X399" i="11"/>
  <c r="X383" i="11"/>
  <c r="X163" i="11"/>
  <c r="X161" i="11"/>
  <c r="X271" i="11"/>
  <c r="X298" i="11"/>
  <c r="X211" i="11"/>
  <c r="X505" i="11"/>
  <c r="X525" i="11"/>
  <c r="X368" i="11"/>
  <c r="X212" i="11"/>
  <c r="X174" i="11"/>
  <c r="X322" i="11"/>
  <c r="X360" i="11"/>
  <c r="X563" i="11"/>
  <c r="X359" i="11"/>
  <c r="X460" i="11"/>
  <c r="X540" i="11"/>
  <c r="X552" i="11"/>
  <c r="X483" i="11"/>
  <c r="X436" i="11"/>
  <c r="X584" i="11"/>
  <c r="X70" i="11"/>
  <c r="X463" i="11"/>
  <c r="X522" i="11"/>
  <c r="X74" i="11"/>
  <c r="X287" i="11"/>
  <c r="X400" i="11"/>
  <c r="X234" i="11"/>
  <c r="X374" i="11"/>
  <c r="X144" i="11"/>
  <c r="X208" i="11"/>
  <c r="X159" i="11"/>
  <c r="X446" i="11"/>
  <c r="X336" i="11"/>
  <c r="X251" i="11"/>
  <c r="X558" i="11"/>
  <c r="X286" i="11"/>
  <c r="X592" i="11"/>
  <c r="X363" i="11"/>
  <c r="X577" i="11"/>
  <c r="X103" i="11"/>
  <c r="X226" i="11"/>
  <c r="X398" i="11"/>
  <c r="X366" i="11"/>
  <c r="X73" i="11"/>
  <c r="X421" i="11"/>
  <c r="X546" i="11"/>
  <c r="X467" i="11"/>
  <c r="X346" i="11"/>
  <c r="X351" i="11"/>
  <c r="X311" i="11"/>
  <c r="X157" i="11"/>
  <c r="X281" i="11"/>
  <c r="X553" i="11"/>
  <c r="X221" i="11"/>
  <c r="X568" i="11"/>
  <c r="X481" i="11"/>
  <c r="X402" i="11"/>
  <c r="X75" i="11"/>
  <c r="X573" i="11"/>
  <c r="X153" i="11"/>
  <c r="X586" i="11"/>
  <c r="X307" i="11"/>
  <c r="X426" i="11"/>
  <c r="X533" i="11"/>
  <c r="X292" i="11"/>
  <c r="X561" i="11"/>
  <c r="X419" i="11"/>
  <c r="X343" i="11"/>
  <c r="X570" i="11"/>
  <c r="X222" i="11"/>
  <c r="X327" i="11"/>
  <c r="X461" i="11"/>
  <c r="X188" i="11"/>
  <c r="X513" i="11"/>
  <c r="X578" i="11"/>
  <c r="X333" i="11"/>
  <c r="X291" i="11"/>
  <c r="X466" i="11"/>
  <c r="X567" i="11"/>
  <c r="Q69" i="11"/>
  <c r="B21" i="11" s="1"/>
  <c r="Y93" i="11"/>
  <c r="Y210" i="11"/>
  <c r="Y386" i="11"/>
  <c r="Y588" i="11"/>
  <c r="Y340" i="11"/>
  <c r="Y220" i="11"/>
  <c r="Y587" i="11"/>
  <c r="Y110" i="11"/>
  <c r="Y471" i="11"/>
  <c r="Y600" i="11"/>
  <c r="Y480" i="11"/>
  <c r="Y232" i="11"/>
  <c r="Y519" i="11"/>
  <c r="Y399" i="11"/>
  <c r="Y223" i="11"/>
  <c r="Y178" i="11"/>
  <c r="Y90" i="11"/>
  <c r="Y221" i="11"/>
  <c r="Y101" i="11"/>
  <c r="Y274" i="11"/>
  <c r="Y498" i="11"/>
  <c r="Y468" i="11"/>
  <c r="Y348" i="11"/>
  <c r="Y172" i="11"/>
  <c r="Y87" i="11"/>
  <c r="Y448" i="11"/>
  <c r="Y185" i="11"/>
  <c r="Y65" i="11"/>
  <c r="Y360" i="11"/>
  <c r="Y112" i="11"/>
  <c r="Y527" i="11"/>
  <c r="Y351" i="11"/>
  <c r="Y482" i="11"/>
  <c r="Y113" i="11"/>
  <c r="Y454" i="11"/>
  <c r="Y334" i="11"/>
  <c r="Y86" i="11"/>
  <c r="Y373" i="11"/>
  <c r="Y253" i="11"/>
  <c r="Y77" i="11"/>
  <c r="Y82" i="11"/>
  <c r="Y530" i="11"/>
  <c r="Y510" i="11"/>
  <c r="Y98" i="11"/>
  <c r="Y89" i="11"/>
  <c r="Y80" i="11"/>
  <c r="Y160" i="11"/>
  <c r="Y554" i="11"/>
  <c r="Y551" i="11"/>
  <c r="Y421" i="11"/>
  <c r="Y115" i="11"/>
  <c r="Y195" i="11"/>
  <c r="Y252" i="11"/>
  <c r="Y391" i="11"/>
  <c r="Y194" i="11"/>
  <c r="Y249" i="11"/>
  <c r="Y309" i="11"/>
  <c r="Y553" i="11"/>
  <c r="Y518" i="11"/>
  <c r="Y332" i="11"/>
  <c r="Y479" i="11"/>
  <c r="Y231" i="11"/>
  <c r="Y145" i="11"/>
  <c r="Y392" i="11"/>
  <c r="Y222" i="11"/>
  <c r="Y219" i="11"/>
  <c r="Y368" i="11"/>
  <c r="Y238" i="11"/>
  <c r="Y70" i="11"/>
  <c r="Y485" i="11"/>
  <c r="Y237" i="11"/>
  <c r="Y162" i="11"/>
  <c r="Y514" i="11"/>
  <c r="Y122" i="11"/>
  <c r="Y556" i="11"/>
  <c r="Y545" i="11"/>
  <c r="Y356" i="11"/>
  <c r="Y569" i="11"/>
  <c r="Y449" i="11"/>
  <c r="Y201" i="11"/>
  <c r="Y496" i="11"/>
  <c r="Y376" i="11"/>
  <c r="Y200" i="11"/>
  <c r="Y85" i="11"/>
  <c r="Y151" i="11"/>
  <c r="Y198" i="11"/>
  <c r="Y78" i="11"/>
  <c r="Y365" i="11"/>
  <c r="Y117" i="11"/>
  <c r="Y402" i="11"/>
  <c r="Y578" i="11"/>
  <c r="Y242" i="11"/>
  <c r="Y515" i="11"/>
  <c r="Y74" i="11"/>
  <c r="Y155" i="11"/>
  <c r="Y577" i="11"/>
  <c r="Y329" i="11"/>
  <c r="Y81" i="11"/>
  <c r="Y504" i="11"/>
  <c r="Y328" i="11"/>
  <c r="Y597" i="11"/>
  <c r="Y128" i="11"/>
  <c r="Y431" i="11"/>
  <c r="Y311" i="11"/>
  <c r="Y598" i="11"/>
  <c r="Y350" i="11"/>
  <c r="Y230" i="11"/>
  <c r="Y589" i="11"/>
  <c r="Y558" i="11"/>
  <c r="Y359" i="11"/>
  <c r="Y403" i="11"/>
  <c r="Y127" i="11"/>
  <c r="Y476" i="11"/>
  <c r="Y97" i="11"/>
  <c r="Y291" i="11"/>
  <c r="Y79" i="11"/>
  <c r="Y320" i="11"/>
  <c r="Y224" i="11"/>
  <c r="Y570" i="11"/>
  <c r="Y211" i="11"/>
  <c r="Y206" i="11"/>
  <c r="Y179" i="11"/>
  <c r="Y164" i="11"/>
  <c r="Y380" i="11"/>
  <c r="Y176" i="11"/>
  <c r="Y138" i="11"/>
  <c r="Y313" i="11"/>
  <c r="Y437" i="11"/>
  <c r="Y331" i="11"/>
  <c r="Y303" i="11"/>
  <c r="Y461" i="11"/>
  <c r="Y389" i="11"/>
  <c r="Y248" i="11"/>
  <c r="Y442" i="11"/>
  <c r="Y571" i="11"/>
  <c r="Y276" i="11"/>
  <c r="Y582" i="11"/>
  <c r="Y462" i="11"/>
  <c r="Y214" i="11"/>
  <c r="Y501" i="11"/>
  <c r="Y381" i="11"/>
  <c r="Y205" i="11"/>
  <c r="Y538" i="11"/>
  <c r="Y595" i="11"/>
  <c r="Y487" i="11"/>
  <c r="Y539" i="11"/>
  <c r="Y419" i="11"/>
  <c r="Y171" i="11"/>
  <c r="Y465" i="11"/>
  <c r="Y345" i="11"/>
  <c r="Y169" i="11"/>
  <c r="Y528" i="11"/>
  <c r="Y579" i="11"/>
  <c r="Y175" i="11"/>
  <c r="Y590" i="11"/>
  <c r="Y342" i="11"/>
  <c r="Y94" i="11"/>
  <c r="Y509" i="11"/>
  <c r="Y333" i="11"/>
  <c r="Y69" i="11"/>
  <c r="Y405" i="11"/>
  <c r="Y464" i="11"/>
  <c r="Y124" i="11"/>
  <c r="Y547" i="11"/>
  <c r="Y299" i="11"/>
  <c r="Y593" i="11"/>
  <c r="Y473" i="11"/>
  <c r="Y297" i="11"/>
  <c r="Y497" i="11"/>
  <c r="Y548" i="11"/>
  <c r="Y408" i="11"/>
  <c r="Y288" i="11"/>
  <c r="Y575" i="11"/>
  <c r="Y327" i="11"/>
  <c r="Y207" i="11"/>
  <c r="Y566" i="11"/>
  <c r="Y451" i="11"/>
  <c r="Y244" i="11"/>
  <c r="Y349" i="11"/>
  <c r="Y457" i="11"/>
  <c r="Y118" i="11"/>
  <c r="Y417" i="11"/>
  <c r="Y226" i="11"/>
  <c r="Y217" i="11"/>
  <c r="Y275" i="11"/>
  <c r="Y68" i="11"/>
  <c r="Y143" i="11"/>
  <c r="Y289" i="11"/>
  <c r="Y352" i="11"/>
  <c r="Y125" i="11"/>
  <c r="Y467" i="11"/>
  <c r="Y270" i="11"/>
  <c r="Y307" i="11"/>
  <c r="Y418" i="11"/>
  <c r="Y370" i="11"/>
  <c r="Y240" i="11"/>
  <c r="Y594" i="11"/>
  <c r="Y321" i="11"/>
  <c r="Y247" i="11"/>
  <c r="Y147" i="11"/>
  <c r="Y395" i="11"/>
  <c r="Y286" i="11"/>
  <c r="Y581" i="11"/>
  <c r="Y215" i="11"/>
  <c r="Y559" i="11"/>
  <c r="Y439" i="11"/>
  <c r="Y191" i="11"/>
  <c r="Y478" i="11"/>
  <c r="Y358" i="11"/>
  <c r="Y182" i="11"/>
  <c r="Y535" i="11"/>
  <c r="Y536" i="11"/>
  <c r="Y416" i="11"/>
  <c r="Y168" i="11"/>
  <c r="Y455" i="11"/>
  <c r="Y335" i="11"/>
  <c r="Y159" i="11"/>
  <c r="Y420" i="11"/>
  <c r="Y314" i="11"/>
  <c r="Y157" i="11"/>
  <c r="Y154" i="11"/>
  <c r="Y330" i="11"/>
  <c r="Y490" i="11"/>
  <c r="Y404" i="11"/>
  <c r="Y284" i="11"/>
  <c r="Y108" i="11"/>
  <c r="Y366" i="11"/>
  <c r="Y192" i="11"/>
  <c r="Y121" i="11"/>
  <c r="Y544" i="11"/>
  <c r="Y296" i="11"/>
  <c r="Y583" i="11"/>
  <c r="Y463" i="11"/>
  <c r="Y287" i="11"/>
  <c r="Y586" i="11"/>
  <c r="Y446" i="11"/>
  <c r="Y285" i="11"/>
  <c r="Y165" i="11"/>
  <c r="Y218" i="11"/>
  <c r="Y506" i="11"/>
  <c r="Y532" i="11"/>
  <c r="Y412" i="11"/>
  <c r="Y236" i="11"/>
  <c r="Y343" i="11"/>
  <c r="Y161" i="11"/>
  <c r="Y347" i="11"/>
  <c r="Y227" i="11"/>
  <c r="Y521" i="11"/>
  <c r="Y273" i="11"/>
  <c r="Y153" i="11"/>
  <c r="Y520" i="11"/>
  <c r="Y295" i="11"/>
  <c r="Y353" i="11"/>
  <c r="Y283" i="11"/>
  <c r="Y414" i="11"/>
  <c r="Y300" i="11"/>
  <c r="Y413" i="11"/>
  <c r="Y585" i="11"/>
  <c r="Y438" i="11"/>
  <c r="Y131" i="11"/>
  <c r="Y511" i="11"/>
  <c r="Y114" i="11"/>
  <c r="Y130" i="11"/>
  <c r="Y493" i="11"/>
  <c r="Y601" i="11"/>
  <c r="Y500" i="11"/>
  <c r="Y260" i="11"/>
  <c r="Y591" i="11"/>
  <c r="Y186" i="11"/>
  <c r="Y193" i="11"/>
  <c r="Y317" i="11"/>
  <c r="Y339" i="11"/>
  <c r="Y102" i="11"/>
  <c r="Y367" i="11"/>
  <c r="Y73" i="11"/>
  <c r="Y302" i="11"/>
  <c r="Y523" i="11"/>
  <c r="Y266" i="11"/>
  <c r="Y355" i="11"/>
  <c r="Y401" i="11"/>
  <c r="Y281" i="11"/>
  <c r="Y272" i="11"/>
  <c r="Y323" i="11"/>
  <c r="Y526" i="11"/>
  <c r="Y278" i="11"/>
  <c r="Y505" i="11"/>
  <c r="Y385" i="11"/>
  <c r="Y137" i="11"/>
  <c r="Y432" i="11"/>
  <c r="Y312" i="11"/>
  <c r="Y136" i="11"/>
  <c r="Y564" i="11"/>
  <c r="Y430" i="11"/>
  <c r="Y134" i="11"/>
  <c r="Y549" i="11"/>
  <c r="Y301" i="11"/>
  <c r="Y354" i="11"/>
  <c r="Y458" i="11"/>
  <c r="Y66" i="11"/>
  <c r="Y234" i="11"/>
  <c r="Y259" i="11"/>
  <c r="Y170" i="11"/>
  <c r="Y91" i="11"/>
  <c r="Y513" i="11"/>
  <c r="Y265" i="11"/>
  <c r="Y560" i="11"/>
  <c r="Y440" i="11"/>
  <c r="Y264" i="11"/>
  <c r="Y341" i="11"/>
  <c r="Y407" i="11"/>
  <c r="Y262" i="11"/>
  <c r="Y142" i="11"/>
  <c r="Y429" i="11"/>
  <c r="Y181" i="11"/>
  <c r="Y346" i="11"/>
  <c r="Y522" i="11"/>
  <c r="Y250" i="11"/>
  <c r="Y228" i="11"/>
  <c r="Y277" i="11"/>
  <c r="Y316" i="11"/>
  <c r="Y196" i="11"/>
  <c r="Y491" i="11"/>
  <c r="Y243" i="11"/>
  <c r="Y123" i="11"/>
  <c r="Y489" i="11"/>
  <c r="Y180" i="11"/>
  <c r="Y469" i="11"/>
  <c r="Y229" i="11"/>
  <c r="Y209" i="11"/>
  <c r="Y279" i="11"/>
  <c r="Y280" i="11"/>
  <c r="Y394" i="11"/>
  <c r="Y584" i="11"/>
  <c r="Y541" i="11"/>
  <c r="Y363" i="11"/>
  <c r="Y502" i="11"/>
  <c r="Y100" i="11"/>
  <c r="Y104" i="11"/>
  <c r="Y466" i="11"/>
  <c r="Y474" i="11"/>
  <c r="Y557" i="11"/>
  <c r="Y187" i="11"/>
  <c r="Y308" i="11"/>
  <c r="Y580" i="11"/>
  <c r="Y120" i="11"/>
  <c r="Y144" i="11"/>
  <c r="Y72" i="11"/>
  <c r="Y99" i="11"/>
  <c r="Y393" i="11"/>
  <c r="Y183" i="11"/>
  <c r="Y103" i="11"/>
  <c r="Y534" i="11"/>
  <c r="Y475" i="11"/>
  <c r="Y107" i="11"/>
  <c r="Y105" i="11"/>
  <c r="Y111" i="11"/>
  <c r="Y565" i="11"/>
  <c r="Y444" i="11"/>
  <c r="Y83" i="11"/>
  <c r="Y542" i="11"/>
  <c r="Y546" i="11"/>
  <c r="Y152" i="11"/>
  <c r="Y204" i="11"/>
  <c r="Y233" i="11"/>
  <c r="Y298" i="11"/>
  <c r="Y383" i="11"/>
  <c r="Y397" i="11"/>
  <c r="Y261" i="11"/>
  <c r="Y109" i="11"/>
  <c r="Y92" i="11"/>
  <c r="Y453" i="11"/>
  <c r="Y294" i="11"/>
  <c r="Y199" i="11"/>
  <c r="Y173" i="11"/>
  <c r="Y472" i="11"/>
  <c r="Y533" i="11"/>
  <c r="Y436" i="11"/>
  <c r="Y141" i="11"/>
  <c r="Y524" i="11"/>
  <c r="Y568" i="11"/>
  <c r="Y562" i="11"/>
  <c r="Y84" i="11"/>
  <c r="Y372" i="11"/>
  <c r="Y290" i="11"/>
  <c r="Y576" i="11"/>
  <c r="Y326" i="11"/>
  <c r="Y525" i="11"/>
  <c r="Y324" i="11"/>
  <c r="Y202" i="11"/>
  <c r="Y435" i="11"/>
  <c r="Y256" i="11"/>
  <c r="Y64" i="11"/>
  <c r="Y71" i="11"/>
  <c r="Y203" i="11"/>
  <c r="Y239" i="11"/>
  <c r="Y268" i="11"/>
  <c r="Y374" i="11"/>
  <c r="Y177" i="11"/>
  <c r="Y552" i="11"/>
  <c r="Y106" i="11"/>
  <c r="Y494" i="11"/>
  <c r="Y456" i="11"/>
  <c r="Y337" i="11"/>
  <c r="Y282" i="11"/>
  <c r="Y132" i="11"/>
  <c r="Y390" i="11"/>
  <c r="Y423" i="11"/>
  <c r="Y213" i="11"/>
  <c r="Y166" i="11"/>
  <c r="Y378" i="11"/>
  <c r="Y344" i="11"/>
  <c r="Y139" i="11"/>
  <c r="Y443" i="11"/>
  <c r="Y447" i="11"/>
  <c r="Y507" i="11"/>
  <c r="Y76" i="11"/>
  <c r="Y88" i="11"/>
  <c r="Y445" i="11"/>
  <c r="Y146" i="11"/>
  <c r="Y572" i="11"/>
  <c r="Y529" i="11"/>
  <c r="Y512" i="11"/>
  <c r="Y216" i="11"/>
  <c r="Y158" i="11"/>
  <c r="Y267" i="11"/>
  <c r="Y477" i="11"/>
  <c r="Y460" i="11"/>
  <c r="Y543" i="11"/>
  <c r="Y387" i="11"/>
  <c r="Y574" i="11"/>
  <c r="Y540" i="11"/>
  <c r="Y263" i="11"/>
  <c r="Y427" i="11"/>
  <c r="Y129" i="11"/>
  <c r="Y254" i="11"/>
  <c r="Y197" i="11"/>
  <c r="Y156" i="11"/>
  <c r="Y470" i="11"/>
  <c r="Y293" i="11"/>
  <c r="Y140" i="11"/>
  <c r="Y434" i="11"/>
  <c r="Y188" i="11"/>
  <c r="Y371" i="11"/>
  <c r="Y508" i="11"/>
  <c r="Y422" i="11"/>
  <c r="Y149" i="11"/>
  <c r="Y567" i="11"/>
  <c r="Y499" i="11"/>
  <c r="Y241" i="11"/>
  <c r="Y362" i="11"/>
  <c r="Y135" i="11"/>
  <c r="Y325" i="11"/>
  <c r="Y377" i="11"/>
  <c r="Y338" i="11"/>
  <c r="Y459" i="11"/>
  <c r="Y495" i="11"/>
  <c r="Y599" i="11"/>
  <c r="Y364" i="11"/>
  <c r="Y537" i="11"/>
  <c r="Y245" i="11"/>
  <c r="Y424" i="11"/>
  <c r="Y398" i="11"/>
  <c r="Y517" i="11"/>
  <c r="Y441" i="11"/>
  <c r="Y174" i="11"/>
  <c r="Y306" i="11"/>
  <c r="Y379" i="11"/>
  <c r="Y550" i="11"/>
  <c r="Y133" i="11"/>
  <c r="Y425" i="11"/>
  <c r="Y369" i="11"/>
  <c r="Y251" i="11"/>
  <c r="Y503" i="11"/>
  <c r="Y315" i="11"/>
  <c r="Y592" i="11"/>
  <c r="Y483" i="11"/>
  <c r="Y486" i="11"/>
  <c r="Y190" i="11"/>
  <c r="Y119" i="11"/>
  <c r="Y563" i="11"/>
  <c r="Y225" i="11"/>
  <c r="Y322" i="11"/>
  <c r="Y304" i="11"/>
  <c r="Y428" i="11"/>
  <c r="Y375" i="11"/>
  <c r="Y116" i="11"/>
  <c r="Y481" i="11"/>
  <c r="Y361" i="11"/>
  <c r="Y271" i="11"/>
  <c r="Y555" i="11"/>
  <c r="Y150" i="11"/>
  <c r="Y396" i="11"/>
  <c r="Y426" i="11"/>
  <c r="Y384" i="11"/>
  <c r="Y255" i="11"/>
  <c r="Y319" i="11"/>
  <c r="Y292" i="11"/>
  <c r="Y126" i="11"/>
  <c r="Y450" i="11"/>
  <c r="Y410" i="11"/>
  <c r="Y235" i="11"/>
  <c r="Y310" i="11"/>
  <c r="Y561" i="11"/>
  <c r="Y596" i="11"/>
  <c r="Y415" i="11"/>
  <c r="Y318" i="11"/>
  <c r="Y75" i="11"/>
  <c r="Y388" i="11"/>
  <c r="Y269" i="11"/>
  <c r="Y258" i="11"/>
  <c r="Y452" i="11"/>
  <c r="Y409" i="11"/>
  <c r="Y305" i="11"/>
  <c r="Y96" i="11"/>
  <c r="Y573" i="11"/>
  <c r="Y400" i="11"/>
  <c r="Y357" i="11"/>
  <c r="Y212" i="11"/>
  <c r="Y167" i="11"/>
  <c r="Y163" i="11"/>
  <c r="Y411" i="11"/>
  <c r="Y67" i="11"/>
  <c r="Y492" i="11"/>
  <c r="Y95" i="11"/>
  <c r="Y189" i="11"/>
  <c r="Y488" i="11"/>
  <c r="Y602" i="11"/>
  <c r="Y382" i="11"/>
  <c r="Y148" i="11"/>
  <c r="Y246" i="11"/>
  <c r="Y208" i="11"/>
  <c r="Y516" i="11"/>
  <c r="Y257" i="11"/>
  <c r="Y531" i="11"/>
  <c r="Y433" i="11"/>
  <c r="Y336" i="11"/>
  <c r="Y406" i="11"/>
  <c r="Y184" i="11"/>
  <c r="Y484" i="11"/>
  <c r="Q71" i="11" l="1"/>
  <c r="B23" i="11" s="1"/>
  <c r="Q70" i="11"/>
  <c r="B22" i="11" s="1"/>
</calcChain>
</file>

<file path=xl/sharedStrings.xml><?xml version="1.0" encoding="utf-8"?>
<sst xmlns="http://schemas.openxmlformats.org/spreadsheetml/2006/main" count="559" uniqueCount="374">
  <si>
    <t>LIIKEVAIHTO</t>
  </si>
  <si>
    <t>PYSYVÄT VASTAAVAT</t>
  </si>
  <si>
    <t>Sijoitukset</t>
  </si>
  <si>
    <t>VAIHTUVAT VASTAAVAT</t>
  </si>
  <si>
    <t>Vaihto-omaisuus</t>
  </si>
  <si>
    <t>Rahoitusarvopaperit</t>
  </si>
  <si>
    <t>VASTAAVAA YHTEENSÄ</t>
  </si>
  <si>
    <t>Rahat ja pankkisaamiset</t>
  </si>
  <si>
    <t>Liittymismaksurahasto</t>
  </si>
  <si>
    <t>Pääomalainat</t>
  </si>
  <si>
    <t>VASTATTAVAA YHTEENSÄ</t>
  </si>
  <si>
    <t>Edellisten tilikausien voitto (tappio)</t>
  </si>
  <si>
    <t>Tilikauden voitto (tappio)</t>
  </si>
  <si>
    <t>Poistoero</t>
  </si>
  <si>
    <t>VIERAS PÄÄOMA</t>
  </si>
  <si>
    <t>+</t>
  </si>
  <si>
    <t>Liikearvo</t>
  </si>
  <si>
    <t>Saamiset</t>
  </si>
  <si>
    <t>Muut rahastot</t>
  </si>
  <si>
    <t>Häviösähkö</t>
  </si>
  <si>
    <t xml:space="preserve">– </t>
  </si>
  <si>
    <t>Poistoeron muutos liikearvosta</t>
  </si>
  <si>
    <t>Oikaistu tase</t>
  </si>
  <si>
    <t>Pysyvät vastaavat</t>
  </si>
  <si>
    <t>Vaihtuvat vastaavat</t>
  </si>
  <si>
    <t>Oikaistun taseen loppusumma</t>
  </si>
  <si>
    <t>Vastaavaa</t>
  </si>
  <si>
    <t>Vastattavaa</t>
  </si>
  <si>
    <t>Oma pääoma</t>
  </si>
  <si>
    <t>Oikaistun taseen tasauserä</t>
  </si>
  <si>
    <t>Vieras pääoma</t>
  </si>
  <si>
    <t xml:space="preserve">Korollinen </t>
  </si>
  <si>
    <t>Koroton</t>
  </si>
  <si>
    <t>Vastaavaa yhteensä</t>
  </si>
  <si>
    <t>Vastattavaa yhteensä</t>
  </si>
  <si>
    <t xml:space="preserve">Kohtuullinen tuotto </t>
  </si>
  <si>
    <t>Pääoman painotettu keskikustannus (WACC)</t>
  </si>
  <si>
    <t>Korollisen vieraan pääoman määrä</t>
  </si>
  <si>
    <t>Oman pääoman määrä</t>
  </si>
  <si>
    <t>Velaton beeta</t>
  </si>
  <si>
    <t>Verokanta %</t>
  </si>
  <si>
    <t>Tarkasteluvuosi</t>
  </si>
  <si>
    <t>Kohtuullinen tuotto (t€)</t>
  </si>
  <si>
    <t>Oman pääoman osuus</t>
  </si>
  <si>
    <t>= Toteutunut oikaistu tulos (t€)</t>
  </si>
  <si>
    <t>Laskentaparametrit</t>
  </si>
  <si>
    <t>Syötä kulut lomakkeeseen miinusmerkkisinä ja muutosrivit (vähennys/lisäys) otsikon määrittelemällä merkillä.</t>
  </si>
  <si>
    <t>Sähköverkon aineettomat hyödykkeet</t>
  </si>
  <si>
    <t>Muut aineettomat hyödykkeet</t>
  </si>
  <si>
    <t>Sähköverkon aineelliset hyödykkeet</t>
  </si>
  <si>
    <t>Muut aineelliset hyödykkeet</t>
  </si>
  <si>
    <t>Pakolliset varaukset</t>
  </si>
  <si>
    <t>Ulkopuoliset palvelut</t>
  </si>
  <si>
    <t xml:space="preserve">Ennakkomaksut ja keskeneräiset hankinnat </t>
  </si>
  <si>
    <t>Poistoeron muutos muista pysyvien vastaavien hyödykkeistä</t>
  </si>
  <si>
    <t>Verkon liittymismaksut 31.12.2004 tasearvoonsa</t>
  </si>
  <si>
    <t>Tilinpäätöksen lisätiedot:</t>
  </si>
  <si>
    <t>Tuotot osuuksista saman konsernin yrityksissä</t>
  </si>
  <si>
    <t>Muut korko- ja rahoitustuotot</t>
  </si>
  <si>
    <t>Arvonalentumiset vaihtuvien vastaavien rahoitusarvopapereista</t>
  </si>
  <si>
    <t>Pitkäaikaiset saamiset</t>
  </si>
  <si>
    <t>Lyhytaikaiset saamiset</t>
  </si>
  <si>
    <t>Tilinpäätöksen lisätiedot syötetään ilman etumerkkiä.</t>
  </si>
  <si>
    <t>Saadut konserniavustukset</t>
  </si>
  <si>
    <t>Vakiokorvaukset</t>
  </si>
  <si>
    <t>Asiakkaan keskimääräinen vuotuinen 1-70 kV:n verkon odottamattomista keskeytyksistä aiheutunut vuosienergioilla painotettu keskeytysaika (tuntia)</t>
  </si>
  <si>
    <t>Asiakkaan keskimääräinen vuotuinen 1-70 kV:n verkon suunnitelluista keskeytyksistä aiheutunut vuosienergioilla painotettu keskeytysaika (tuntia)</t>
  </si>
  <si>
    <t>Asiakkaan keskimääräinen vuotuinen 1-70 kV:n verkon odottamattomista keskeytyksistä aiheutunut vuosienergioilla painotettu keskeytysmäärä (kpl)</t>
  </si>
  <si>
    <t>Asiakkaan keskimääräinen vuotuinen 1-70 kV:n verkon suunnitelluista keskeytyksistä aiheutunut vuosienergioilla painotettu keskeytysmäärä (kpl)</t>
  </si>
  <si>
    <t>Asiakkaan keskimääräinen vuotuinen 1-70 kV:n verkon aikajälleenkytkennöistä aiheutunut vuosienergioilla painotettu keskeytysmäärä (kpl)</t>
  </si>
  <si>
    <t>Asiakkaan keskimääräinen vuotuinen 1-70 kV:n verkon pikakytkennöistä aiheutunut vuosienergioilla painotettu keskeytysmäärä (kpl)</t>
  </si>
  <si>
    <t>Tuntien lukumäärä</t>
  </si>
  <si>
    <t>Muut verkonhaltijan hallinnassa olevaan verkkoon liittyvät VPO:n liittymismaksut tilikauden alussa</t>
  </si>
  <si>
    <t>Muut verkonhaltijan hallinnassa olevaan verkkoon liittyvät VPO:n liittymismaksut tilikauden lopussa</t>
  </si>
  <si>
    <t>Muun omaisuuden poistoihin kirjatut verkko-omaisuuden poistot</t>
  </si>
  <si>
    <t>Myyntisaamiset</t>
  </si>
  <si>
    <t>Siirtosaamiset</t>
  </si>
  <si>
    <t>Muut saamiset</t>
  </si>
  <si>
    <t xml:space="preserve"> +/– </t>
  </si>
  <si>
    <t>Velat annetuista konserniavustuksista</t>
  </si>
  <si>
    <t>Tilikauden ylijäämä (+) / alijäämä (-) (t€)</t>
  </si>
  <si>
    <t>Muut velat saman konsernin yrityksille</t>
  </si>
  <si>
    <t>Palautettavat liittymismaksut</t>
  </si>
  <si>
    <t xml:space="preserve">Muu pitkäaikainen koroton vieras pääoma </t>
  </si>
  <si>
    <t>Ostovelat</t>
  </si>
  <si>
    <t>Siirtovelat</t>
  </si>
  <si>
    <t>Muut velat</t>
  </si>
  <si>
    <t xml:space="preserve">Muut velat </t>
  </si>
  <si>
    <t>Muut korottomat velat tasearvoonsa</t>
  </si>
  <si>
    <t>Tuotot muista pysyvien vastaavien sijoituksista</t>
  </si>
  <si>
    <t xml:space="preserve">Tuotot osuuksista omistusyhteysyrityksissä </t>
  </si>
  <si>
    <t>Liikevoitto (liiketappio)</t>
  </si>
  <si>
    <t>Likvidittömyyspreemio</t>
  </si>
  <si>
    <t>Markkinariskipreemio</t>
  </si>
  <si>
    <t>Ennakkomaksut</t>
  </si>
  <si>
    <t>Siirretty energia jännitetasoittain (GWh)</t>
  </si>
  <si>
    <t>Verkonhaltijan nimi</t>
  </si>
  <si>
    <t>Verkkopituus (km)</t>
  </si>
  <si>
    <t>0,4 kV</t>
  </si>
  <si>
    <t>1 – 70 kV</t>
  </si>
  <si>
    <t>110 kV</t>
  </si>
  <si>
    <t>Painotettu siirretyn energian määrä (GWh)</t>
  </si>
  <si>
    <t>Tehostamistarve €</t>
  </si>
  <si>
    <t>Tehostamistarve %</t>
  </si>
  <si>
    <t>Parametriarvot</t>
  </si>
  <si>
    <t>Jännitetaso</t>
  </si>
  <si>
    <t xml:space="preserve">0,4 kv </t>
  </si>
  <si>
    <t>1 – 70 kv</t>
  </si>
  <si>
    <t>110 kv</t>
  </si>
  <si>
    <t>Painokerroin</t>
  </si>
  <si>
    <t>Maksimi</t>
  </si>
  <si>
    <t>Tuotosten varjohinnat (rajakustannukset)</t>
  </si>
  <si>
    <t>Kustannus eri varjohinnoilla laskettuna</t>
  </si>
  <si>
    <t>vuosi</t>
  </si>
  <si>
    <t>Verkkotoiminnan harjoittamisen turvaamiseksi tarvittavasta rahoitusomaisuudesta aiheutuva kustannus</t>
  </si>
  <si>
    <t/>
  </si>
  <si>
    <t xml:space="preserve">Tutkimus- ja kehityskustannukset (T&amp;K) </t>
  </si>
  <si>
    <t>Innovaatiokannustin</t>
  </si>
  <si>
    <t>Tuloslaskelman oikaisu ja toteutuneen oikaistun tuloksen laskenta</t>
  </si>
  <si>
    <t>Investointikannustin</t>
  </si>
  <si>
    <t>Laatukannustin</t>
  </si>
  <si>
    <t>Tehostamiskannustin</t>
  </si>
  <si>
    <t>Niiden verkonhaltijoiden, joilla ei ole yksiselitteistä KAH-historiaa, tulee syöttää keskeytyskustannusten vertailutasoksi valvontatietojärjestelmässä oleva tieto keskeytyskustannusten vertailutasosta korjattuna kyseisen vuoden rahanarvoon.</t>
  </si>
  <si>
    <t>Keskeytyskustannus €  korjattuna kyseisen vuoden rahanarvoon (KHI)</t>
  </si>
  <si>
    <t>Liikevoittoon (liiketappioon) palautettavat tilinpäätöksen erät</t>
  </si>
  <si>
    <t xml:space="preserve">Rahoitusomaisuus </t>
  </si>
  <si>
    <t>Kontrolloitavat operatiiviset kustannukset yhteensä (t€)</t>
  </si>
  <si>
    <t>(t€)</t>
  </si>
  <si>
    <t>Tehostamiskustannukset (luvut tuhansia €)</t>
  </si>
  <si>
    <t>=</t>
  </si>
  <si>
    <t xml:space="preserve">Aineettomat hyödykkeet </t>
  </si>
  <si>
    <t>Muihin aineettomiin hyödykkeisiin sisältyvä verkko-omaisuus</t>
  </si>
  <si>
    <t>Kantaverkolle maksetut aktivoidut liittymismaksut</t>
  </si>
  <si>
    <t>Muihin aineellisiin hyödykkeisiin sisältyvä verkko-omaisuus</t>
  </si>
  <si>
    <t>OMA PÄÄOMA</t>
  </si>
  <si>
    <t>Osake- osuus- tai muu vastaava pääoma</t>
  </si>
  <si>
    <t>Muut muut rahastot</t>
  </si>
  <si>
    <t>Aineelliset hyödykkeet</t>
  </si>
  <si>
    <t>Tilinpäätössiirtojen kertymä</t>
  </si>
  <si>
    <t>Pitkäaikainen korollinen vieras pääoma</t>
  </si>
  <si>
    <t>Pitkäaikainen koroton vieras pääoma</t>
  </si>
  <si>
    <t>Pitkäaikainen vieras pääoma</t>
  </si>
  <si>
    <t>Lyhytaikainen korollinen vieras pääoma</t>
  </si>
  <si>
    <t>Lyhytaikainen vieras pääoma</t>
  </si>
  <si>
    <t>Lyhytaikainen koroton vieras pääoma</t>
  </si>
  <si>
    <t>Lisätietoja</t>
  </si>
  <si>
    <t>+/–</t>
  </si>
  <si>
    <t>Valmiiden ja keskeneräisten tuotteiden varastojen muutos</t>
  </si>
  <si>
    <t>Valmistus omaan käyttöön</t>
  </si>
  <si>
    <t>Liiketoiminnan muut tuotot</t>
  </si>
  <si>
    <t xml:space="preserve"> +</t>
  </si>
  <si>
    <t>Muut liiketoiminnan muut tuotot</t>
  </si>
  <si>
    <t>Liittymismaksutuotot</t>
  </si>
  <si>
    <t>Myynnin oikaisuna kirjatut vakiokorvaukset</t>
  </si>
  <si>
    <t>Materiaalit ja palvelut</t>
  </si>
  <si>
    <t>Aineet, tarvikkeet ja tavarat</t>
  </si>
  <si>
    <t>Ostot tilikauden aikana</t>
  </si>
  <si>
    <t xml:space="preserve">Muut ostot tilikauden aikana </t>
  </si>
  <si>
    <t xml:space="preserve">+/– </t>
  </si>
  <si>
    <t>Varastojen muutos</t>
  </si>
  <si>
    <t>Kantaverkolle maksetut liittymismaksut</t>
  </si>
  <si>
    <t>Muut ulkopuoliset palvelut</t>
  </si>
  <si>
    <t xml:space="preserve">Henkilöstökulut </t>
  </si>
  <si>
    <t>Palkat ja palkkiot</t>
  </si>
  <si>
    <t>Henkilösivukulut</t>
  </si>
  <si>
    <t>Eläkekulut</t>
  </si>
  <si>
    <t>Muut henkilösivukulut</t>
  </si>
  <si>
    <t>Poistot ja arvonalentumiset</t>
  </si>
  <si>
    <t>Suunnitelman mukaiset poistot</t>
  </si>
  <si>
    <t>Suunnitelman mukaiset poistot liikearvosta</t>
  </si>
  <si>
    <t>Suunnitelman mukaiset poistot sähköverkon hyödykkeistä</t>
  </si>
  <si>
    <t>Suunnitelman mukaiset poistot muista pysyvien vastaavien hyödykkeistä</t>
  </si>
  <si>
    <t>Arvonalentumiset pysyvien vastaavien hyödykkeistä</t>
  </si>
  <si>
    <t>Vaihtuvien vastaavien poikkeukselliset arvonalentumiset</t>
  </si>
  <si>
    <t>Liiketoiminnan muut kulut</t>
  </si>
  <si>
    <t>Vuokrakulut</t>
  </si>
  <si>
    <t>Verkkovuokrat ja verkon leasingmaksut</t>
  </si>
  <si>
    <t>Verkkovuokriin ja verkon leasingmaksuihin sisältyvät käytön- ja kunnossapidon kustannukset</t>
  </si>
  <si>
    <t xml:space="preserve">Muut liiketoiminnan muut kulut </t>
  </si>
  <si>
    <t>Johtoalue-, tariffiero-, resurssi- ja resurssivarauskorvaukset</t>
  </si>
  <si>
    <t>LIIKEVOITTO (– TAPPIO)</t>
  </si>
  <si>
    <t>Rahoitustuotot ja -kulut</t>
  </si>
  <si>
    <t>Korkokulut ja muut rahoituskulut</t>
  </si>
  <si>
    <t>Maksettu</t>
  </si>
  <si>
    <t>Maksamaton</t>
  </si>
  <si>
    <t>Annetut konserniavustukset</t>
  </si>
  <si>
    <t>VOITTO (TAPPIO) ENNEN TILINPÄÄTÖSSIIRTOJA JA VEROJA</t>
  </si>
  <si>
    <t>Tilinpäätössiirrot</t>
  </si>
  <si>
    <t>Poistoeron muutos</t>
  </si>
  <si>
    <t>Poistoeron muutos sähköverkon hyödykkeistä</t>
  </si>
  <si>
    <t>Tuloverot</t>
  </si>
  <si>
    <t>Muut välittömät verot</t>
  </si>
  <si>
    <t>TILIKAUDEN VOITTO (TAPPIO)</t>
  </si>
  <si>
    <t>Kohtuullisen tuoton ja toteutuneen oikaistun tuloksen laskenta</t>
  </si>
  <si>
    <t>Vuosi</t>
  </si>
  <si>
    <t>Toteutuneen oikaistun tuloksen laskennassa huomioon otettava rahoitusomaisuus</t>
  </si>
  <si>
    <t>Suurjännitteisen verkon verkkopalvelumaksut ja kantaverkkopalvelumaksut</t>
  </si>
  <si>
    <t>Tuloslaskelma</t>
  </si>
  <si>
    <t>Tase - Vastaavaa</t>
  </si>
  <si>
    <t>Tase - Vastattavaa</t>
  </si>
  <si>
    <t>Energiavirasto</t>
  </si>
  <si>
    <t>Energimyndigheten</t>
  </si>
  <si>
    <t>Sähköverkko-omaisuuden nykykäyttöarvo (NKA)</t>
  </si>
  <si>
    <t>Sähköverkko-omaisuuden oikaistut tasapoistot</t>
  </si>
  <si>
    <t>Kohtuullinen tuottoaste (WACC)</t>
  </si>
  <si>
    <t>Vieraan pääoman riskipreemio</t>
  </si>
  <si>
    <t>Velallinen beeta</t>
  </si>
  <si>
    <t>Vieraan pääoman osuus</t>
  </si>
  <si>
    <t>Veroja edeltävä kohtuullinen tuottoaste (WACC)</t>
  </si>
  <si>
    <t>Korollisen vieraan pääoman kohtuullinen kustannus</t>
  </si>
  <si>
    <t>Oman pääoman kohtuullinen kustannus</t>
  </si>
  <si>
    <t>10% liikevaihdosta</t>
  </si>
  <si>
    <t>Muut pysyvät vastaavat tasearvossa</t>
  </si>
  <si>
    <t>Myyntisaamiset tasearvossa</t>
  </si>
  <si>
    <t>Sähköverkko oikaistussa nykykäyttöarvossa</t>
  </si>
  <si>
    <t>Oma pääoma tasearvossa</t>
  </si>
  <si>
    <t>Korolliset velat tasearvossa</t>
  </si>
  <si>
    <t>Pääomalainat tasearvossa</t>
  </si>
  <si>
    <t>Pakolliset varaukset tasearvossa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</si>
  <si>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</si>
  <si>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</si>
  <si>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</si>
  <si>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</si>
  <si>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</si>
  <si>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</si>
  <si>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</si>
  <si>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</si>
  <si>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</si>
  <si>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</si>
  <si>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</si>
  <si>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</si>
  <si>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+ Muihin kuluihin kirjattu verkonosuuden myyntitappio</t>
  </si>
  <si>
    <t>- Muihin tuottoihin kirjattu verkonosuuden myyntivoitto</t>
  </si>
  <si>
    <t>Tuloksen korjauserät</t>
  </si>
  <si>
    <t xml:space="preserve"> - Rahoitusomaisuuden kohtuulliset kustannukset</t>
  </si>
  <si>
    <t>- Sähköverkko-omaisuuden oikaistut tasapoistot</t>
  </si>
  <si>
    <t>Toteutuneet keskeytyskustannukset</t>
  </si>
  <si>
    <t>Keskeytyskustannusten vertailutaso</t>
  </si>
  <si>
    <t>Tutkimus ja Kehittämistoiminnan kustannukset (t€)</t>
  </si>
  <si>
    <t>Toteutuneen oikaistun tuloksen laskennassa huomioon otettavat T&amp;K - toiminnan kustannukset (t€)</t>
  </si>
  <si>
    <t>Josta verkonosuuden myyntivoitto</t>
  </si>
  <si>
    <t>Josta verkonosuuden myyntitappio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</si>
  <si>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</si>
  <si>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</si>
  <si>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</si>
  <si>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</si>
  <si>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</si>
  <si>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</si>
  <si>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</si>
  <si>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</si>
  <si>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</si>
  <si>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</si>
  <si>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</si>
  <si>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</si>
  <si>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Kuluttajahintaindeksi 1995=100 (lähde: Tilastokeskus)</t>
  </si>
  <si>
    <t>Maksimi (1000€)</t>
  </si>
  <si>
    <t>Käyttäjämäärä</t>
  </si>
  <si>
    <t>Verkkopituus</t>
  </si>
  <si>
    <t>Energia</t>
  </si>
  <si>
    <t>Vertailutason laskenta</t>
  </si>
  <si>
    <r>
      <t>Tehokuusluvun</t>
    </r>
    <r>
      <rPr>
        <b/>
        <i/>
        <sz val="11"/>
        <color rgb="FFFF0000"/>
        <rFont val="Verdana"/>
        <family val="2"/>
      </rPr>
      <t xml:space="preserve"> </t>
    </r>
    <r>
      <rPr>
        <b/>
        <sz val="11"/>
        <color rgb="FFFF0000"/>
        <rFont val="Verdana"/>
        <family val="2"/>
      </rPr>
      <t>laskenta</t>
    </r>
  </si>
  <si>
    <t>Minimi</t>
  </si>
  <si>
    <t>Keskihajonta</t>
  </si>
  <si>
    <t>Mediaani</t>
  </si>
  <si>
    <t>Aritmeettinen keskiarvo</t>
  </si>
  <si>
    <t>Tunnusluku</t>
  </si>
  <si>
    <t>Liittymien määrä / käyttäjien määrä</t>
  </si>
  <si>
    <t>Asiakasmäärä (lkm)</t>
  </si>
  <si>
    <t>Tehokkuusluku  %</t>
  </si>
  <si>
    <t>Painotettu siirretty energia (GWh)</t>
  </si>
  <si>
    <t>Liittymien määrä / käyttöpaikkojen määrä (L/K)</t>
  </si>
  <si>
    <t>Toimintaympäristöä  kuvaava muuttuja:</t>
  </si>
  <si>
    <t>Tuotokset:</t>
  </si>
  <si>
    <t>Ei-toivottu tuotos:</t>
  </si>
  <si>
    <t>Kiinteä panos:</t>
  </si>
  <si>
    <t>Muuttuva panos:</t>
  </si>
  <si>
    <t>Huhtikuu - Syyskuu keskiarvo</t>
  </si>
  <si>
    <t>Sähköverkon hyödykkeistä</t>
  </si>
  <si>
    <t>Muista kuin sähköverkon hyödykkeistä</t>
  </si>
  <si>
    <t>Tehokkuusluvun laskenta</t>
  </si>
  <si>
    <t xml:space="preserve">        +/- Tehostamiskannustimen vaikutus</t>
  </si>
  <si>
    <t xml:space="preserve">        +/- Laatukannustimen vaikutus</t>
  </si>
  <si>
    <t>Annetut konserniavustukset (oman pääoman osuus)</t>
  </si>
  <si>
    <t xml:space="preserve"> - Saadut konserniavustukset (oman pääoman osuus)</t>
  </si>
  <si>
    <t xml:space="preserve"> - Annetut mutta maksamattomat korolliset konserniavustukset (oman pääoman osuus)</t>
  </si>
  <si>
    <t xml:space="preserve"> - Annetut mutta maksamattomat korottomat konserniavustukset (oman pääoman osuus)</t>
  </si>
  <si>
    <t>+ Eriytetyn tilinpäätöksen suunnitelman mukaiset poistot ja arvonalentumiset sähköverkon hyödykkeistä</t>
  </si>
  <si>
    <t xml:space="preserve"> - Maksetut vakiokorvaukset (elleivät sisälly muihin kuluihin)</t>
  </si>
  <si>
    <t xml:space="preserve"> - Kuluiksi kirjattujen komponenttien kustannukset (elleivät sisälly muihin yllä oleviin eriin)</t>
  </si>
  <si>
    <t xml:space="preserve"> - Varastojen lisäys tai vähennys</t>
  </si>
  <si>
    <t xml:space="preserve"> - Henkilöstökulut</t>
  </si>
  <si>
    <t xml:space="preserve"> - Verkkovuokriin ja verkon leasingmaksuihin sisältyvät käytön ja kunnossapidon kulut</t>
  </si>
  <si>
    <t xml:space="preserve"> - Vuokrakulut </t>
  </si>
  <si>
    <t xml:space="preserve"> - Muut ulkopuoliset palvelut</t>
  </si>
  <si>
    <t xml:space="preserve"> - Muut liiketoiminnan muut kulut</t>
  </si>
  <si>
    <t xml:space="preserve"> + Häviöenergian hankintakulut</t>
  </si>
  <si>
    <t xml:space="preserve"> + Valmistus omaan käyttöön</t>
  </si>
  <si>
    <t xml:space="preserve"> + Vuokraverkon oman verkon rakentamisen kustannukset</t>
  </si>
  <si>
    <t>Kohtuulliset kontrolloitavissa olevat operatiiviset kustannukset (SKOPEX)</t>
  </si>
  <si>
    <t>Toteutuneet kontrolloitavissa olevat operatiiviset kustannukset (KOPEX)</t>
  </si>
  <si>
    <t>+ Suunnitelmanmukaiset poistot liikearvosta</t>
  </si>
  <si>
    <t>+ Maksetut verkkovuokrat</t>
  </si>
  <si>
    <t>+ Taseen liittymismaksukertymän nettomuutos</t>
  </si>
  <si>
    <t>Verkkotoiminnan liikevaihto</t>
  </si>
  <si>
    <t xml:space="preserve"> + Johtoalue-, tariffiero-, resurssi- ja resurssivarauskorvaukset</t>
  </si>
  <si>
    <t>IV-IX KA</t>
  </si>
  <si>
    <t>Verotusperusteiden varausten muutos</t>
  </si>
  <si>
    <t>Verotusperusteiset varaukset</t>
  </si>
  <si>
    <t>Käyvän arvon rahasto</t>
  </si>
  <si>
    <t>Velat saman konsernin yrityksille</t>
  </si>
  <si>
    <t>Muu pitkäaikainen korollinen vieras pääoma</t>
  </si>
  <si>
    <t>Arvonalentumiset verkon hyödykkeistä</t>
  </si>
  <si>
    <t>SJ-verkon toteutuneet keskeytyskustannukset (euro)</t>
  </si>
  <si>
    <t>KJ-verkon toteutuneet keskeytyskustannukset (euro)</t>
  </si>
  <si>
    <t>Keskeytyskustannusten vertailutaso korjattuna kyseisen vuoden rahanarvoon (euro)</t>
  </si>
  <si>
    <t>Verkonhaltijan verkosta 0,4 kV:n ja 1-70kV:n jännitteillä loppukäyttäjille luovutettu energiamäärä (GWh)</t>
  </si>
  <si>
    <t>HUOM 1!</t>
  </si>
  <si>
    <t>HUOM 2!</t>
  </si>
  <si>
    <t>Nimellinen riskitön korkokanta (Saksan valtion 10 vuoden obligaatioiden koron edellisen vuoden huhti-syyskuun päiväarvojen keskiarvo)</t>
  </si>
  <si>
    <t>Maariskipreemio</t>
  </si>
  <si>
    <t>Joustokannustin</t>
  </si>
  <si>
    <t>0,5 % vastaava osuus verkonhaltijan valvontajakson eriytettyjen tuloslaskelmien verkkotoiminnan liikevaihtojen summasta (maksimi, joka innovaatiokannustimessa otetaan huomioon valvontajakson aikana) (t€)</t>
  </si>
  <si>
    <t>Joustokustannukset</t>
  </si>
  <si>
    <t>Joustokustannukset (t€)</t>
  </si>
  <si>
    <t>1,0 % vastaava osuus verkonhaltijan valvontajakson eriytettyjen tuloslaskelmien verkkotoiminnan liikevaihtojen summasta (maksimi, joka joustokannustimessa otetaan huomioon valvontajakson aikana) (t€)</t>
  </si>
  <si>
    <t>Kuluttajahintaindeksin pisteluku 2005=100 (lähde: Tilastokeskus)</t>
  </si>
  <si>
    <t>https://statfin.stat.fi/PxWeb/pxweb/fi/StatFin/StatFin__khi/statfin_khi_pxt_11xf.px/</t>
  </si>
  <si>
    <t>Sinisiin kenttiin syötetään vuoden t tiedot (t = 2016, 2017,…,2022) (KOPEX, NKA ja KAH vuoden 2022 rahanarvossa, tuhatta euroa)</t>
  </si>
  <si>
    <t>SKOPEX vertailutason laskenta vuosina 2024-2027</t>
  </si>
  <si>
    <t>StoNED-rintaman mukainen KOPEX:n vertailutaso SKOPEX 1000 € (v. 2022 hinnoin)</t>
  </si>
  <si>
    <t>Valvontajakso 7,    vuosi</t>
  </si>
  <si>
    <t>Valvontajakso 6,    vuosi</t>
  </si>
  <si>
    <t>StoNED-rintaman mukainen KOPEX:n vertailutaso SKOPEX 1000 € (kyseisen vuoden hintatasossa)</t>
  </si>
  <si>
    <t>Kuluttajahinta-indeksin (2005=100) pisteluku [kyseisen vuoden IV-IX keskiarvo]</t>
  </si>
  <si>
    <t>KAH € 1000 (v. 2022 hinnoin)</t>
  </si>
  <si>
    <t>KOPEX 1000 € (v. 2022 hinnoin)</t>
  </si>
  <si>
    <t>NKA € (v. 2022 hinnoin)</t>
  </si>
  <si>
    <t>KAH 1000 € (v. 2022 hinnoin)</t>
  </si>
  <si>
    <t>Yleinen tehostamistavoite 6. valvontajakso</t>
  </si>
  <si>
    <t>Yleinen tehostamistavoite 7. valvontajakso</t>
  </si>
  <si>
    <t>Kuluttajahintaindeksi 2022</t>
  </si>
  <si>
    <t>-NKA (1 000 000 €)</t>
  </si>
  <si>
    <t>KAH (1 000 €)</t>
  </si>
  <si>
    <t>NKA 1000 € (v. 2022 hinnoin)</t>
  </si>
  <si>
    <t>Vuosien 2016 - 2022 tehokkuuslukujen keskiarvo (%)</t>
  </si>
  <si>
    <t>Sähköverkkoinvestoinnit rakennetietojen perusteella</t>
  </si>
  <si>
    <t>Sähköverkkoinvestoinnit tilinpäätöstietojen perusteella</t>
  </si>
  <si>
    <t>Vihreisiin kenttiin syötetään kyseisen vuoden tiedot (2024 - 2027)</t>
  </si>
  <si>
    <t>Investointikannustimen tasapoistot</t>
  </si>
  <si>
    <t>Keskeytyskustannus € vuoden 2021 rahanarvossa</t>
  </si>
  <si>
    <t>Asiakkaan keskimääräinen vuotuinen 0,4 kV:n verkon odottamattomista keskeytyksistä aiheutunut vuosienergioilla painotettu keskeytysaika (tuntia)</t>
  </si>
  <si>
    <t>Asiakkaan keskimääräinen vuotuinen 0,4 kV:n verkon odottamattomista keskeytyksistä aiheutunut vuosienergioilla painotettu keskeytysmäärä (kpl)</t>
  </si>
  <si>
    <t>Asiakkaan keskimääräinen vuotuinen 0,4 kV:n verkon suunnitelluista keskeytyksistä aiheutunut vuosienergioilla painotettu keskeytysaika (tuntia)</t>
  </si>
  <si>
    <t>Asiakkaan keskimääräinen vuotuinen 0,4 kV:n verkon suunnitelluista keskeytyksistä aiheutunut vuosienergioilla painotettu keskeytysmäärä (kpl)</t>
  </si>
  <si>
    <t>Verkonhaltijan verkosta 0,4 kV:n jännitteellä loppukäyttäjille luovutettu energiamäärä (GWh)</t>
  </si>
  <si>
    <t>PJ-verkon toteutuneet keskeytyskustannukset (euro)</t>
  </si>
  <si>
    <t>SJ-verkon odottamattomista keskeytyksistä aiheutunut
vuosienergioilla painotettu keskeytysaika (h)</t>
  </si>
  <si>
    <t>SJ-verkon odottamattomista keskeytyksistä aiheutunut
vuosienergioilla painotettu keskeytysmäärä (kpl)</t>
  </si>
  <si>
    <t>SJ-verkon aikajälleenkytkentöjen aiheuttama vuosienergioilla painotettu keskeytysmäärä (kpl)</t>
  </si>
  <si>
    <t>SJ-verkon pikajälleenkytkentöjen aiheuttama vuosienergioilla painotettu keskeytysmäärä (kpl)</t>
  </si>
  <si>
    <t>Verkonhaltijan 110 kV:n verkoon vastaanottama sähköenergia (GWh)</t>
  </si>
  <si>
    <t xml:space="preserve">"Verkonhaltijan 110 kV:n verkoon vastaanottama sähköenergia (GWh)" kerrotaan kaavassa häviökertoimella 0,96. </t>
  </si>
  <si>
    <t>Odottamattomista keskeytyksistä asiakkaalle aiheutuneen haitan hinta (euro/kWh) vuoden 2021 rahanarvossa</t>
  </si>
  <si>
    <t>Odottamattomista keskeytyksistä asiakkaalle aiheutuneen haitan hinta (euro/kW) vuoden 2021 rahanarvossa</t>
  </si>
  <si>
    <t>Suunnitelluista keskeytyksistä asiakkaalle aiheutuneen haitan hinta (euro/kWh) vuoden 2021 rahanarvossa</t>
  </si>
  <si>
    <t>Suunnitelluista keskeytyksistä asiakkaalle aiheutuneen haitan hinta (euro/kW) vuoden 2021 rahanarvossa</t>
  </si>
  <si>
    <t>Aikajälleenkytkennöistä asiakkaalle aiheutuneen haitan hinta (euro/kW) vuoden 2021 rahanarvossa</t>
  </si>
  <si>
    <t>Pikakytkennöistä asiakkaalle aiheutuneen haitan hinta (euro/kW) vuoden 2021 rahanarvossa</t>
  </si>
  <si>
    <t>Toteutuneen oikaistun tuloksen laskennassa huomioon otettavat joustokustannukset (t€)</t>
  </si>
  <si>
    <t>Poistoeron vieraan pääoman osuus</t>
  </si>
  <si>
    <t>Vaihto-omaisuuteen sisältyvät vuokraverkonhaltijoiden keskeneräiset investoinnit verkkoon</t>
  </si>
  <si>
    <t>Vaihto-omaisuuteen sisältyvät vuokraverkonhaltijoiden keskeneräiset investoinnit verkkoon tasearvossa</t>
  </si>
  <si>
    <t>Suomen valtion 10 vuoden obligaatioiden koron edellisen vuoden huhti-syyskuun päiväarvojen keskiarvo)</t>
  </si>
  <si>
    <t>Poistoeron oman pääoman osuus ja verotusperusteiset varaukset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</si>
</sst>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0.0"/>
    <numFmt numFmtId="168" formatCode="0.000"/>
    <numFmt numFmtId="169" formatCode="0.0\ %"/>
    <numFmt numFmtId="170" formatCode="#,##0.0"/>
    <numFmt numFmtId="171" formatCode="#,##0.000"/>
    <numFmt numFmtId="172" formatCode="_-* #,##0\ _€_-;\-* #,##0\ _€_-;_-* &quot;-&quot;??\ _€_-;_-@_-"/>
    <numFmt numFmtId="173" formatCode="_-* #,##0\ &quot;€&quot;_-;\-* #,##0\ &quot;€&quot;_-;_-* &quot;-&quot;??\ &quot;€&quot;_-;_-@_-"/>
    <numFmt numFmtId="174" formatCode="#,##0\ &quot;€&quot;"/>
    <numFmt numFmtId="175" formatCode="_-* #,##0\ [$€-40B]_-;\-* #,##0\ [$€-40B]_-;_-* &quot;-&quot;??\ [$€-40B]_-;_-@_-"/>
    <numFmt numFmtId="176" formatCode="#,##0.0_ ;\-#,##0.0\ "/>
    <numFmt numFmtId="177" formatCode="_-* #,##0.00000\ _€_-;\-* #,##0.00000\ _€_-;_-* &quot;-&quot;?????\ _€_-;_-@_-"/>
    <numFmt numFmtId="178" formatCode="#,##0.00000_ ;\-#,##0.00000\ "/>
    <numFmt numFmtId="179" formatCode="#,##0.0000_ ;\-#,##0.0000\ "/>
    <numFmt numFmtId="180" formatCode="0.0000\ %"/>
    <numFmt numFmtId="181" formatCode="#,##0_ ;\-#,##0\ "/>
    <numFmt numFmtId="182" formatCode="0.0000000"/>
    <numFmt numFmtId="183" formatCode="0.000000"/>
    <numFmt numFmtId="184" formatCode="_-* #,##0_-;\-* #,##0_-;_-* &quot;-&quot;??_-;_-@_-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u/>
      <sz val="14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4"/>
      <name val="Verdana"/>
      <family val="2"/>
    </font>
    <font>
      <b/>
      <i/>
      <sz val="10"/>
      <color indexed="12"/>
      <name val="Verdana"/>
      <family val="2"/>
    </font>
    <font>
      <sz val="12"/>
      <name val="Verdana"/>
      <family val="2"/>
    </font>
    <font>
      <b/>
      <i/>
      <sz val="12"/>
      <color indexed="12"/>
      <name val="Verdana"/>
      <family val="2"/>
    </font>
    <font>
      <sz val="10"/>
      <color rgb="FFFF0000"/>
      <name val="Arial"/>
      <family val="2"/>
    </font>
    <font>
      <sz val="10"/>
      <color theme="1"/>
      <name val="Verdana"/>
      <family val="2"/>
    </font>
    <font>
      <sz val="11"/>
      <color theme="1"/>
      <name val="Segoe UI"/>
      <family val="2"/>
    </font>
    <font>
      <sz val="11"/>
      <color rgb="FF444444"/>
      <name val="Segoe UI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b/>
      <i/>
      <sz val="11"/>
      <color rgb="FFFF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theme="5"/>
      <name val="Verdana"/>
      <family val="2"/>
    </font>
    <font>
      <b/>
      <u/>
      <sz val="11"/>
      <color theme="5"/>
      <name val="Verdana"/>
      <family val="2"/>
    </font>
    <font>
      <sz val="11"/>
      <color theme="5"/>
      <name val="Verdana"/>
      <family val="2"/>
    </font>
    <font>
      <b/>
      <u/>
      <sz val="12"/>
      <color theme="5"/>
      <name val="Verdana"/>
      <family val="2"/>
    </font>
    <font>
      <sz val="14"/>
      <color indexed="12"/>
      <name val="Calibri"/>
      <family val="2"/>
      <scheme val="minor"/>
    </font>
    <font>
      <sz val="9.5"/>
      <name val="Verdana"/>
      <family val="2"/>
    </font>
    <font>
      <sz val="11"/>
      <name val="Arial"/>
      <family val="1"/>
    </font>
    <font>
      <u/>
      <sz val="11"/>
      <color theme="10"/>
      <name val="Calibri"/>
      <family val="2"/>
      <scheme val="minor"/>
    </font>
    <font>
      <sz val="12"/>
      <color rgb="FF0070C0"/>
      <name val="Verdana"/>
      <family val="2"/>
    </font>
    <font>
      <b/>
      <sz val="11"/>
      <color rgb="FFBC2359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166" fontId="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568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7" fillId="0" borderId="0" xfId="0" applyFont="1" applyProtection="1"/>
    <xf numFmtId="0" fontId="7" fillId="0" borderId="0" xfId="0" applyFont="1" applyFill="1" applyProtection="1"/>
    <xf numFmtId="0" fontId="0" fillId="0" borderId="0" xfId="0" applyProtection="1"/>
    <xf numFmtId="0" fontId="10" fillId="0" borderId="0" xfId="0" applyFont="1" applyFill="1"/>
    <xf numFmtId="0" fontId="7" fillId="0" borderId="0" xfId="3"/>
    <xf numFmtId="0" fontId="0" fillId="0" borderId="0" xfId="0" applyFill="1" applyBorder="1" applyProtection="1"/>
    <xf numFmtId="0" fontId="7" fillId="0" borderId="0" xfId="3" applyFill="1"/>
    <xf numFmtId="0" fontId="7" fillId="0" borderId="0" xfId="3" applyAlignment="1">
      <alignment horizontal="right"/>
    </xf>
    <xf numFmtId="0" fontId="2" fillId="0" borderId="0" xfId="0" applyFont="1" applyFill="1" applyProtection="1"/>
    <xf numFmtId="0" fontId="13" fillId="0" borderId="0" xfId="0" applyFont="1"/>
    <xf numFmtId="0" fontId="15" fillId="0" borderId="0" xfId="0" applyFont="1" applyFill="1" applyProtection="1"/>
    <xf numFmtId="0" fontId="14" fillId="0" borderId="0" xfId="0" applyFont="1" applyFill="1" applyProtection="1"/>
    <xf numFmtId="1" fontId="14" fillId="0" borderId="0" xfId="0" applyNumberFormat="1" applyFont="1" applyFill="1" applyProtection="1"/>
    <xf numFmtId="4" fontId="14" fillId="0" borderId="1" xfId="0" applyNumberFormat="1" applyFont="1" applyFill="1" applyBorder="1" applyProtection="1"/>
    <xf numFmtId="4" fontId="14" fillId="0" borderId="0" xfId="0" applyNumberFormat="1" applyFont="1" applyFill="1" applyProtection="1"/>
    <xf numFmtId="0" fontId="15" fillId="0" borderId="0" xfId="0" applyFont="1" applyProtection="1"/>
    <xf numFmtId="4" fontId="14" fillId="0" borderId="0" xfId="0" applyNumberFormat="1" applyFont="1" applyFill="1" applyBorder="1" applyProtection="1"/>
    <xf numFmtId="0" fontId="16" fillId="0" borderId="0" xfId="2" applyFont="1" applyFill="1" applyAlignment="1" applyProtection="1">
      <alignment wrapText="1"/>
    </xf>
    <xf numFmtId="0" fontId="15" fillId="0" borderId="3" xfId="0" applyFont="1" applyFill="1" applyBorder="1" applyProtection="1"/>
    <xf numFmtId="0" fontId="14" fillId="0" borderId="0" xfId="0" applyFont="1" applyProtection="1"/>
    <xf numFmtId="0" fontId="15" fillId="0" borderId="0" xfId="0" applyFont="1" applyFill="1" applyBorder="1" applyProtection="1"/>
    <xf numFmtId="4" fontId="15" fillId="0" borderId="0" xfId="0" applyNumberFormat="1" applyFont="1" applyFill="1" applyBorder="1" applyProtection="1"/>
    <xf numFmtId="1" fontId="15" fillId="0" borderId="0" xfId="0" applyNumberFormat="1" applyFont="1" applyFill="1" applyBorder="1" applyProtection="1"/>
    <xf numFmtId="3" fontId="14" fillId="0" borderId="0" xfId="0" applyNumberFormat="1" applyFont="1" applyFill="1" applyProtection="1"/>
    <xf numFmtId="0" fontId="15" fillId="0" borderId="0" xfId="0" applyFont="1" applyFill="1" applyAlignment="1" applyProtection="1">
      <alignment horizontal="left"/>
    </xf>
    <xf numFmtId="0" fontId="14" fillId="0" borderId="0" xfId="0" applyFont="1" applyFill="1" applyBorder="1" applyProtection="1"/>
    <xf numFmtId="49" fontId="14" fillId="0" borderId="0" xfId="0" applyNumberFormat="1" applyFont="1" applyFill="1" applyAlignment="1" applyProtection="1">
      <alignment horizontal="left" wrapText="1" indent="1"/>
    </xf>
    <xf numFmtId="49" fontId="15" fillId="0" borderId="0" xfId="0" applyNumberFormat="1" applyFont="1" applyFill="1" applyAlignment="1" applyProtection="1"/>
    <xf numFmtId="49" fontId="15" fillId="0" borderId="0" xfId="0" applyNumberFormat="1" applyFont="1" applyFill="1" applyAlignment="1" applyProtection="1">
      <alignment wrapText="1"/>
    </xf>
    <xf numFmtId="49" fontId="14" fillId="0" borderId="0" xfId="2" applyNumberFormat="1" applyFont="1" applyFill="1" applyAlignment="1" applyProtection="1">
      <alignment horizontal="left" wrapText="1" indent="1"/>
    </xf>
    <xf numFmtId="0" fontId="15" fillId="0" borderId="0" xfId="2" applyNumberFormat="1" applyFont="1" applyFill="1" applyAlignment="1" applyProtection="1"/>
    <xf numFmtId="49" fontId="15" fillId="0" borderId="0" xfId="0" applyNumberFormat="1" applyFont="1" applyFill="1" applyBorder="1" applyAlignment="1" applyProtection="1">
      <alignment horizontal="left"/>
    </xf>
    <xf numFmtId="49" fontId="14" fillId="0" borderId="0" xfId="0" applyNumberFormat="1" applyFont="1" applyFill="1" applyAlignment="1" applyProtection="1">
      <alignment horizontal="left" indent="1"/>
    </xf>
    <xf numFmtId="49" fontId="15" fillId="0" borderId="3" xfId="0" applyNumberFormat="1" applyFont="1" applyFill="1" applyBorder="1" applyAlignment="1" applyProtection="1">
      <alignment horizontal="left"/>
    </xf>
    <xf numFmtId="10" fontId="14" fillId="0" borderId="1" xfId="0" applyNumberFormat="1" applyFont="1" applyFill="1" applyBorder="1" applyProtection="1"/>
    <xf numFmtId="4" fontId="15" fillId="0" borderId="4" xfId="0" applyNumberFormat="1" applyFont="1" applyFill="1" applyBorder="1" applyProtection="1"/>
    <xf numFmtId="4" fontId="14" fillId="4" borderId="1" xfId="0" applyNumberFormat="1" applyFont="1" applyFill="1" applyBorder="1" applyProtection="1">
      <protection locked="0"/>
    </xf>
    <xf numFmtId="0" fontId="16" fillId="0" borderId="0" xfId="2" applyFont="1" applyAlignment="1" applyProtection="1"/>
    <xf numFmtId="169" fontId="14" fillId="4" borderId="1" xfId="0" applyNumberFormat="1" applyFont="1" applyFill="1" applyBorder="1" applyProtection="1">
      <protection locked="0"/>
    </xf>
    <xf numFmtId="9" fontId="14" fillId="0" borderId="0" xfId="0" applyNumberFormat="1" applyFont="1" applyFill="1" applyBorder="1" applyProtection="1">
      <protection locked="0"/>
    </xf>
    <xf numFmtId="4" fontId="14" fillId="0" borderId="1" xfId="0" applyNumberFormat="1" applyFont="1" applyFill="1" applyBorder="1" applyProtection="1">
      <protection locked="0"/>
    </xf>
    <xf numFmtId="3" fontId="14" fillId="0" borderId="0" xfId="0" applyNumberFormat="1" applyFont="1" applyFill="1" applyBorder="1" applyProtection="1">
      <protection locked="0"/>
    </xf>
    <xf numFmtId="0" fontId="14" fillId="0" borderId="0" xfId="0" applyFont="1" applyAlignment="1">
      <alignment wrapText="1"/>
    </xf>
    <xf numFmtId="10" fontId="14" fillId="6" borderId="1" xfId="0" applyNumberFormat="1" applyFont="1" applyFill="1" applyBorder="1" applyProtection="1">
      <protection locked="0"/>
    </xf>
    <xf numFmtId="169" fontId="14" fillId="0" borderId="1" xfId="0" applyNumberFormat="1" applyFont="1" applyBorder="1" applyProtection="1"/>
    <xf numFmtId="2" fontId="11" fillId="0" borderId="0" xfId="0" applyNumberFormat="1" applyFont="1" applyBorder="1" applyProtection="1"/>
    <xf numFmtId="0" fontId="15" fillId="0" borderId="1" xfId="0" applyFont="1" applyBorder="1"/>
    <xf numFmtId="0" fontId="14" fillId="0" borderId="0" xfId="2" applyFont="1" applyFill="1" applyBorder="1" applyAlignment="1" applyProtection="1">
      <alignment wrapText="1"/>
    </xf>
    <xf numFmtId="0" fontId="14" fillId="0" borderId="0" xfId="0" applyFont="1" applyFill="1"/>
    <xf numFmtId="49" fontId="14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wrapText="1"/>
    </xf>
    <xf numFmtId="170" fontId="14" fillId="4" borderId="5" xfId="0" applyNumberFormat="1" applyFont="1" applyFill="1" applyBorder="1" applyProtection="1">
      <protection locked="0"/>
    </xf>
    <xf numFmtId="0" fontId="15" fillId="0" borderId="0" xfId="0" applyFont="1"/>
    <xf numFmtId="0" fontId="14" fillId="0" borderId="0" xfId="0" applyFont="1"/>
    <xf numFmtId="0" fontId="14" fillId="0" borderId="0" xfId="0" quotePrefix="1" applyFont="1"/>
    <xf numFmtId="0" fontId="14" fillId="0" borderId="0" xfId="0" applyFont="1" applyFill="1" applyBorder="1" applyAlignment="1" applyProtection="1">
      <alignment horizontal="right"/>
    </xf>
    <xf numFmtId="49" fontId="14" fillId="0" borderId="0" xfId="0" applyNumberFormat="1" applyFont="1" applyFill="1" applyBorder="1" applyAlignment="1" applyProtection="1"/>
    <xf numFmtId="0" fontId="15" fillId="0" borderId="0" xfId="0" applyFont="1" applyFill="1"/>
    <xf numFmtId="3" fontId="14" fillId="0" borderId="1" xfId="0" applyNumberFormat="1" applyFont="1" applyBorder="1" applyAlignment="1">
      <alignment horizontal="right"/>
    </xf>
    <xf numFmtId="168" fontId="14" fillId="6" borderId="1" xfId="0" applyNumberFormat="1" applyFont="1" applyFill="1" applyBorder="1" applyProtection="1">
      <protection locked="0"/>
    </xf>
    <xf numFmtId="167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1" xfId="0" applyFont="1" applyBorder="1"/>
    <xf numFmtId="0" fontId="14" fillId="0" borderId="0" xfId="0" applyFont="1" applyFill="1" applyBorder="1"/>
    <xf numFmtId="3" fontId="14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Fill="1" applyBorder="1" applyAlignment="1" applyProtection="1">
      <alignment horizontal="left"/>
    </xf>
    <xf numFmtId="49" fontId="14" fillId="0" borderId="0" xfId="0" applyNumberFormat="1" applyFont="1" applyFill="1" applyBorder="1" applyAlignment="1" applyProtection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Border="1"/>
    <xf numFmtId="0" fontId="14" fillId="0" borderId="6" xfId="0" applyFont="1" applyBorder="1"/>
    <xf numFmtId="0" fontId="14" fillId="0" borderId="6" xfId="0" applyFont="1" applyBorder="1" applyAlignment="1">
      <alignment horizontal="left"/>
    </xf>
    <xf numFmtId="0" fontId="14" fillId="0" borderId="0" xfId="3" applyFont="1" applyFill="1"/>
    <xf numFmtId="0" fontId="14" fillId="0" borderId="0" xfId="3" applyFont="1"/>
    <xf numFmtId="0" fontId="14" fillId="0" borderId="0" xfId="3" applyFont="1" applyAlignment="1">
      <alignment horizontal="right"/>
    </xf>
    <xf numFmtId="0" fontId="15" fillId="0" borderId="0" xfId="3" applyFont="1"/>
    <xf numFmtId="4" fontId="14" fillId="4" borderId="1" xfId="1" applyNumberFormat="1" applyFont="1" applyFill="1" applyBorder="1" applyAlignment="1">
      <alignment horizontal="right"/>
    </xf>
    <xf numFmtId="0" fontId="14" fillId="2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alignment horizontal="right" wrapText="1"/>
      <protection locked="0"/>
    </xf>
    <xf numFmtId="0" fontId="14" fillId="0" borderId="0" xfId="0" applyFont="1" applyFill="1" applyBorder="1" applyAlignment="1" applyProtection="1">
      <alignment horizontal="right"/>
      <protection locked="0"/>
    </xf>
    <xf numFmtId="0" fontId="14" fillId="0" borderId="0" xfId="6" applyFont="1" applyFill="1" applyBorder="1" applyAlignment="1" applyProtection="1">
      <alignment horizontal="right"/>
    </xf>
    <xf numFmtId="3" fontId="14" fillId="4" borderId="1" xfId="4" applyNumberFormat="1" applyFont="1" applyFill="1" applyBorder="1" applyProtection="1">
      <protection locked="0"/>
    </xf>
    <xf numFmtId="0" fontId="14" fillId="0" borderId="0" xfId="6" applyFont="1" applyFill="1" applyBorder="1" applyAlignment="1" applyProtection="1">
      <alignment horizontal="left"/>
    </xf>
    <xf numFmtId="3" fontId="15" fillId="0" borderId="1" xfId="4" applyNumberFormat="1" applyFont="1" applyFill="1" applyBorder="1" applyProtection="1"/>
    <xf numFmtId="0" fontId="15" fillId="0" borderId="0" xfId="6" quotePrefix="1" applyFont="1" applyFill="1" applyBorder="1" applyAlignment="1" applyProtection="1"/>
    <xf numFmtId="3" fontId="15" fillId="0" borderId="1" xfId="0" applyNumberFormat="1" applyFont="1" applyFill="1" applyBorder="1" applyProtection="1"/>
    <xf numFmtId="0" fontId="14" fillId="0" borderId="0" xfId="6" applyFont="1" applyFill="1" applyBorder="1" applyAlignment="1" applyProtection="1"/>
    <xf numFmtId="171" fontId="14" fillId="4" borderId="1" xfId="4" applyNumberFormat="1" applyFont="1" applyFill="1" applyBorder="1" applyProtection="1">
      <protection locked="0"/>
    </xf>
    <xf numFmtId="3" fontId="15" fillId="4" borderId="1" xfId="4" applyNumberFormat="1" applyFont="1" applyFill="1" applyBorder="1" applyProtection="1">
      <protection locked="0"/>
    </xf>
    <xf numFmtId="0" fontId="14" fillId="2" borderId="0" xfId="0" applyFont="1" applyFill="1" applyBorder="1" applyProtection="1"/>
    <xf numFmtId="0" fontId="15" fillId="0" borderId="0" xfId="6" applyFont="1" applyFill="1" applyBorder="1" applyAlignment="1" applyProtection="1"/>
    <xf numFmtId="3" fontId="15" fillId="0" borderId="2" xfId="4" applyNumberFormat="1" applyFont="1" applyFill="1" applyBorder="1" applyProtection="1"/>
    <xf numFmtId="0" fontId="14" fillId="0" borderId="0" xfId="4" applyFont="1" applyFill="1" applyBorder="1" applyProtection="1">
      <protection locked="0"/>
    </xf>
    <xf numFmtId="49" fontId="20" fillId="0" borderId="0" xfId="0" applyNumberFormat="1" applyFont="1" applyFill="1" applyBorder="1" applyProtection="1"/>
    <xf numFmtId="0" fontId="14" fillId="5" borderId="0" xfId="0" applyFont="1" applyFill="1" applyBorder="1" applyProtection="1">
      <protection locked="0"/>
    </xf>
    <xf numFmtId="0" fontId="14" fillId="0" borderId="0" xfId="5" applyFont="1" applyFill="1" applyBorder="1" applyAlignment="1" applyProtection="1">
      <alignment horizontal="right"/>
    </xf>
    <xf numFmtId="0" fontId="14" fillId="0" borderId="0" xfId="5" applyFont="1" applyFill="1" applyBorder="1" applyAlignment="1" applyProtection="1"/>
    <xf numFmtId="0" fontId="15" fillId="0" borderId="0" xfId="5" quotePrefix="1" applyFont="1" applyFill="1" applyBorder="1" applyAlignment="1" applyProtection="1"/>
    <xf numFmtId="0" fontId="14" fillId="0" borderId="0" xfId="5" applyFont="1" applyFill="1" applyBorder="1" applyAlignment="1" applyProtection="1">
      <alignment horizontal="left"/>
    </xf>
    <xf numFmtId="171" fontId="14" fillId="6" borderId="1" xfId="4" applyNumberFormat="1" applyFont="1" applyFill="1" applyBorder="1" applyProtection="1">
      <protection locked="0"/>
    </xf>
    <xf numFmtId="0" fontId="15" fillId="0" borderId="0" xfId="5" applyFont="1" applyFill="1" applyBorder="1" applyAlignment="1" applyProtection="1"/>
    <xf numFmtId="0" fontId="15" fillId="0" borderId="0" xfId="5" applyFont="1" applyFill="1" applyBorder="1" applyAlignment="1" applyProtection="1">
      <alignment horizontal="left"/>
    </xf>
    <xf numFmtId="0" fontId="14" fillId="0" borderId="0" xfId="2" applyFont="1" applyFill="1" applyBorder="1" applyAlignment="1" applyProtection="1">
      <alignment horizontal="left"/>
    </xf>
    <xf numFmtId="3" fontId="15" fillId="0" borderId="1" xfId="4" applyNumberFormat="1" applyFont="1" applyFill="1" applyBorder="1" applyProtection="1">
      <protection locked="0"/>
    </xf>
    <xf numFmtId="49" fontId="19" fillId="0" borderId="0" xfId="0" applyNumberFormat="1" applyFont="1" applyFill="1" applyBorder="1" applyAlignment="1" applyProtection="1">
      <alignment horizontal="left"/>
    </xf>
    <xf numFmtId="0" fontId="14" fillId="5" borderId="0" xfId="0" applyFont="1" applyFill="1"/>
    <xf numFmtId="4" fontId="15" fillId="4" borderId="1" xfId="4" applyNumberFormat="1" applyFont="1" applyFill="1" applyBorder="1" applyProtection="1">
      <protection locked="0"/>
    </xf>
    <xf numFmtId="49" fontId="15" fillId="0" borderId="0" xfId="4" applyNumberFormat="1" applyFont="1" applyFill="1" applyBorder="1" applyAlignment="1" applyProtection="1">
      <alignment horizontal="left"/>
    </xf>
    <xf numFmtId="4" fontId="14" fillId="4" borderId="1" xfId="4" applyNumberFormat="1" applyFont="1" applyFill="1" applyBorder="1" applyProtection="1">
      <protection locked="0"/>
    </xf>
    <xf numFmtId="4" fontId="14" fillId="6" borderId="1" xfId="4" applyNumberFormat="1" applyFont="1" applyFill="1" applyBorder="1" applyProtection="1">
      <protection locked="0"/>
    </xf>
    <xf numFmtId="4" fontId="15" fillId="0" borderId="1" xfId="4" applyNumberFormat="1" applyFont="1" applyFill="1" applyBorder="1" applyProtection="1"/>
    <xf numFmtId="49" fontId="14" fillId="0" borderId="0" xfId="4" applyNumberFormat="1" applyFont="1" applyFill="1" applyBorder="1" applyAlignment="1" applyProtection="1">
      <alignment horizontal="left"/>
    </xf>
    <xf numFmtId="49" fontId="14" fillId="0" borderId="0" xfId="4" applyNumberFormat="1" applyFont="1" applyFill="1" applyBorder="1" applyAlignment="1" applyProtection="1"/>
    <xf numFmtId="4" fontId="14" fillId="4" borderId="5" xfId="4" applyNumberFormat="1" applyFont="1" applyFill="1" applyBorder="1" applyProtection="1">
      <protection locked="0"/>
    </xf>
    <xf numFmtId="4" fontId="15" fillId="0" borderId="2" xfId="4" applyNumberFormat="1" applyFont="1" applyFill="1" applyBorder="1" applyProtection="1"/>
    <xf numFmtId="4" fontId="14" fillId="4" borderId="1" xfId="4" quotePrefix="1" applyNumberFormat="1" applyFont="1" applyFill="1" applyBorder="1" applyProtection="1">
      <protection locked="0"/>
    </xf>
    <xf numFmtId="173" fontId="14" fillId="0" borderId="1" xfId="9" applyNumberFormat="1" applyFont="1" applyBorder="1"/>
    <xf numFmtId="174" fontId="14" fillId="6" borderId="1" xfId="0" applyNumberFormat="1" applyFont="1" applyFill="1" applyBorder="1"/>
    <xf numFmtId="0" fontId="14" fillId="0" borderId="14" xfId="0" applyFont="1" applyFill="1" applyBorder="1"/>
    <xf numFmtId="0" fontId="14" fillId="0" borderId="24" xfId="0" applyFont="1" applyBorder="1"/>
    <xf numFmtId="0" fontId="17" fillId="0" borderId="0" xfId="0" applyFont="1" applyFill="1" applyBorder="1" applyProtection="1"/>
    <xf numFmtId="0" fontId="16" fillId="0" borderId="0" xfId="2" applyFont="1" applyBorder="1" applyAlignment="1" applyProtection="1"/>
    <xf numFmtId="0" fontId="14" fillId="0" borderId="0" xfId="0" applyFont="1" applyBorder="1" applyProtection="1"/>
    <xf numFmtId="0" fontId="14" fillId="0" borderId="0" xfId="0" applyFont="1" applyBorder="1" applyAlignment="1">
      <alignment wrapText="1"/>
    </xf>
    <xf numFmtId="0" fontId="14" fillId="0" borderId="0" xfId="0" applyFont="1" applyBorder="1" applyAlignment="1" applyProtection="1">
      <alignment wrapText="1"/>
    </xf>
    <xf numFmtId="0" fontId="12" fillId="0" borderId="0" xfId="2" applyFont="1" applyBorder="1" applyAlignment="1" applyProtection="1">
      <alignment wrapText="1"/>
    </xf>
    <xf numFmtId="49" fontId="14" fillId="0" borderId="14" xfId="0" applyNumberFormat="1" applyFont="1" applyFill="1" applyBorder="1" applyProtection="1"/>
    <xf numFmtId="0" fontId="14" fillId="0" borderId="25" xfId="0" applyFont="1" applyFill="1" applyBorder="1" applyAlignment="1" applyProtection="1">
      <alignment wrapText="1"/>
    </xf>
    <xf numFmtId="170" fontId="14" fillId="4" borderId="7" xfId="0" applyNumberFormat="1" applyFont="1" applyFill="1" applyBorder="1" applyProtection="1">
      <protection locked="0"/>
    </xf>
    <xf numFmtId="2" fontId="11" fillId="0" borderId="24" xfId="0" applyNumberFormat="1" applyFont="1" applyBorder="1" applyProtection="1"/>
    <xf numFmtId="170" fontId="14" fillId="4" borderId="27" xfId="0" applyNumberFormat="1" applyFont="1" applyFill="1" applyBorder="1" applyProtection="1">
      <protection locked="0"/>
    </xf>
    <xf numFmtId="170" fontId="14" fillId="4" borderId="15" xfId="0" applyNumberFormat="1" applyFont="1" applyFill="1" applyBorder="1" applyProtection="1">
      <protection locked="0"/>
    </xf>
    <xf numFmtId="0" fontId="18" fillId="7" borderId="13" xfId="0" applyFont="1" applyFill="1" applyBorder="1" applyAlignment="1" applyProtection="1">
      <alignment horizontal="left"/>
    </xf>
    <xf numFmtId="0" fontId="14" fillId="7" borderId="22" xfId="0" applyFont="1" applyFill="1" applyBorder="1"/>
    <xf numFmtId="0" fontId="14" fillId="7" borderId="23" xfId="0" applyFont="1" applyFill="1" applyBorder="1"/>
    <xf numFmtId="0" fontId="14" fillId="0" borderId="0" xfId="0" applyNumberFormat="1" applyFont="1" applyBorder="1" applyProtection="1"/>
    <xf numFmtId="0" fontId="15" fillId="0" borderId="0" xfId="2" applyFont="1" applyFill="1" applyBorder="1" applyAlignment="1" applyProtection="1">
      <alignment wrapText="1"/>
    </xf>
    <xf numFmtId="0" fontId="2" fillId="0" borderId="0" xfId="0" applyFont="1" applyFill="1" applyBorder="1" applyProtection="1">
      <protection locked="0"/>
    </xf>
    <xf numFmtId="0" fontId="15" fillId="0" borderId="0" xfId="5" applyFont="1" applyFill="1" applyBorder="1" applyAlignment="1" applyProtection="1">
      <alignment horizontal="right"/>
    </xf>
    <xf numFmtId="0" fontId="2" fillId="2" borderId="0" xfId="0" applyFont="1" applyFill="1" applyBorder="1" applyProtection="1">
      <protection locked="0"/>
    </xf>
    <xf numFmtId="0" fontId="15" fillId="0" borderId="0" xfId="2" applyFont="1" applyFill="1" applyBorder="1" applyAlignment="1" applyProtection="1">
      <alignment horizontal="left"/>
    </xf>
    <xf numFmtId="0" fontId="15" fillId="0" borderId="0" xfId="6" applyFont="1" applyFill="1" applyBorder="1" applyAlignment="1" applyProtection="1">
      <alignment horizontal="right"/>
    </xf>
    <xf numFmtId="0" fontId="2" fillId="3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Alignment="1">
      <alignment vertical="center"/>
    </xf>
    <xf numFmtId="0" fontId="2" fillId="0" borderId="0" xfId="0" applyFont="1" applyFill="1"/>
    <xf numFmtId="0" fontId="14" fillId="0" borderId="0" xfId="0" applyFont="1" applyFill="1" applyAlignment="1">
      <alignment horizontal="right" vertical="center"/>
    </xf>
    <xf numFmtId="0" fontId="14" fillId="0" borderId="6" xfId="0" applyFont="1" applyFill="1" applyBorder="1" applyAlignment="1" applyProtection="1">
      <alignment horizontal="left"/>
      <protection locked="0"/>
    </xf>
    <xf numFmtId="49" fontId="14" fillId="0" borderId="0" xfId="0" applyNumberFormat="1" applyFont="1" applyFill="1" applyBorder="1" applyAlignment="1" applyProtection="1">
      <alignment horizontal="right" vertical="center"/>
    </xf>
    <xf numFmtId="0" fontId="26" fillId="2" borderId="0" xfId="0" applyFont="1" applyFill="1" applyBorder="1" applyAlignment="1" applyProtection="1">
      <alignment horizontal="right"/>
      <protection locked="0"/>
    </xf>
    <xf numFmtId="4" fontId="15" fillId="0" borderId="1" xfId="4" applyNumberFormat="1" applyFont="1" applyFill="1" applyBorder="1" applyProtection="1">
      <protection locked="0"/>
    </xf>
    <xf numFmtId="0" fontId="26" fillId="2" borderId="0" xfId="0" applyFont="1" applyFill="1" applyBorder="1" applyProtection="1">
      <protection locked="0"/>
    </xf>
    <xf numFmtId="49" fontId="14" fillId="0" borderId="0" xfId="4" applyNumberFormat="1" applyFont="1" applyFill="1" applyBorder="1" applyAlignment="1" applyProtection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Fill="1" applyBorder="1" applyAlignment="1" applyProtection="1">
      <alignment horizontal="right" vertical="center"/>
    </xf>
    <xf numFmtId="0" fontId="15" fillId="0" borderId="0" xfId="0" applyFont="1" applyAlignment="1">
      <alignment horizontal="left"/>
    </xf>
    <xf numFmtId="0" fontId="27" fillId="2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horizontal="right" vertical="center"/>
    </xf>
    <xf numFmtId="49" fontId="26" fillId="0" borderId="0" xfId="0" applyNumberFormat="1" applyFont="1" applyFill="1" applyBorder="1" applyProtection="1"/>
    <xf numFmtId="0" fontId="15" fillId="0" borderId="0" xfId="0" applyFont="1" applyFill="1" applyBorder="1" applyAlignment="1" applyProtection="1">
      <alignment horizontal="left" vertical="center"/>
    </xf>
    <xf numFmtId="49" fontId="14" fillId="0" borderId="0" xfId="2" applyNumberFormat="1" applyFont="1" applyFill="1" applyBorder="1" applyAlignment="1" applyProtection="1">
      <alignment horizontal="left"/>
    </xf>
    <xf numFmtId="49" fontId="15" fillId="0" borderId="0" xfId="4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left"/>
    </xf>
    <xf numFmtId="49" fontId="15" fillId="0" borderId="0" xfId="4" quotePrefix="1" applyNumberFormat="1" applyFont="1" applyFill="1" applyBorder="1" applyAlignment="1" applyProtection="1">
      <alignment horizontal="right"/>
    </xf>
    <xf numFmtId="0" fontId="14" fillId="2" borderId="0" xfId="0" applyFont="1" applyFill="1" applyBorder="1" applyAlignment="1" applyProtection="1"/>
    <xf numFmtId="49" fontId="15" fillId="0" borderId="0" xfId="4" quotePrefix="1" applyNumberFormat="1" applyFont="1" applyFill="1" applyBorder="1" applyAlignment="1" applyProtection="1">
      <alignment horizontal="right" vertical="top"/>
    </xf>
    <xf numFmtId="49" fontId="15" fillId="0" borderId="0" xfId="4" applyNumberFormat="1" applyFont="1" applyFill="1" applyBorder="1" applyAlignment="1" applyProtection="1">
      <alignment horizontal="right"/>
    </xf>
    <xf numFmtId="0" fontId="14" fillId="2" borderId="0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Protection="1"/>
    <xf numFmtId="49" fontId="2" fillId="0" borderId="0" xfId="4" applyNumberFormat="1" applyFont="1" applyFill="1" applyBorder="1" applyAlignment="1" applyProtection="1">
      <alignment horizontal="left"/>
    </xf>
    <xf numFmtId="0" fontId="2" fillId="0" borderId="0" xfId="10" applyFont="1" applyFill="1" applyBorder="1" applyProtection="1">
      <protection locked="0"/>
    </xf>
    <xf numFmtId="0" fontId="14" fillId="0" borderId="0" xfId="10" applyFont="1" applyFill="1" applyBorder="1" applyProtection="1">
      <protection locked="0"/>
    </xf>
    <xf numFmtId="49" fontId="19" fillId="0" borderId="0" xfId="10" applyNumberFormat="1" applyFont="1" applyFill="1" applyBorder="1" applyProtection="1"/>
    <xf numFmtId="49" fontId="20" fillId="0" borderId="0" xfId="10" applyNumberFormat="1" applyFont="1" applyFill="1" applyBorder="1" applyProtection="1"/>
    <xf numFmtId="0" fontId="14" fillId="0" borderId="0" xfId="10" applyFont="1" applyFill="1" applyBorder="1" applyAlignment="1" applyProtection="1">
      <alignment horizontal="right" wrapText="1"/>
      <protection locked="0"/>
    </xf>
    <xf numFmtId="49" fontId="25" fillId="0" borderId="0" xfId="2" applyNumberFormat="1" applyFont="1" applyFill="1" applyBorder="1" applyAlignment="1" applyProtection="1"/>
    <xf numFmtId="49" fontId="15" fillId="0" borderId="0" xfId="10" applyNumberFormat="1" applyFont="1" applyFill="1" applyBorder="1" applyAlignment="1" applyProtection="1"/>
    <xf numFmtId="0" fontId="14" fillId="5" borderId="0" xfId="10" applyFont="1" applyFill="1" applyBorder="1" applyAlignment="1" applyProtection="1">
      <alignment horizontal="right"/>
    </xf>
    <xf numFmtId="49" fontId="15" fillId="5" borderId="0" xfId="10" applyNumberFormat="1" applyFont="1" applyFill="1" applyBorder="1" applyAlignment="1" applyProtection="1"/>
    <xf numFmtId="49" fontId="19" fillId="5" borderId="0" xfId="10" applyNumberFormat="1" applyFont="1" applyFill="1" applyBorder="1" applyProtection="1"/>
    <xf numFmtId="49" fontId="20" fillId="5" borderId="0" xfId="10" applyNumberFormat="1" applyFont="1" applyFill="1" applyBorder="1" applyProtection="1"/>
    <xf numFmtId="0" fontId="14" fillId="0" borderId="0" xfId="10" applyFont="1" applyFill="1" applyBorder="1" applyAlignment="1" applyProtection="1">
      <alignment horizontal="right"/>
      <protection locked="0"/>
    </xf>
    <xf numFmtId="0" fontId="14" fillId="5" borderId="0" xfId="10" applyFont="1" applyFill="1" applyBorder="1" applyProtection="1">
      <protection locked="0"/>
    </xf>
    <xf numFmtId="0" fontId="2" fillId="5" borderId="0" xfId="10" applyFont="1" applyFill="1" applyBorder="1" applyProtection="1">
      <protection locked="0"/>
    </xf>
    <xf numFmtId="0" fontId="14" fillId="0" borderId="0" xfId="10" applyFont="1" applyFill="1" applyBorder="1" applyProtection="1"/>
    <xf numFmtId="3" fontId="6" fillId="0" borderId="1" xfId="10" applyNumberFormat="1" applyFont="1" applyFill="1" applyBorder="1" applyProtection="1">
      <protection locked="0"/>
    </xf>
    <xf numFmtId="0" fontId="2" fillId="2" borderId="0" xfId="10" applyFont="1" applyFill="1" applyBorder="1" applyProtection="1">
      <protection locked="0"/>
    </xf>
    <xf numFmtId="3" fontId="15" fillId="0" borderId="1" xfId="10" applyNumberFormat="1" applyFont="1" applyFill="1" applyBorder="1" applyProtection="1"/>
    <xf numFmtId="0" fontId="14" fillId="0" borderId="0" xfId="10" applyFont="1" applyFill="1" applyBorder="1" applyAlignment="1" applyProtection="1">
      <alignment horizontal="right"/>
    </xf>
    <xf numFmtId="3" fontId="14" fillId="4" borderId="1" xfId="10" applyNumberFormat="1" applyFont="1" applyFill="1" applyBorder="1" applyProtection="1">
      <protection locked="0"/>
    </xf>
    <xf numFmtId="0" fontId="15" fillId="0" borderId="0" xfId="10" quotePrefix="1" applyFont="1" applyProtection="1"/>
    <xf numFmtId="0" fontId="22" fillId="0" borderId="0" xfId="10" applyFont="1" applyFill="1" applyBorder="1" applyProtection="1"/>
    <xf numFmtId="0" fontId="2" fillId="0" borderId="0" xfId="10" applyFont="1" applyFill="1" applyBorder="1" applyProtection="1"/>
    <xf numFmtId="0" fontId="14" fillId="2" borderId="0" xfId="10" applyFont="1" applyFill="1" applyBorder="1" applyProtection="1"/>
    <xf numFmtId="0" fontId="15" fillId="2" borderId="0" xfId="10" applyFont="1" applyFill="1" applyBorder="1" applyAlignment="1" applyProtection="1">
      <alignment horizontal="right"/>
      <protection locked="0"/>
    </xf>
    <xf numFmtId="0" fontId="14" fillId="2" borderId="0" xfId="10" applyFont="1" applyFill="1" applyBorder="1" applyAlignment="1" applyProtection="1">
      <alignment horizontal="right"/>
      <protection locked="0"/>
    </xf>
    <xf numFmtId="0" fontId="14" fillId="2" borderId="0" xfId="10" applyFont="1" applyFill="1" applyBorder="1" applyProtection="1">
      <protection locked="0"/>
    </xf>
    <xf numFmtId="0" fontId="15" fillId="0" borderId="0" xfId="10" applyFont="1" applyFill="1" applyBorder="1" applyProtection="1"/>
    <xf numFmtId="0" fontId="14" fillId="0" borderId="0" xfId="0" applyFont="1" applyFill="1" applyBorder="1" applyAlignment="1" applyProtection="1">
      <alignment horizontal="left"/>
      <protection locked="0"/>
    </xf>
    <xf numFmtId="0" fontId="2" fillId="0" borderId="0" xfId="5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>
      <alignment horizontal="right"/>
    </xf>
    <xf numFmtId="0" fontId="15" fillId="0" borderId="0" xfId="10" applyFont="1" applyFill="1" applyBorder="1" applyAlignment="1" applyProtection="1">
      <alignment horizontal="right" wrapText="1"/>
      <protection locked="0"/>
    </xf>
    <xf numFmtId="0" fontId="15" fillId="0" borderId="0" xfId="10" applyFont="1" applyFill="1" applyBorder="1" applyAlignment="1" applyProtection="1">
      <alignment horizontal="right"/>
    </xf>
    <xf numFmtId="0" fontId="15" fillId="0" borderId="0" xfId="10" quotePrefix="1" applyFont="1"/>
    <xf numFmtId="3" fontId="15" fillId="0" borderId="1" xfId="10" quotePrefix="1" applyNumberFormat="1" applyFont="1" applyFill="1" applyBorder="1" applyProtection="1"/>
    <xf numFmtId="0" fontId="15" fillId="0" borderId="0" xfId="2" applyFont="1" applyAlignment="1" applyProtection="1"/>
    <xf numFmtId="0" fontId="28" fillId="0" borderId="0" xfId="2" applyFont="1" applyAlignment="1" applyProtection="1">
      <alignment horizontal="right"/>
    </xf>
    <xf numFmtId="0" fontId="14" fillId="0" borderId="0" xfId="10" quotePrefix="1" applyFont="1" applyAlignment="1" applyProtection="1">
      <alignment wrapText="1"/>
    </xf>
    <xf numFmtId="0" fontId="15" fillId="0" borderId="0" xfId="10" quotePrefix="1" applyFont="1" applyFill="1" applyProtection="1"/>
    <xf numFmtId="0" fontId="14" fillId="0" borderId="0" xfId="10" quotePrefix="1" applyFont="1" applyFill="1" applyAlignment="1" applyProtection="1">
      <alignment horizontal="right"/>
    </xf>
    <xf numFmtId="0" fontId="14" fillId="2" borderId="0" xfId="10" applyFont="1" applyFill="1" applyBorder="1" applyAlignment="1" applyProtection="1">
      <alignment horizontal="right"/>
    </xf>
    <xf numFmtId="0" fontId="15" fillId="2" borderId="0" xfId="10" applyFont="1" applyFill="1" applyBorder="1" applyProtection="1">
      <protection locked="0"/>
    </xf>
    <xf numFmtId="0" fontId="15" fillId="0" borderId="0" xfId="10" quotePrefix="1" applyFont="1" applyFill="1" applyBorder="1" applyProtection="1"/>
    <xf numFmtId="0" fontId="14" fillId="0" borderId="0" xfId="10" quotePrefix="1" applyFont="1" applyFill="1" applyBorder="1" applyAlignment="1" applyProtection="1">
      <alignment horizontal="right"/>
    </xf>
    <xf numFmtId="0" fontId="21" fillId="0" borderId="0" xfId="10" applyFont="1" applyFill="1" applyBorder="1" applyAlignment="1" applyProtection="1">
      <alignment horizontal="right"/>
    </xf>
    <xf numFmtId="0" fontId="14" fillId="0" borderId="0" xfId="10" applyFont="1" applyFill="1" applyProtection="1"/>
    <xf numFmtId="0" fontId="21" fillId="0" borderId="0" xfId="10" applyFont="1" applyFill="1" applyBorder="1" applyProtection="1"/>
    <xf numFmtId="0" fontId="14" fillId="0" borderId="0" xfId="10" quotePrefix="1" applyFont="1" applyAlignment="1" applyProtection="1">
      <alignment horizontal="right"/>
    </xf>
    <xf numFmtId="3" fontId="14" fillId="0" borderId="1" xfId="0" applyNumberFormat="1" applyFont="1" applyFill="1" applyBorder="1" applyProtection="1"/>
    <xf numFmtId="3" fontId="15" fillId="0" borderId="6" xfId="0" applyNumberFormat="1" applyFont="1" applyFill="1" applyBorder="1" applyProtection="1"/>
    <xf numFmtId="3" fontId="15" fillId="0" borderId="0" xfId="0" applyNumberFormat="1" applyFont="1" applyFill="1" applyBorder="1" applyProtection="1"/>
    <xf numFmtId="3" fontId="14" fillId="0" borderId="0" xfId="0" applyNumberFormat="1" applyFont="1" applyFill="1" applyBorder="1" applyProtection="1"/>
    <xf numFmtId="3" fontId="14" fillId="0" borderId="1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1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7" fillId="0" borderId="0" xfId="0" applyFont="1" applyBorder="1" applyProtection="1"/>
    <xf numFmtId="0" fontId="15" fillId="7" borderId="28" xfId="0" applyFont="1" applyFill="1" applyBorder="1"/>
    <xf numFmtId="0" fontId="15" fillId="7" borderId="18" xfId="0" applyFont="1" applyFill="1" applyBorder="1"/>
    <xf numFmtId="0" fontId="15" fillId="7" borderId="29" xfId="0" applyFont="1" applyFill="1" applyBorder="1"/>
    <xf numFmtId="0" fontId="15" fillId="0" borderId="26" xfId="0" applyFont="1" applyBorder="1" applyAlignment="1">
      <alignment wrapText="1"/>
    </xf>
    <xf numFmtId="173" fontId="14" fillId="0" borderId="1" xfId="0" applyNumberFormat="1" applyFont="1" applyBorder="1" applyProtection="1"/>
    <xf numFmtId="173" fontId="14" fillId="4" borderId="1" xfId="0" applyNumberFormat="1" applyFont="1" applyFill="1" applyBorder="1" applyProtection="1">
      <protection locked="0"/>
    </xf>
    <xf numFmtId="2" fontId="14" fillId="0" borderId="1" xfId="0" applyNumberFormat="1" applyFont="1" applyBorder="1" applyProtection="1"/>
    <xf numFmtId="1" fontId="14" fillId="0" borderId="1" xfId="0" applyNumberFormat="1" applyFont="1" applyFill="1" applyBorder="1" applyProtection="1"/>
    <xf numFmtId="49" fontId="8" fillId="9" borderId="0" xfId="0" applyNumberFormat="1" applyFont="1" applyFill="1" applyBorder="1" applyProtection="1"/>
    <xf numFmtId="0" fontId="9" fillId="9" borderId="0" xfId="0" applyFont="1" applyFill="1" applyBorder="1" applyAlignment="1" applyProtection="1">
      <alignment horizontal="left" vertical="center"/>
    </xf>
    <xf numFmtId="49" fontId="8" fillId="9" borderId="0" xfId="0" applyNumberFormat="1" applyFont="1" applyFill="1" applyBorder="1" applyAlignment="1" applyProtection="1">
      <alignment horizontal="left"/>
    </xf>
    <xf numFmtId="0" fontId="29" fillId="9" borderId="0" xfId="0" applyFont="1" applyFill="1" applyBorder="1" applyProtection="1">
      <protection locked="0"/>
    </xf>
    <xf numFmtId="0" fontId="8" fillId="9" borderId="0" xfId="0" applyFont="1" applyFill="1" applyBorder="1" applyProtection="1">
      <protection locked="0"/>
    </xf>
    <xf numFmtId="49" fontId="24" fillId="9" borderId="0" xfId="0" applyNumberFormat="1" applyFont="1" applyFill="1" applyBorder="1" applyAlignment="1" applyProtection="1">
      <alignment horizontal="left"/>
    </xf>
    <xf numFmtId="0" fontId="8" fillId="9" borderId="0" xfId="0" applyNumberFormat="1" applyFont="1" applyFill="1" applyBorder="1" applyAlignment="1" applyProtection="1">
      <alignment horizontal="left"/>
    </xf>
    <xf numFmtId="0" fontId="24" fillId="9" borderId="0" xfId="0" applyFont="1" applyFill="1" applyBorder="1" applyProtection="1">
      <protection locked="0"/>
    </xf>
    <xf numFmtId="0" fontId="8" fillId="9" borderId="0" xfId="0" applyFont="1" applyFill="1" applyBorder="1" applyAlignment="1" applyProtection="1">
      <alignment horizontal="right" vertical="center"/>
    </xf>
    <xf numFmtId="0" fontId="24" fillId="9" borderId="0" xfId="0" applyFont="1" applyFill="1" applyBorder="1" applyAlignment="1" applyProtection="1">
      <alignment horizontal="left"/>
    </xf>
    <xf numFmtId="0" fontId="8" fillId="9" borderId="0" xfId="0" applyFont="1" applyFill="1" applyBorder="1" applyAlignment="1" applyProtection="1">
      <alignment horizontal="left"/>
    </xf>
    <xf numFmtId="0" fontId="24" fillId="9" borderId="0" xfId="0" applyFont="1" applyFill="1" applyBorder="1" applyAlignment="1" applyProtection="1">
      <alignment horizontal="right" vertical="center"/>
    </xf>
    <xf numFmtId="0" fontId="30" fillId="9" borderId="0" xfId="0" applyNumberFormat="1" applyFont="1" applyFill="1" applyBorder="1" applyAlignment="1" applyProtection="1">
      <alignment horizontal="right"/>
      <protection locked="0"/>
    </xf>
    <xf numFmtId="0" fontId="24" fillId="9" borderId="0" xfId="0" applyFont="1" applyFill="1" applyBorder="1" applyAlignment="1" applyProtection="1">
      <alignment horizontal="right" wrapText="1"/>
      <protection locked="0"/>
    </xf>
    <xf numFmtId="49" fontId="31" fillId="9" borderId="0" xfId="0" applyNumberFormat="1" applyFont="1" applyFill="1" applyBorder="1" applyAlignment="1" applyProtection="1">
      <alignment horizontal="left"/>
    </xf>
    <xf numFmtId="49" fontId="31" fillId="9" borderId="0" xfId="0" applyNumberFormat="1" applyFont="1" applyFill="1" applyBorder="1" applyProtection="1"/>
    <xf numFmtId="0" fontId="9" fillId="9" borderId="0" xfId="0" applyFont="1" applyFill="1" applyBorder="1" applyAlignment="1" applyProtection="1">
      <alignment horizontal="center" wrapText="1"/>
      <protection locked="0"/>
    </xf>
    <xf numFmtId="0" fontId="9" fillId="9" borderId="0" xfId="0" applyFont="1" applyFill="1" applyBorder="1" applyAlignment="1" applyProtection="1">
      <alignment horizontal="center"/>
      <protection locked="0"/>
    </xf>
    <xf numFmtId="0" fontId="31" fillId="9" borderId="0" xfId="0" applyFont="1" applyFill="1" applyBorder="1" applyProtection="1">
      <protection locked="0"/>
    </xf>
    <xf numFmtId="0" fontId="9" fillId="9" borderId="0" xfId="0" applyFont="1" applyFill="1" applyBorder="1" applyProtection="1">
      <protection locked="0"/>
    </xf>
    <xf numFmtId="0" fontId="31" fillId="9" borderId="0" xfId="0" applyFont="1" applyFill="1" applyBorder="1" applyAlignment="1" applyProtection="1">
      <alignment horizontal="left" vertical="center"/>
    </xf>
    <xf numFmtId="49" fontId="9" fillId="9" borderId="0" xfId="0" applyNumberFormat="1" applyFont="1" applyFill="1" applyBorder="1" applyAlignment="1" applyProtection="1">
      <alignment horizontal="left"/>
    </xf>
    <xf numFmtId="0" fontId="31" fillId="9" borderId="0" xfId="0" applyNumberFormat="1" applyFont="1" applyFill="1" applyBorder="1" applyAlignment="1" applyProtection="1">
      <alignment horizontal="left"/>
    </xf>
    <xf numFmtId="0" fontId="31" fillId="9" borderId="0" xfId="0" applyFont="1" applyFill="1" applyBorder="1" applyAlignment="1" applyProtection="1">
      <alignment horizontal="right" vertical="center"/>
    </xf>
    <xf numFmtId="0" fontId="9" fillId="9" borderId="0" xfId="0" applyFont="1" applyFill="1" applyBorder="1" applyAlignment="1" applyProtection="1">
      <alignment horizontal="left"/>
    </xf>
    <xf numFmtId="0" fontId="31" fillId="9" borderId="0" xfId="0" applyFont="1" applyFill="1" applyBorder="1" applyAlignment="1" applyProtection="1">
      <alignment horizontal="left"/>
    </xf>
    <xf numFmtId="0" fontId="9" fillId="9" borderId="0" xfId="0" applyFont="1" applyFill="1" applyBorder="1" applyAlignment="1" applyProtection="1">
      <alignment horizontal="right" vertical="center"/>
    </xf>
    <xf numFmtId="0" fontId="32" fillId="9" borderId="0" xfId="0" applyNumberFormat="1" applyFont="1" applyFill="1" applyBorder="1" applyAlignment="1" applyProtection="1">
      <alignment horizontal="right"/>
      <protection locked="0"/>
    </xf>
    <xf numFmtId="0" fontId="9" fillId="9" borderId="0" xfId="0" applyFont="1" applyFill="1" applyBorder="1" applyAlignment="1" applyProtection="1">
      <alignment horizontal="right" wrapText="1"/>
      <protection locked="0"/>
    </xf>
    <xf numFmtId="4" fontId="14" fillId="0" borderId="0" xfId="0" applyNumberFormat="1" applyFont="1" applyFill="1" applyBorder="1" applyProtection="1">
      <protection locked="0"/>
    </xf>
    <xf numFmtId="0" fontId="15" fillId="0" borderId="0" xfId="2" applyFont="1" applyBorder="1" applyAlignment="1" applyProtection="1"/>
    <xf numFmtId="10" fontId="14" fillId="0" borderId="17" xfId="0" applyNumberFormat="1" applyFont="1" applyBorder="1" applyProtection="1"/>
    <xf numFmtId="0" fontId="33" fillId="0" borderId="0" xfId="0" applyFont="1" applyProtection="1"/>
    <xf numFmtId="0" fontId="12" fillId="0" borderId="0" xfId="0" applyFont="1" applyFill="1" applyProtection="1"/>
    <xf numFmtId="0" fontId="6" fillId="0" borderId="0" xfId="0" applyFont="1" applyBorder="1"/>
    <xf numFmtId="0" fontId="33" fillId="0" borderId="0" xfId="0" applyFont="1" applyFill="1" applyProtection="1"/>
    <xf numFmtId="10" fontId="14" fillId="0" borderId="0" xfId="7" applyNumberFormat="1" applyFont="1" applyFill="1" applyBorder="1" applyProtection="1">
      <protection locked="0"/>
    </xf>
    <xf numFmtId="0" fontId="7" fillId="0" borderId="0" xfId="0" applyFont="1" applyFill="1" applyBorder="1" applyProtection="1"/>
    <xf numFmtId="0" fontId="9" fillId="9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>
      <alignment horizontal="center"/>
    </xf>
    <xf numFmtId="0" fontId="34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>
      <alignment horizontal="center"/>
    </xf>
    <xf numFmtId="167" fontId="8" fillId="0" borderId="1" xfId="0" applyNumberFormat="1" applyFont="1" applyFill="1" applyBorder="1" applyAlignment="1">
      <alignment horizontal="center"/>
    </xf>
    <xf numFmtId="0" fontId="24" fillId="0" borderId="0" xfId="0" applyFont="1" applyFill="1" applyAlignment="1" applyProtection="1">
      <alignment horizontal="center" wrapText="1"/>
      <protection locked="0"/>
    </xf>
    <xf numFmtId="167" fontId="8" fillId="6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/>
    <xf numFmtId="174" fontId="14" fillId="0" borderId="0" xfId="0" applyNumberFormat="1" applyFont="1"/>
    <xf numFmtId="0" fontId="35" fillId="0" borderId="0" xfId="0" applyFont="1" applyAlignment="1">
      <alignment horizontal="left"/>
    </xf>
    <xf numFmtId="10" fontId="35" fillId="0" borderId="0" xfId="7" applyNumberFormat="1" applyFont="1" applyAlignment="1">
      <alignment horizontal="left"/>
    </xf>
    <xf numFmtId="168" fontId="36" fillId="0" borderId="0" xfId="0" applyNumberFormat="1" applyFont="1" applyAlignment="1">
      <alignment horizontal="left"/>
    </xf>
    <xf numFmtId="1" fontId="36" fillId="0" borderId="0" xfId="0" applyNumberFormat="1" applyFont="1" applyAlignment="1">
      <alignment horizontal="left"/>
    </xf>
    <xf numFmtId="0" fontId="35" fillId="0" borderId="0" xfId="7" applyNumberFormat="1" applyFont="1" applyFill="1" applyAlignment="1">
      <alignment horizontal="left"/>
    </xf>
    <xf numFmtId="0" fontId="34" fillId="8" borderId="0" xfId="0" applyFont="1" applyFill="1" applyBorder="1"/>
    <xf numFmtId="0" fontId="37" fillId="8" borderId="0" xfId="0" applyFont="1" applyFill="1" applyBorder="1"/>
    <xf numFmtId="0" fontId="38" fillId="0" borderId="0" xfId="0" applyFont="1"/>
    <xf numFmtId="0" fontId="38" fillId="0" borderId="0" xfId="0" applyFont="1" applyFill="1" applyBorder="1"/>
    <xf numFmtId="166" fontId="38" fillId="8" borderId="0" xfId="8" applyFont="1" applyFill="1" applyBorder="1"/>
    <xf numFmtId="0" fontId="0" fillId="0" borderId="0" xfId="0" quotePrefix="1"/>
    <xf numFmtId="174" fontId="38" fillId="8" borderId="0" xfId="8" applyNumberFormat="1" applyFont="1" applyFill="1" applyBorder="1"/>
    <xf numFmtId="172" fontId="38" fillId="8" borderId="0" xfId="8" applyNumberFormat="1" applyFont="1" applyFill="1" applyBorder="1"/>
    <xf numFmtId="166" fontId="38" fillId="8" borderId="0" xfId="8" applyNumberFormat="1" applyFont="1" applyFill="1" applyBorder="1"/>
    <xf numFmtId="172" fontId="38" fillId="8" borderId="0" xfId="8" applyNumberFormat="1" applyFont="1" applyFill="1" applyBorder="1" applyAlignment="1"/>
    <xf numFmtId="1" fontId="38" fillId="7" borderId="0" xfId="8" applyNumberFormat="1" applyFont="1" applyFill="1" applyBorder="1" applyAlignment="1"/>
    <xf numFmtId="177" fontId="38" fillId="0" borderId="0" xfId="0" applyNumberFormat="1" applyFont="1" applyFill="1" applyBorder="1"/>
    <xf numFmtId="1" fontId="39" fillId="7" borderId="0" xfId="8" applyNumberFormat="1" applyFont="1" applyFill="1" applyBorder="1" applyAlignment="1">
      <alignment wrapText="1"/>
    </xf>
    <xf numFmtId="0" fontId="39" fillId="7" borderId="0" xfId="0" applyFont="1" applyFill="1" applyBorder="1" applyAlignment="1">
      <alignment wrapText="1"/>
    </xf>
    <xf numFmtId="0" fontId="39" fillId="7" borderId="0" xfId="0" applyFont="1" applyFill="1" applyBorder="1"/>
    <xf numFmtId="0" fontId="39" fillId="7" borderId="0" xfId="0" quotePrefix="1" applyFont="1" applyFill="1" applyBorder="1"/>
    <xf numFmtId="0" fontId="39" fillId="0" borderId="0" xfId="0" applyFont="1" applyFill="1" applyBorder="1" applyAlignment="1">
      <alignment wrapText="1"/>
    </xf>
    <xf numFmtId="166" fontId="39" fillId="7" borderId="0" xfId="8" applyFont="1" applyFill="1" applyBorder="1" applyAlignment="1">
      <alignment wrapText="1"/>
    </xf>
    <xf numFmtId="0" fontId="38" fillId="7" borderId="0" xfId="0" applyFont="1" applyFill="1" applyBorder="1"/>
    <xf numFmtId="166" fontId="39" fillId="7" borderId="0" xfId="8" applyFont="1" applyFill="1" applyBorder="1" applyAlignment="1"/>
    <xf numFmtId="0" fontId="40" fillId="7" borderId="0" xfId="0" applyFont="1" applyFill="1" applyBorder="1"/>
    <xf numFmtId="166" fontId="38" fillId="0" borderId="0" xfId="8" applyFont="1" applyFill="1" applyBorder="1"/>
    <xf numFmtId="172" fontId="38" fillId="0" borderId="0" xfId="8" applyNumberFormat="1" applyFont="1" applyFill="1" applyBorder="1"/>
    <xf numFmtId="174" fontId="38" fillId="0" borderId="0" xfId="8" applyNumberFormat="1" applyFont="1" applyFill="1" applyBorder="1"/>
    <xf numFmtId="10" fontId="38" fillId="0" borderId="0" xfId="0" applyNumberFormat="1" applyFont="1"/>
    <xf numFmtId="169" fontId="38" fillId="0" borderId="0" xfId="0" applyNumberFormat="1" applyFont="1"/>
    <xf numFmtId="0" fontId="38" fillId="7" borderId="2" xfId="0" applyFont="1" applyFill="1" applyBorder="1"/>
    <xf numFmtId="0" fontId="38" fillId="7" borderId="19" xfId="0" applyFont="1" applyFill="1" applyBorder="1"/>
    <xf numFmtId="178" fontId="38" fillId="0" borderId="0" xfId="0" applyNumberFormat="1" applyFont="1"/>
    <xf numFmtId="179" fontId="38" fillId="0" borderId="0" xfId="0" applyNumberFormat="1" applyFont="1"/>
    <xf numFmtId="0" fontId="42" fillId="7" borderId="1" xfId="0" applyFont="1" applyFill="1" applyBorder="1" applyAlignment="1">
      <alignment wrapText="1"/>
    </xf>
    <xf numFmtId="0" fontId="38" fillId="0" borderId="0" xfId="0" applyFont="1" applyFill="1"/>
    <xf numFmtId="0" fontId="38" fillId="0" borderId="0" xfId="0" applyFont="1" applyFill="1" applyBorder="1" applyAlignment="1">
      <alignment horizontal="justify"/>
    </xf>
    <xf numFmtId="0" fontId="38" fillId="7" borderId="2" xfId="0" applyFont="1" applyFill="1" applyBorder="1" applyAlignment="1">
      <alignment horizontal="justify"/>
    </xf>
    <xf numFmtId="0" fontId="38" fillId="7" borderId="8" xfId="0" applyFont="1" applyFill="1" applyBorder="1" applyAlignment="1">
      <alignment horizontal="justify"/>
    </xf>
    <xf numFmtId="0" fontId="38" fillId="7" borderId="17" xfId="0" applyFont="1" applyFill="1" applyBorder="1" applyAlignment="1">
      <alignment horizontal="justify"/>
    </xf>
    <xf numFmtId="0" fontId="38" fillId="7" borderId="1" xfId="0" applyFont="1" applyFill="1" applyBorder="1" applyAlignment="1">
      <alignment horizontal="justify"/>
    </xf>
    <xf numFmtId="0" fontId="38" fillId="7" borderId="5" xfId="0" applyFont="1" applyFill="1" applyBorder="1"/>
    <xf numFmtId="0" fontId="38" fillId="7" borderId="1" xfId="0" applyFont="1" applyFill="1" applyBorder="1"/>
    <xf numFmtId="0" fontId="38" fillId="0" borderId="0" xfId="0" applyFont="1" applyAlignment="1"/>
    <xf numFmtId="166" fontId="38" fillId="8" borderId="11" xfId="8" applyFont="1" applyFill="1" applyBorder="1" applyAlignment="1">
      <alignment horizontal="center"/>
    </xf>
    <xf numFmtId="176" fontId="38" fillId="7" borderId="12" xfId="8" applyNumberFormat="1" applyFont="1" applyFill="1" applyBorder="1" applyAlignment="1">
      <alignment horizontal="center"/>
    </xf>
    <xf numFmtId="173" fontId="38" fillId="8" borderId="2" xfId="9" applyNumberFormat="1" applyFont="1" applyFill="1" applyBorder="1" applyAlignment="1">
      <alignment horizontal="center"/>
    </xf>
    <xf numFmtId="0" fontId="38" fillId="7" borderId="11" xfId="0" applyFont="1" applyFill="1" applyBorder="1" applyAlignment="1">
      <alignment horizontal="right"/>
    </xf>
    <xf numFmtId="166" fontId="38" fillId="8" borderId="21" xfId="8" applyFont="1" applyFill="1" applyBorder="1" applyAlignment="1">
      <alignment horizontal="center"/>
    </xf>
    <xf numFmtId="176" fontId="38" fillId="7" borderId="20" xfId="8" applyNumberFormat="1" applyFont="1" applyFill="1" applyBorder="1" applyAlignment="1">
      <alignment horizontal="center"/>
    </xf>
    <xf numFmtId="173" fontId="38" fillId="8" borderId="19" xfId="9" applyNumberFormat="1" applyFont="1" applyFill="1" applyBorder="1" applyAlignment="1">
      <alignment horizontal="center"/>
    </xf>
    <xf numFmtId="0" fontId="38" fillId="7" borderId="21" xfId="0" applyFont="1" applyFill="1" applyBorder="1" applyAlignment="1">
      <alignment horizontal="right"/>
    </xf>
    <xf numFmtId="176" fontId="38" fillId="7" borderId="10" xfId="8" applyNumberFormat="1" applyFont="1" applyFill="1" applyBorder="1" applyAlignment="1">
      <alignment horizontal="center"/>
    </xf>
    <xf numFmtId="173" fontId="38" fillId="8" borderId="5" xfId="9" applyNumberFormat="1" applyFont="1" applyFill="1" applyBorder="1" applyAlignment="1">
      <alignment horizontal="center"/>
    </xf>
    <xf numFmtId="173" fontId="38" fillId="8" borderId="2" xfId="9" applyNumberFormat="1" applyFont="1" applyFill="1" applyBorder="1" applyAlignment="1"/>
    <xf numFmtId="0" fontId="38" fillId="7" borderId="19" xfId="0" applyFont="1" applyFill="1" applyBorder="1" applyAlignment="1">
      <alignment horizontal="center" wrapText="1"/>
    </xf>
    <xf numFmtId="0" fontId="38" fillId="7" borderId="1" xfId="0" applyFont="1" applyFill="1" applyBorder="1" applyAlignment="1">
      <alignment horizontal="center"/>
    </xf>
    <xf numFmtId="0" fontId="38" fillId="7" borderId="11" xfId="0" applyFont="1" applyFill="1" applyBorder="1" applyAlignment="1">
      <alignment wrapText="1"/>
    </xf>
    <xf numFmtId="0" fontId="38" fillId="7" borderId="2" xfId="0" applyFont="1" applyFill="1" applyBorder="1" applyAlignment="1">
      <alignment horizontal="center" wrapText="1"/>
    </xf>
    <xf numFmtId="0" fontId="38" fillId="7" borderId="2" xfId="0" applyFont="1" applyFill="1" applyBorder="1" applyAlignment="1">
      <alignment wrapText="1"/>
    </xf>
    <xf numFmtId="0" fontId="38" fillId="7" borderId="5" xfId="0" applyFont="1" applyFill="1" applyBorder="1" applyAlignment="1">
      <alignment horizontal="center"/>
    </xf>
    <xf numFmtId="0" fontId="38" fillId="7" borderId="9" xfId="0" applyFont="1" applyFill="1" applyBorder="1" applyAlignment="1">
      <alignment horizontal="center"/>
    </xf>
    <xf numFmtId="0" fontId="38" fillId="7" borderId="10" xfId="0" applyFont="1" applyFill="1" applyBorder="1" applyAlignment="1">
      <alignment horizontal="center"/>
    </xf>
    <xf numFmtId="0" fontId="38" fillId="7" borderId="16" xfId="0" applyFont="1" applyFill="1" applyBorder="1" applyAlignment="1">
      <alignment horizontal="center"/>
    </xf>
    <xf numFmtId="0" fontId="38" fillId="7" borderId="9" xfId="0" applyFont="1" applyFill="1" applyBorder="1" applyAlignment="1">
      <alignment horizontal="left"/>
    </xf>
    <xf numFmtId="0" fontId="38" fillId="7" borderId="9" xfId="0" applyFont="1" applyFill="1" applyBorder="1" applyAlignment="1">
      <alignment wrapText="1"/>
    </xf>
    <xf numFmtId="0" fontId="38" fillId="7" borderId="5" xfId="0" applyFont="1" applyFill="1" applyBorder="1" applyAlignment="1">
      <alignment wrapText="1"/>
    </xf>
    <xf numFmtId="0" fontId="44" fillId="0" borderId="0" xfId="0" applyFont="1" applyFill="1" applyBorder="1" applyAlignment="1">
      <alignment wrapText="1"/>
    </xf>
    <xf numFmtId="182" fontId="38" fillId="0" borderId="0" xfId="0" applyNumberFormat="1" applyFont="1"/>
    <xf numFmtId="183" fontId="38" fillId="0" borderId="0" xfId="0" applyNumberFormat="1" applyFont="1"/>
    <xf numFmtId="0" fontId="38" fillId="0" borderId="0" xfId="0" applyFont="1" applyAlignment="1">
      <alignment horizontal="left"/>
    </xf>
    <xf numFmtId="0" fontId="45" fillId="0" borderId="0" xfId="0" applyFont="1" applyFill="1" applyBorder="1" applyAlignment="1">
      <alignment vertical="center" wrapText="1"/>
    </xf>
    <xf numFmtId="0" fontId="38" fillId="0" borderId="0" xfId="0" applyFont="1" applyAlignment="1">
      <alignment horizontal="center"/>
    </xf>
    <xf numFmtId="10" fontId="38" fillId="0" borderId="0" xfId="7" applyNumberFormat="1" applyFont="1"/>
    <xf numFmtId="175" fontId="38" fillId="0" borderId="0" xfId="0" applyNumberFormat="1" applyFont="1"/>
    <xf numFmtId="169" fontId="38" fillId="0" borderId="0" xfId="7" applyNumberFormat="1" applyFont="1"/>
    <xf numFmtId="9" fontId="38" fillId="0" borderId="0" xfId="7" applyFont="1"/>
    <xf numFmtId="169" fontId="38" fillId="8" borderId="2" xfId="7" applyNumberFormat="1" applyFont="1" applyFill="1" applyBorder="1" applyAlignment="1"/>
    <xf numFmtId="174" fontId="38" fillId="8" borderId="2" xfId="9" applyNumberFormat="1" applyFont="1" applyFill="1" applyBorder="1" applyAlignment="1">
      <alignment horizontal="right"/>
    </xf>
    <xf numFmtId="0" fontId="38" fillId="10" borderId="1" xfId="0" applyFont="1" applyFill="1" applyBorder="1" applyAlignment="1">
      <alignment wrapText="1"/>
    </xf>
    <xf numFmtId="166" fontId="38" fillId="0" borderId="0" xfId="8" applyFont="1" applyFill="1" applyAlignment="1">
      <alignment horizontal="right"/>
    </xf>
    <xf numFmtId="167" fontId="38" fillId="0" borderId="0" xfId="0" applyNumberFormat="1" applyFont="1" applyFill="1" applyBorder="1" applyAlignment="1">
      <alignment horizontal="right"/>
    </xf>
    <xf numFmtId="172" fontId="38" fillId="0" borderId="0" xfId="8" applyNumberFormat="1" applyFont="1" applyFill="1" applyAlignment="1">
      <alignment horizontal="right"/>
    </xf>
    <xf numFmtId="9" fontId="38" fillId="0" borderId="0" xfId="7" applyFont="1" applyFill="1" applyAlignment="1">
      <alignment horizontal="right"/>
    </xf>
    <xf numFmtId="0" fontId="38" fillId="0" borderId="0" xfId="0" applyFont="1" applyFill="1" applyAlignment="1" applyProtection="1">
      <alignment horizontal="left"/>
    </xf>
    <xf numFmtId="0" fontId="35" fillId="0" borderId="0" xfId="0" applyFont="1" applyFill="1" applyAlignment="1">
      <alignment horizontal="left" wrapText="1"/>
    </xf>
    <xf numFmtId="166" fontId="38" fillId="8" borderId="2" xfId="8" applyFont="1" applyFill="1" applyBorder="1" applyAlignment="1">
      <alignment horizontal="right"/>
    </xf>
    <xf numFmtId="0" fontId="38" fillId="7" borderId="6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38" fillId="7" borderId="12" xfId="0" applyFont="1" applyFill="1" applyBorder="1" applyAlignment="1">
      <alignment wrapText="1"/>
    </xf>
    <xf numFmtId="0" fontId="38" fillId="7" borderId="18" xfId="0" applyFont="1" applyFill="1" applyBorder="1" applyAlignment="1">
      <alignment wrapText="1"/>
    </xf>
    <xf numFmtId="0" fontId="38" fillId="10" borderId="11" xfId="0" applyFont="1" applyFill="1" applyBorder="1" applyAlignment="1">
      <alignment wrapText="1"/>
    </xf>
    <xf numFmtId="0" fontId="38" fillId="7" borderId="16" xfId="0" applyFont="1" applyFill="1" applyBorder="1" applyAlignment="1">
      <alignment horizontal="center" wrapText="1"/>
    </xf>
    <xf numFmtId="0" fontId="38" fillId="7" borderId="16" xfId="0" applyFont="1" applyFill="1" applyBorder="1" applyAlignment="1">
      <alignment horizontal="left"/>
    </xf>
    <xf numFmtId="0" fontId="38" fillId="7" borderId="10" xfId="0" applyFont="1" applyFill="1" applyBorder="1" applyAlignment="1">
      <alignment wrapText="1"/>
    </xf>
    <xf numFmtId="0" fontId="38" fillId="7" borderId="16" xfId="0" applyFont="1" applyFill="1" applyBorder="1" applyAlignment="1">
      <alignment wrapText="1"/>
    </xf>
    <xf numFmtId="0" fontId="38" fillId="10" borderId="9" xfId="0" applyFont="1" applyFill="1" applyBorder="1" applyAlignment="1">
      <alignment wrapText="1"/>
    </xf>
    <xf numFmtId="0" fontId="44" fillId="0" borderId="5" xfId="0" applyFont="1" applyFill="1" applyBorder="1" applyAlignment="1">
      <alignment wrapText="1"/>
    </xf>
    <xf numFmtId="0" fontId="38" fillId="0" borderId="10" xfId="0" applyFont="1" applyFill="1" applyBorder="1"/>
    <xf numFmtId="0" fontId="38" fillId="0" borderId="16" xfId="0" applyFont="1" applyFill="1" applyBorder="1"/>
    <xf numFmtId="0" fontId="44" fillId="0" borderId="16" xfId="0" applyFont="1" applyFill="1" applyBorder="1" applyAlignment="1"/>
    <xf numFmtId="0" fontId="46" fillId="0" borderId="16" xfId="0" applyFont="1" applyFill="1" applyBorder="1" applyAlignment="1">
      <alignment wrapText="1"/>
    </xf>
    <xf numFmtId="0" fontId="44" fillId="0" borderId="9" xfId="0" applyFont="1" applyFill="1" applyBorder="1" applyAlignment="1">
      <alignment wrapText="1"/>
    </xf>
    <xf numFmtId="0" fontId="46" fillId="0" borderId="0" xfId="0" applyFont="1" applyFill="1" applyBorder="1" applyAlignment="1">
      <alignment wrapText="1"/>
    </xf>
    <xf numFmtId="9" fontId="38" fillId="0" borderId="0" xfId="7" applyFont="1" applyFill="1"/>
    <xf numFmtId="0" fontId="47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wrapText="1"/>
    </xf>
    <xf numFmtId="1" fontId="14" fillId="0" borderId="1" xfId="0" applyNumberFormat="1" applyFont="1" applyBorder="1"/>
    <xf numFmtId="1" fontId="15" fillId="0" borderId="1" xfId="0" applyNumberFormat="1" applyFont="1" applyBorder="1"/>
    <xf numFmtId="49" fontId="48" fillId="0" borderId="0" xfId="2" applyNumberFormat="1" applyFont="1" applyFill="1" applyBorder="1" applyAlignment="1" applyProtection="1">
      <alignment horizontal="left"/>
    </xf>
    <xf numFmtId="173" fontId="14" fillId="4" borderId="7" xfId="0" applyNumberFormat="1" applyFont="1" applyFill="1" applyBorder="1" applyProtection="1">
      <protection locked="0"/>
    </xf>
    <xf numFmtId="3" fontId="14" fillId="0" borderId="1" xfId="0" applyNumberFormat="1" applyFont="1" applyFill="1" applyBorder="1" applyAlignment="1" applyProtection="1"/>
    <xf numFmtId="0" fontId="49" fillId="0" borderId="0" xfId="0" applyNumberFormat="1" applyFont="1"/>
    <xf numFmtId="0" fontId="49" fillId="0" borderId="0" xfId="0" applyNumberFormat="1" applyFont="1" applyAlignment="1">
      <alignment wrapText="1"/>
    </xf>
    <xf numFmtId="0" fontId="49" fillId="0" borderId="0" xfId="0" applyFont="1" applyAlignment="1">
      <alignment wrapText="1"/>
    </xf>
    <xf numFmtId="173" fontId="14" fillId="0" borderId="1" xfId="0" applyNumberFormat="1" applyFont="1" applyFill="1" applyBorder="1" applyProtection="1">
      <protection locked="0"/>
    </xf>
    <xf numFmtId="173" fontId="14" fillId="0" borderId="7" xfId="0" applyNumberFormat="1" applyFont="1" applyFill="1" applyBorder="1" applyProtection="1">
      <protection locked="0"/>
    </xf>
    <xf numFmtId="173" fontId="14" fillId="0" borderId="5" xfId="9" applyNumberFormat="1" applyFont="1" applyBorder="1"/>
    <xf numFmtId="173" fontId="14" fillId="0" borderId="1" xfId="0" applyNumberFormat="1" applyFont="1" applyBorder="1"/>
    <xf numFmtId="0" fontId="37" fillId="8" borderId="0" xfId="0" applyFont="1" applyFill="1" applyBorder="1" applyAlignment="1">
      <alignment horizontal="center"/>
    </xf>
    <xf numFmtId="0" fontId="37" fillId="8" borderId="0" xfId="0" applyFont="1" applyFill="1" applyAlignment="1" applyProtection="1">
      <alignment horizontal="center"/>
      <protection locked="0"/>
    </xf>
    <xf numFmtId="0" fontId="34" fillId="8" borderId="0" xfId="0" applyFont="1" applyFill="1" applyAlignment="1" applyProtection="1">
      <alignment horizontal="center"/>
      <protection locked="0"/>
    </xf>
    <xf numFmtId="167" fontId="37" fillId="8" borderId="0" xfId="0" applyNumberFormat="1" applyFont="1" applyFill="1" applyAlignment="1">
      <alignment horizontal="center"/>
    </xf>
    <xf numFmtId="0" fontId="37" fillId="8" borderId="0" xfId="0" applyFont="1" applyFill="1" applyAlignment="1">
      <alignment horizontal="center"/>
    </xf>
    <xf numFmtId="0" fontId="34" fillId="8" borderId="0" xfId="0" applyFont="1" applyFill="1" applyAlignment="1">
      <alignment horizontal="center"/>
    </xf>
    <xf numFmtId="173" fontId="38" fillId="0" borderId="0" xfId="0" applyNumberFormat="1" applyFont="1"/>
    <xf numFmtId="0" fontId="37" fillId="8" borderId="0" xfId="0" applyNumberFormat="1" applyFont="1" applyFill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</xf>
    <xf numFmtId="0" fontId="14" fillId="2" borderId="0" xfId="10" quotePrefix="1" applyFont="1" applyFill="1" applyBorder="1" applyAlignment="1" applyProtection="1">
      <alignment horizontal="right"/>
      <protection locked="0"/>
    </xf>
    <xf numFmtId="0" fontId="15" fillId="0" borderId="0" xfId="10" quotePrefix="1" applyFont="1" applyFill="1" applyBorder="1" applyAlignment="1" applyProtection="1">
      <alignment horizontal="right"/>
    </xf>
    <xf numFmtId="49" fontId="14" fillId="0" borderId="0" xfId="0" applyNumberFormat="1" applyFont="1" applyFill="1" applyBorder="1" applyAlignment="1" applyProtection="1">
      <alignment horizontal="right"/>
    </xf>
    <xf numFmtId="49" fontId="26" fillId="0" borderId="0" xfId="0" applyNumberFormat="1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/>
    <xf numFmtId="0" fontId="0" fillId="11" borderId="0" xfId="0" applyFill="1"/>
    <xf numFmtId="0" fontId="0" fillId="12" borderId="0" xfId="0" applyFill="1"/>
    <xf numFmtId="168" fontId="14" fillId="6" borderId="2" xfId="0" applyNumberFormat="1" applyFont="1" applyFill="1" applyBorder="1" applyProtection="1">
      <protection locked="0"/>
    </xf>
    <xf numFmtId="0" fontId="2" fillId="0" borderId="0" xfId="0" applyFont="1"/>
    <xf numFmtId="0" fontId="14" fillId="0" borderId="0" xfId="0" applyFont="1" applyAlignment="1">
      <alignment horizontal="left" wrapText="1"/>
    </xf>
    <xf numFmtId="0" fontId="14" fillId="0" borderId="31" xfId="0" applyFont="1" applyBorder="1" applyAlignment="1">
      <alignment horizontal="left" wrapText="1"/>
    </xf>
    <xf numFmtId="169" fontId="12" fillId="6" borderId="1" xfId="0" applyNumberFormat="1" applyFont="1" applyFill="1" applyBorder="1" applyProtection="1"/>
    <xf numFmtId="2" fontId="12" fillId="6" borderId="1" xfId="0" applyNumberFormat="1" applyFont="1" applyFill="1" applyBorder="1" applyProtection="1"/>
    <xf numFmtId="9" fontId="12" fillId="6" borderId="1" xfId="0" applyNumberFormat="1" applyFont="1" applyFill="1" applyBorder="1" applyProtection="1"/>
    <xf numFmtId="169" fontId="14" fillId="0" borderId="1" xfId="0" applyNumberFormat="1" applyFont="1" applyFill="1" applyBorder="1" applyProtection="1">
      <protection locked="0"/>
    </xf>
    <xf numFmtId="0" fontId="52" fillId="9" borderId="0" xfId="0" applyFont="1" applyFill="1" applyBorder="1" applyAlignment="1" applyProtection="1">
      <alignment horizontal="left"/>
      <protection locked="0"/>
    </xf>
    <xf numFmtId="167" fontId="34" fillId="0" borderId="9" xfId="0" applyNumberFormat="1" applyFont="1" applyBorder="1" applyAlignment="1">
      <alignment horizontal="center"/>
    </xf>
    <xf numFmtId="167" fontId="34" fillId="0" borderId="16" xfId="0" applyNumberFormat="1" applyFont="1" applyBorder="1" applyAlignment="1">
      <alignment horizontal="center"/>
    </xf>
    <xf numFmtId="167" fontId="34" fillId="0" borderId="10" xfId="0" applyNumberFormat="1" applyFont="1" applyBorder="1" applyAlignment="1">
      <alignment horizontal="center"/>
    </xf>
    <xf numFmtId="167" fontId="34" fillId="0" borderId="21" xfId="0" applyNumberFormat="1" applyFont="1" applyBorder="1" applyAlignment="1">
      <alignment horizontal="center"/>
    </xf>
    <xf numFmtId="167" fontId="34" fillId="0" borderId="0" xfId="0" applyNumberFormat="1" applyFont="1" applyBorder="1" applyAlignment="1">
      <alignment horizontal="center"/>
    </xf>
    <xf numFmtId="167" fontId="34" fillId="0" borderId="20" xfId="0" applyNumberFormat="1" applyFont="1" applyBorder="1" applyAlignment="1">
      <alignment horizontal="center"/>
    </xf>
    <xf numFmtId="167" fontId="8" fillId="0" borderId="1" xfId="0" applyNumberFormat="1" applyFont="1" applyFill="1" applyBorder="1" applyAlignment="1" applyProtection="1">
      <alignment horizontal="center"/>
      <protection locked="0"/>
    </xf>
    <xf numFmtId="0" fontId="53" fillId="0" borderId="0" xfId="0" applyFont="1" applyAlignment="1">
      <alignment wrapText="1"/>
    </xf>
    <xf numFmtId="0" fontId="38" fillId="7" borderId="1" xfId="0" applyFont="1" applyFill="1" applyBorder="1" applyAlignment="1">
      <alignment wrapText="1"/>
    </xf>
    <xf numFmtId="176" fontId="38" fillId="7" borderId="8" xfId="8" applyNumberFormat="1" applyFont="1" applyFill="1" applyBorder="1" applyAlignment="1">
      <alignment horizontal="right"/>
    </xf>
    <xf numFmtId="174" fontId="38" fillId="7" borderId="1" xfId="8" applyNumberFormat="1" applyFont="1" applyFill="1" applyBorder="1" applyAlignment="1">
      <alignment horizontal="right"/>
    </xf>
    <xf numFmtId="176" fontId="38" fillId="7" borderId="1" xfId="8" applyNumberFormat="1" applyFont="1" applyFill="1" applyBorder="1" applyAlignment="1">
      <alignment horizontal="right"/>
    </xf>
    <xf numFmtId="166" fontId="38" fillId="7" borderId="20" xfId="8" applyFont="1" applyFill="1" applyBorder="1" applyAlignment="1">
      <alignment horizontal="right"/>
    </xf>
    <xf numFmtId="176" fontId="38" fillId="7" borderId="19" xfId="8" applyNumberFormat="1" applyFont="1" applyFill="1" applyBorder="1" applyAlignment="1">
      <alignment horizontal="right"/>
    </xf>
    <xf numFmtId="174" fontId="38" fillId="7" borderId="5" xfId="8" applyNumberFormat="1" applyFont="1" applyFill="1" applyBorder="1" applyAlignment="1">
      <alignment horizontal="right"/>
    </xf>
    <xf numFmtId="172" fontId="38" fillId="7" borderId="5" xfId="8" applyNumberFormat="1" applyFont="1" applyFill="1" applyBorder="1" applyAlignment="1">
      <alignment horizontal="right"/>
    </xf>
    <xf numFmtId="166" fontId="38" fillId="7" borderId="5" xfId="8" applyFont="1" applyFill="1" applyBorder="1" applyAlignment="1">
      <alignment horizontal="right"/>
    </xf>
    <xf numFmtId="166" fontId="38" fillId="7" borderId="9" xfId="8" applyFont="1" applyFill="1" applyBorder="1" applyAlignment="1">
      <alignment horizontal="right"/>
    </xf>
    <xf numFmtId="166" fontId="38" fillId="7" borderId="16" xfId="8" applyFont="1" applyFill="1" applyBorder="1" applyAlignment="1">
      <alignment horizontal="right"/>
    </xf>
    <xf numFmtId="166" fontId="38" fillId="7" borderId="10" xfId="8" applyFont="1" applyFill="1" applyBorder="1" applyAlignment="1">
      <alignment horizontal="right"/>
    </xf>
    <xf numFmtId="0" fontId="39" fillId="7" borderId="0" xfId="0" quotePrefix="1" applyFont="1" applyFill="1" applyBorder="1" applyAlignment="1">
      <alignment wrapText="1"/>
    </xf>
    <xf numFmtId="176" fontId="38" fillId="7" borderId="10" xfId="8" applyNumberFormat="1" applyFont="1" applyFill="1" applyBorder="1" applyAlignment="1">
      <alignment horizontal="right"/>
    </xf>
    <xf numFmtId="0" fontId="38" fillId="7" borderId="21" xfId="0" applyFont="1" applyFill="1" applyBorder="1" applyAlignment="1">
      <alignment wrapText="1"/>
    </xf>
    <xf numFmtId="176" fontId="38" fillId="7" borderId="20" xfId="8" applyNumberFormat="1" applyFont="1" applyFill="1" applyBorder="1" applyAlignment="1">
      <alignment horizontal="right"/>
    </xf>
    <xf numFmtId="176" fontId="38" fillId="7" borderId="12" xfId="8" applyNumberFormat="1" applyFont="1" applyFill="1" applyBorder="1" applyAlignment="1">
      <alignment horizontal="right"/>
    </xf>
    <xf numFmtId="166" fontId="38" fillId="8" borderId="5" xfId="8" applyFont="1" applyFill="1" applyBorder="1" applyAlignment="1">
      <alignment horizontal="center"/>
    </xf>
    <xf numFmtId="166" fontId="38" fillId="8" borderId="19" xfId="8" applyFont="1" applyFill="1" applyBorder="1" applyAlignment="1">
      <alignment horizontal="center"/>
    </xf>
    <xf numFmtId="166" fontId="38" fillId="8" borderId="2" xfId="8" applyFont="1" applyFill="1" applyBorder="1" applyAlignment="1">
      <alignment horizontal="center"/>
    </xf>
    <xf numFmtId="180" fontId="42" fillId="7" borderId="1" xfId="7" applyNumberFormat="1" applyFont="1" applyFill="1" applyBorder="1" applyAlignment="1">
      <alignment wrapText="1"/>
    </xf>
    <xf numFmtId="169" fontId="43" fillId="7" borderId="5" xfId="7" applyNumberFormat="1" applyFont="1" applyFill="1" applyBorder="1"/>
    <xf numFmtId="169" fontId="43" fillId="7" borderId="19" xfId="0" applyNumberFormat="1" applyFont="1" applyFill="1" applyBorder="1"/>
    <xf numFmtId="169" fontId="43" fillId="7" borderId="19" xfId="7" applyNumberFormat="1" applyFont="1" applyFill="1" applyBorder="1"/>
    <xf numFmtId="169" fontId="43" fillId="7" borderId="2" xfId="0" applyNumberFormat="1" applyFont="1" applyFill="1" applyBorder="1"/>
    <xf numFmtId="0" fontId="38" fillId="6" borderId="2" xfId="0" applyFont="1" applyFill="1" applyBorder="1" applyAlignment="1"/>
    <xf numFmtId="0" fontId="38" fillId="6" borderId="2" xfId="0" applyFont="1" applyFill="1" applyBorder="1" applyAlignment="1">
      <alignment horizontal="left"/>
    </xf>
    <xf numFmtId="44" fontId="38" fillId="6" borderId="1" xfId="8" applyNumberFormat="1" applyFont="1" applyFill="1" applyBorder="1" applyAlignment="1">
      <alignment horizontal="right"/>
    </xf>
    <xf numFmtId="184" fontId="38" fillId="6" borderId="1" xfId="8" applyNumberFormat="1" applyFont="1" applyFill="1" applyBorder="1" applyAlignment="1">
      <alignment horizontal="right"/>
    </xf>
    <xf numFmtId="166" fontId="38" fillId="6" borderId="1" xfId="8" applyFont="1" applyFill="1" applyBorder="1" applyAlignment="1">
      <alignment horizontal="right"/>
    </xf>
    <xf numFmtId="9" fontId="38" fillId="6" borderId="1" xfId="7" applyFont="1" applyFill="1" applyBorder="1" applyAlignment="1">
      <alignment horizontal="right"/>
    </xf>
    <xf numFmtId="176" fontId="38" fillId="6" borderId="20" xfId="8" applyNumberFormat="1" applyFont="1" applyFill="1" applyBorder="1" applyAlignment="1">
      <alignment horizontal="center"/>
    </xf>
    <xf numFmtId="174" fontId="38" fillId="6" borderId="5" xfId="8" applyNumberFormat="1" applyFont="1" applyFill="1" applyBorder="1" applyAlignment="1">
      <alignment horizontal="center"/>
    </xf>
    <xf numFmtId="181" fontId="38" fillId="6" borderId="19" xfId="8" applyNumberFormat="1" applyFont="1" applyFill="1" applyBorder="1" applyAlignment="1">
      <alignment horizontal="center"/>
    </xf>
    <xf numFmtId="172" fontId="38" fillId="6" borderId="19" xfId="8" applyNumberFormat="1" applyFont="1" applyFill="1" applyBorder="1" applyAlignment="1">
      <alignment horizontal="center"/>
    </xf>
    <xf numFmtId="166" fontId="38" fillId="6" borderId="21" xfId="8" applyNumberFormat="1" applyFont="1" applyFill="1" applyBorder="1" applyAlignment="1">
      <alignment horizontal="center"/>
    </xf>
    <xf numFmtId="166" fontId="38" fillId="6" borderId="0" xfId="8" applyNumberFormat="1" applyFont="1" applyFill="1" applyBorder="1" applyAlignment="1">
      <alignment horizontal="center"/>
    </xf>
    <xf numFmtId="166" fontId="38" fillId="6" borderId="20" xfId="8" applyNumberFormat="1" applyFont="1" applyFill="1" applyBorder="1" applyAlignment="1">
      <alignment horizontal="center"/>
    </xf>
    <xf numFmtId="174" fontId="38" fillId="6" borderId="19" xfId="8" applyNumberFormat="1" applyFont="1" applyFill="1" applyBorder="1" applyAlignment="1">
      <alignment horizontal="center"/>
    </xf>
    <xf numFmtId="176" fontId="38" fillId="6" borderId="12" xfId="8" applyNumberFormat="1" applyFont="1" applyFill="1" applyBorder="1" applyAlignment="1">
      <alignment horizontal="center"/>
    </xf>
    <xf numFmtId="174" fontId="38" fillId="6" borderId="2" xfId="8" applyNumberFormat="1" applyFont="1" applyFill="1" applyBorder="1" applyAlignment="1">
      <alignment horizontal="center"/>
    </xf>
    <xf numFmtId="181" fontId="38" fillId="6" borderId="2" xfId="8" applyNumberFormat="1" applyFont="1" applyFill="1" applyBorder="1" applyAlignment="1">
      <alignment horizontal="center"/>
    </xf>
    <xf numFmtId="172" fontId="38" fillId="6" borderId="2" xfId="8" applyNumberFormat="1" applyFont="1" applyFill="1" applyBorder="1" applyAlignment="1">
      <alignment horizontal="center"/>
    </xf>
    <xf numFmtId="166" fontId="38" fillId="6" borderId="11" xfId="8" applyNumberFormat="1" applyFont="1" applyFill="1" applyBorder="1" applyAlignment="1">
      <alignment horizontal="center"/>
    </xf>
    <xf numFmtId="166" fontId="38" fillId="6" borderId="18" xfId="8" applyNumberFormat="1" applyFont="1" applyFill="1" applyBorder="1" applyAlignment="1">
      <alignment horizontal="center"/>
    </xf>
    <xf numFmtId="169" fontId="43" fillId="6" borderId="5" xfId="7" applyNumberFormat="1" applyFont="1" applyFill="1" applyBorder="1" applyAlignment="1">
      <alignment horizontal="center"/>
    </xf>
    <xf numFmtId="169" fontId="38" fillId="6" borderId="19" xfId="7" applyNumberFormat="1" applyFont="1" applyFill="1" applyBorder="1" applyAlignment="1">
      <alignment horizontal="center"/>
    </xf>
    <xf numFmtId="169" fontId="38" fillId="6" borderId="2" xfId="7" applyNumberFormat="1" applyFont="1" applyFill="1" applyBorder="1" applyAlignment="1">
      <alignment horizontal="center"/>
    </xf>
    <xf numFmtId="170" fontId="38" fillId="6" borderId="9" xfId="8" applyNumberFormat="1" applyFont="1" applyFill="1" applyBorder="1" applyAlignment="1">
      <alignment horizontal="center"/>
    </xf>
    <xf numFmtId="5" fontId="38" fillId="6" borderId="16" xfId="8" applyNumberFormat="1" applyFont="1" applyFill="1" applyBorder="1" applyAlignment="1">
      <alignment horizontal="center"/>
    </xf>
    <xf numFmtId="181" fontId="38" fillId="6" borderId="9" xfId="8" applyNumberFormat="1" applyFont="1" applyFill="1" applyBorder="1" applyAlignment="1">
      <alignment horizontal="center"/>
    </xf>
    <xf numFmtId="172" fontId="38" fillId="6" borderId="9" xfId="8" applyNumberFormat="1" applyFont="1" applyFill="1" applyBorder="1" applyAlignment="1">
      <alignment horizontal="center"/>
    </xf>
    <xf numFmtId="166" fontId="38" fillId="6" borderId="9" xfId="8" applyNumberFormat="1" applyFont="1" applyFill="1" applyBorder="1" applyAlignment="1">
      <alignment horizontal="center"/>
    </xf>
    <xf numFmtId="166" fontId="38" fillId="6" borderId="16" xfId="8" applyNumberFormat="1" applyFont="1" applyFill="1" applyBorder="1" applyAlignment="1">
      <alignment horizontal="center"/>
    </xf>
    <xf numFmtId="170" fontId="38" fillId="6" borderId="21" xfId="8" applyNumberFormat="1" applyFont="1" applyFill="1" applyBorder="1" applyAlignment="1">
      <alignment horizontal="center"/>
    </xf>
    <xf numFmtId="5" fontId="38" fillId="6" borderId="0" xfId="8" applyNumberFormat="1" applyFont="1" applyFill="1" applyBorder="1" applyAlignment="1">
      <alignment horizontal="center"/>
    </xf>
    <xf numFmtId="181" fontId="38" fillId="6" borderId="21" xfId="8" applyNumberFormat="1" applyFont="1" applyFill="1" applyBorder="1" applyAlignment="1">
      <alignment horizontal="center"/>
    </xf>
    <xf numFmtId="172" fontId="38" fillId="6" borderId="21" xfId="8" applyNumberFormat="1" applyFont="1" applyFill="1" applyBorder="1" applyAlignment="1">
      <alignment horizontal="center"/>
    </xf>
    <xf numFmtId="170" fontId="38" fillId="6" borderId="11" xfId="8" applyNumberFormat="1" applyFont="1" applyFill="1" applyBorder="1" applyAlignment="1">
      <alignment horizontal="center"/>
    </xf>
    <xf numFmtId="5" fontId="38" fillId="6" borderId="18" xfId="8" applyNumberFormat="1" applyFont="1" applyFill="1" applyBorder="1" applyAlignment="1">
      <alignment horizontal="center"/>
    </xf>
    <xf numFmtId="181" fontId="38" fillId="6" borderId="11" xfId="8" applyNumberFormat="1" applyFont="1" applyFill="1" applyBorder="1" applyAlignment="1">
      <alignment horizontal="center"/>
    </xf>
    <xf numFmtId="172" fontId="38" fillId="6" borderId="11" xfId="8" applyNumberFormat="1" applyFont="1" applyFill="1" applyBorder="1" applyAlignment="1">
      <alignment horizontal="center"/>
    </xf>
    <xf numFmtId="169" fontId="38" fillId="6" borderId="10" xfId="7" applyNumberFormat="1" applyFont="1" applyFill="1" applyBorder="1" applyAlignment="1">
      <alignment horizontal="center"/>
    </xf>
    <xf numFmtId="169" fontId="38" fillId="6" borderId="20" xfId="7" applyNumberFormat="1" applyFont="1" applyFill="1" applyBorder="1" applyAlignment="1">
      <alignment horizontal="center"/>
    </xf>
    <xf numFmtId="169" fontId="38" fillId="6" borderId="12" xfId="7" applyNumberFormat="1" applyFont="1" applyFill="1" applyBorder="1" applyAlignment="1">
      <alignment horizontal="center"/>
    </xf>
    <xf numFmtId="9" fontId="38" fillId="13" borderId="5" xfId="0" applyNumberFormat="1" applyFont="1" applyFill="1" applyBorder="1"/>
    <xf numFmtId="9" fontId="38" fillId="13" borderId="20" xfId="0" applyNumberFormat="1" applyFont="1" applyFill="1" applyBorder="1"/>
    <xf numFmtId="167" fontId="43" fillId="13" borderId="12" xfId="0" applyNumberFormat="1" applyFont="1" applyFill="1" applyBorder="1"/>
    <xf numFmtId="0" fontId="38" fillId="13" borderId="18" xfId="0" applyFont="1" applyFill="1" applyBorder="1" applyAlignment="1">
      <alignment horizontal="justify"/>
    </xf>
    <xf numFmtId="168" fontId="38" fillId="13" borderId="18" xfId="0" applyNumberFormat="1" applyFont="1" applyFill="1" applyBorder="1" applyAlignment="1">
      <alignment horizontal="justify"/>
    </xf>
    <xf numFmtId="168" fontId="38" fillId="13" borderId="12" xfId="0" applyNumberFormat="1" applyFont="1" applyFill="1" applyBorder="1" applyAlignment="1">
      <alignment horizontal="justify"/>
    </xf>
    <xf numFmtId="0" fontId="0" fillId="13" borderId="0" xfId="0" applyFill="1"/>
    <xf numFmtId="0" fontId="14" fillId="0" borderId="0" xfId="2" applyFont="1" applyAlignment="1" applyProtection="1">
      <alignment horizontal="right"/>
    </xf>
    <xf numFmtId="0" fontId="14" fillId="0" borderId="1" xfId="3" applyFont="1" applyBorder="1" applyAlignment="1">
      <alignment horizontal="right"/>
    </xf>
    <xf numFmtId="0" fontId="31" fillId="9" borderId="0" xfId="0" applyFont="1" applyFill="1" applyProtection="1">
      <protection locked="0"/>
    </xf>
    <xf numFmtId="0" fontId="9" fillId="9" borderId="0" xfId="0" applyFont="1" applyFill="1" applyAlignment="1">
      <alignment horizontal="left" vertical="center"/>
    </xf>
    <xf numFmtId="0" fontId="9" fillId="9" borderId="0" xfId="0" applyFont="1" applyFill="1" applyAlignment="1">
      <alignment horizontal="left"/>
    </xf>
    <xf numFmtId="4" fontId="14" fillId="0" borderId="0" xfId="0" applyNumberFormat="1" applyFont="1" applyAlignment="1">
      <alignment horizontal="right"/>
    </xf>
    <xf numFmtId="0" fontId="0" fillId="14" borderId="0" xfId="0" applyFill="1"/>
    <xf numFmtId="171" fontId="14" fillId="6" borderId="32" xfId="0" applyNumberFormat="1" applyFont="1" applyFill="1" applyBorder="1" applyProtection="1">
      <protection locked="0"/>
    </xf>
    <xf numFmtId="168" fontId="14" fillId="15" borderId="2" xfId="0" applyNumberFormat="1" applyFont="1" applyFill="1" applyBorder="1" applyProtection="1">
      <protection locked="0"/>
    </xf>
    <xf numFmtId="168" fontId="14" fillId="15" borderId="1" xfId="0" applyNumberFormat="1" applyFont="1" applyFill="1" applyBorder="1" applyProtection="1">
      <protection locked="0"/>
    </xf>
    <xf numFmtId="171" fontId="14" fillId="15" borderId="32" xfId="0" applyNumberFormat="1" applyFont="1" applyFill="1" applyBorder="1" applyProtection="1">
      <protection locked="0"/>
    </xf>
    <xf numFmtId="171" fontId="14" fillId="15" borderId="30" xfId="0" applyNumberFormat="1" applyFont="1" applyFill="1" applyBorder="1" applyProtection="1">
      <protection locked="0"/>
    </xf>
    <xf numFmtId="0" fontId="31" fillId="9" borderId="0" xfId="0" applyFont="1" applyFill="1" applyAlignment="1">
      <alignment horizontal="right" vertical="center"/>
    </xf>
    <xf numFmtId="0" fontId="31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31" fillId="0" borderId="0" xfId="0" applyNumberFormat="1" applyFont="1" applyFill="1" applyBorder="1" applyProtection="1">
      <protection locked="0"/>
    </xf>
    <xf numFmtId="0" fontId="31" fillId="0" borderId="0" xfId="0" applyFont="1" applyFill="1" applyBorder="1" applyAlignment="1" applyProtection="1">
      <alignment horizontal="right" vertical="center"/>
    </xf>
    <xf numFmtId="0" fontId="0" fillId="0" borderId="0" xfId="0" applyFill="1" applyBorder="1"/>
    <xf numFmtId="0" fontId="15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right"/>
    </xf>
    <xf numFmtId="3" fontId="14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6" fillId="0" borderId="0" xfId="0" applyFont="1" applyFill="1" applyBorder="1"/>
    <xf numFmtId="0" fontId="9" fillId="9" borderId="0" xfId="0" applyNumberFormat="1" applyFont="1" applyFill="1" applyAlignment="1">
      <alignment horizontal="left"/>
    </xf>
    <xf numFmtId="171" fontId="14" fillId="6" borderId="30" xfId="0" applyNumberFormat="1" applyFont="1" applyFill="1" applyBorder="1" applyProtection="1"/>
    <xf numFmtId="10" fontId="14" fillId="0" borderId="1" xfId="0" applyNumberFormat="1" applyFont="1" applyFill="1" applyBorder="1" applyProtection="1">
      <protection locked="0"/>
    </xf>
    <xf numFmtId="169" fontId="14" fillId="0" borderId="1" xfId="0" applyNumberFormat="1" applyFont="1" applyFill="1" applyBorder="1" applyProtection="1"/>
    <xf numFmtId="2" fontId="14" fillId="0" borderId="1" xfId="0" applyNumberFormat="1" applyFont="1" applyFill="1" applyBorder="1" applyProtection="1"/>
    <xf numFmtId="168" fontId="14" fillId="0" borderId="1" xfId="0" applyNumberFormat="1" applyFont="1" applyBorder="1" applyProtection="1"/>
    <xf numFmtId="9" fontId="14" fillId="0" borderId="1" xfId="0" applyNumberFormat="1" applyFont="1" applyBorder="1" applyProtection="1"/>
    <xf numFmtId="10" fontId="14" fillId="0" borderId="1" xfId="0" applyNumberFormat="1" applyFont="1" applyBorder="1" applyProtection="1"/>
    <xf numFmtId="10" fontId="14" fillId="0" borderId="5" xfId="0" applyNumberFormat="1" applyFont="1" applyBorder="1" applyProtection="1"/>
    <xf numFmtId="10" fontId="14" fillId="0" borderId="2" xfId="0" applyNumberFormat="1" applyFont="1" applyBorder="1" applyProtection="1"/>
    <xf numFmtId="10" fontId="15" fillId="0" borderId="1" xfId="0" applyNumberFormat="1" applyFont="1" applyBorder="1" applyProtection="1"/>
    <xf numFmtId="167" fontId="8" fillId="6" borderId="21" xfId="0" applyNumberFormat="1" applyFont="1" applyFill="1" applyBorder="1" applyAlignment="1" applyProtection="1">
      <alignment horizontal="center"/>
    </xf>
    <xf numFmtId="167" fontId="8" fillId="6" borderId="0" xfId="0" applyNumberFormat="1" applyFont="1" applyFill="1" applyBorder="1" applyAlignment="1" applyProtection="1">
      <alignment horizontal="center"/>
    </xf>
    <xf numFmtId="167" fontId="8" fillId="6" borderId="20" xfId="0" applyNumberFormat="1" applyFont="1" applyFill="1" applyBorder="1" applyAlignment="1" applyProtection="1">
      <alignment horizontal="center"/>
    </xf>
    <xf numFmtId="167" fontId="8" fillId="6" borderId="11" xfId="0" applyNumberFormat="1" applyFont="1" applyFill="1" applyBorder="1" applyAlignment="1" applyProtection="1">
      <alignment horizontal="center"/>
    </xf>
    <xf numFmtId="167" fontId="8" fillId="6" borderId="18" xfId="0" applyNumberFormat="1" applyFont="1" applyFill="1" applyBorder="1" applyAlignment="1" applyProtection="1">
      <alignment horizontal="center"/>
    </xf>
    <xf numFmtId="167" fontId="8" fillId="6" borderId="12" xfId="0" applyNumberFormat="1" applyFont="1" applyFill="1" applyBorder="1" applyAlignment="1" applyProtection="1">
      <alignment horizontal="center"/>
    </xf>
    <xf numFmtId="10" fontId="14" fillId="0" borderId="5" xfId="0" applyNumberFormat="1" applyFont="1" applyFill="1" applyBorder="1" applyProtection="1"/>
    <xf numFmtId="9" fontId="14" fillId="0" borderId="1" xfId="0" applyNumberFormat="1" applyFont="1" applyFill="1" applyBorder="1" applyProtection="1"/>
    <xf numFmtId="168" fontId="14" fillId="0" borderId="1" xfId="0" applyNumberFormat="1" applyFont="1" applyFill="1" applyBorder="1" applyProtection="1"/>
    <xf numFmtId="10" fontId="14" fillId="0" borderId="2" xfId="0" applyNumberFormat="1" applyFont="1" applyFill="1" applyBorder="1" applyProtection="1"/>
    <xf numFmtId="10" fontId="15" fillId="0" borderId="1" xfId="0" applyNumberFormat="1" applyFont="1" applyFill="1" applyBorder="1" applyProtection="1"/>
    <xf numFmtId="0" fontId="15" fillId="0" borderId="7" xfId="0" applyFont="1" applyFill="1" applyBorder="1" applyProtection="1"/>
    <xf numFmtId="0" fontId="14" fillId="0" borderId="0" xfId="2" applyFont="1" applyBorder="1" applyAlignment="1" applyProtection="1">
      <alignment wrapText="1"/>
    </xf>
    <xf numFmtId="0" fontId="15" fillId="0" borderId="0" xfId="2" applyFont="1" applyBorder="1" applyAlignment="1" applyProtection="1">
      <alignment wrapText="1"/>
    </xf>
    <xf numFmtId="0" fontId="14" fillId="0" borderId="0" xfId="0" applyFont="1" applyFill="1" applyAlignment="1" applyProtection="1">
      <alignment wrapText="1"/>
    </xf>
    <xf numFmtId="10" fontId="7" fillId="0" borderId="0" xfId="0" applyNumberFormat="1" applyFont="1" applyProtection="1"/>
  </cellXfs>
  <cellStyles count="18">
    <cellStyle name="Erotin 2" xfId="1" xr:uid="{00000000-0005-0000-0000-000001000000}"/>
    <cellStyle name="Hyperlinkki" xfId="2" builtinId="8"/>
    <cellStyle name="Hyperlinkki 2" xfId="17" xr:uid="{2C96243A-CF85-421B-BAE5-500A4A46C3B2}"/>
    <cellStyle name="Normaali" xfId="0" builtinId="0"/>
    <cellStyle name="Normaali 2" xfId="3" xr:uid="{00000000-0005-0000-0000-000004000000}"/>
    <cellStyle name="Normaali 2 2" xfId="12" xr:uid="{C241215B-702F-4D38-881E-417672C28C4A}"/>
    <cellStyle name="Normaali 3" xfId="10" xr:uid="{00000000-0005-0000-0000-000005000000}"/>
    <cellStyle name="Normaali 3 2" xfId="13" xr:uid="{06CF920C-DBA0-4252-A1B8-D7B1A297C40D}"/>
    <cellStyle name="Normaali 4" xfId="11" xr:uid="{4E4FDD57-BA03-47C7-BE0C-558A4D306E55}"/>
    <cellStyle name="Normaali_LOMAKE1" xfId="4" xr:uid="{00000000-0005-0000-0000-000006000000}"/>
    <cellStyle name="Normaali_LOMAKE2" xfId="5" xr:uid="{00000000-0005-0000-0000-000007000000}"/>
    <cellStyle name="Normaali_LOMAKE3" xfId="6" xr:uid="{00000000-0005-0000-0000-000008000000}"/>
    <cellStyle name="Pilkku" xfId="8" builtinId="3"/>
    <cellStyle name="Pilkku 2" xfId="14" xr:uid="{E6A8B8EE-EE5F-4873-A2D6-0A8FE51775D5}"/>
    <cellStyle name="Prosenttia" xfId="7" builtinId="5"/>
    <cellStyle name="Prosenttia 2" xfId="16" xr:uid="{E3E8E5A4-C437-4C27-A914-FB791C1891B4}"/>
    <cellStyle name="Valuutta" xfId="9" builtinId="4"/>
    <cellStyle name="Valuutta 2" xfId="15" xr:uid="{6AE4D075-F8EF-470E-B20E-1ECD91F05011}"/>
  </cellStyles>
  <dxfs count="0"/>
  <tableStyles count="0" defaultTableStyle="TableStyleMedium9" defaultPivotStyle="PivotStyleLight16"/>
  <colors>
    <mruColors>
      <color rgb="FFCCFFCC"/>
      <color rgb="FFB0DEEE"/>
      <color rgb="FF0000CC"/>
      <color rgb="FF003399"/>
      <color rgb="FF0033CC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Hlaamanen\Local%20Settings\Temporary%20Internet%20Files\OLK60\Tplom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TULOSLASKELMA"/>
      <sheetName val="VASTAAVAA"/>
      <sheetName val="VASTATTAVAA"/>
      <sheetName val="LISÄTIEDOT-SÄHKÖ"/>
      <sheetName val="LISÄTIEDOT-MAAKAASU"/>
      <sheetName val="TARKISTUS"/>
      <sheetName val="FactSet Info"/>
    </sheetNames>
    <sheetDataSet>
      <sheetData sheetId="0">
        <row r="33">
          <cell r="B33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W106"/>
  <sheetViews>
    <sheetView showGridLines="0" tabSelected="1" zoomScaleNormal="100" workbookViewId="0">
      <pane ySplit="5" topLeftCell="A6" activePane="bottomLeft" state="frozen"/>
      <selection activeCell="J12" sqref="J12"/>
      <selection pane="bottomLeft"/>
    </sheetView>
  </sheetViews>
  <sheetFormatPr defaultColWidth="9.26953125" defaultRowHeight="15" customHeight="1" x14ac:dyDescent="0.25"/>
  <cols>
    <col min="1" max="1" width="5.7265625" style="174" customWidth="1"/>
    <col min="2" max="2" width="5.7265625" style="176" customWidth="1"/>
    <col min="3" max="3" width="4.7265625" style="176" customWidth="1"/>
    <col min="4" max="4" width="5.54296875" style="177" customWidth="1"/>
    <col min="5" max="5" width="78.26953125" style="177" customWidth="1"/>
    <col min="6" max="6" width="18.26953125" style="141" customWidth="1"/>
    <col min="7" max="9" width="18" style="141" customWidth="1"/>
    <col min="10" max="10" width="78.26953125" style="141" customWidth="1"/>
    <col min="11" max="20" width="9.26953125" style="141"/>
    <col min="21" max="16384" width="9.26953125" style="143"/>
  </cols>
  <sheetData>
    <row r="1" spans="1:257" s="248" customFormat="1" ht="15" customHeight="1" x14ac:dyDescent="0.35">
      <c r="A1" s="245" t="s">
        <v>200</v>
      </c>
      <c r="B1" s="246"/>
      <c r="C1" s="246"/>
      <c r="D1" s="244"/>
      <c r="E1" s="244"/>
      <c r="F1" s="247" t="s">
        <v>197</v>
      </c>
    </row>
    <row r="2" spans="1:257" s="251" customFormat="1" ht="15" customHeight="1" x14ac:dyDescent="0.3">
      <c r="A2" s="264" t="s">
        <v>201</v>
      </c>
      <c r="B2" s="249"/>
      <c r="C2" s="250"/>
      <c r="D2" s="250"/>
      <c r="E2" s="250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48"/>
      <c r="CK2" s="248"/>
      <c r="CL2" s="248"/>
      <c r="CM2" s="248"/>
      <c r="CN2" s="248"/>
      <c r="CO2" s="248"/>
      <c r="CP2" s="248"/>
      <c r="CQ2" s="248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  <c r="EB2" s="248"/>
      <c r="EC2" s="248"/>
      <c r="ED2" s="248"/>
      <c r="EE2" s="248"/>
      <c r="EF2" s="248"/>
      <c r="EG2" s="248"/>
      <c r="EH2" s="248"/>
      <c r="EI2" s="248"/>
      <c r="EJ2" s="248"/>
      <c r="EK2" s="248"/>
      <c r="EL2" s="248"/>
      <c r="EM2" s="248"/>
      <c r="EN2" s="248"/>
      <c r="EO2" s="248"/>
      <c r="EP2" s="248"/>
      <c r="EQ2" s="248"/>
      <c r="ER2" s="248"/>
      <c r="ES2" s="248"/>
      <c r="ET2" s="248"/>
      <c r="EU2" s="248"/>
      <c r="EV2" s="248"/>
      <c r="EW2" s="248"/>
      <c r="EX2" s="248"/>
      <c r="EY2" s="248"/>
      <c r="EZ2" s="248"/>
      <c r="FA2" s="248"/>
      <c r="FB2" s="248"/>
      <c r="FC2" s="248"/>
      <c r="FD2" s="248"/>
      <c r="FE2" s="248"/>
      <c r="FF2" s="248"/>
      <c r="FG2" s="248"/>
      <c r="FH2" s="248"/>
      <c r="FI2" s="248"/>
      <c r="FJ2" s="248"/>
      <c r="FK2" s="248"/>
      <c r="FL2" s="248"/>
      <c r="FM2" s="248"/>
      <c r="FN2" s="248"/>
      <c r="FO2" s="248"/>
      <c r="FP2" s="248"/>
      <c r="FQ2" s="248"/>
      <c r="FR2" s="248"/>
      <c r="FS2" s="248"/>
      <c r="FT2" s="248"/>
      <c r="FU2" s="248"/>
      <c r="FV2" s="248"/>
      <c r="FW2" s="248"/>
      <c r="FX2" s="248"/>
      <c r="FY2" s="248"/>
      <c r="FZ2" s="248"/>
      <c r="GA2" s="248"/>
      <c r="GB2" s="248"/>
      <c r="GC2" s="248"/>
      <c r="GD2" s="248"/>
      <c r="GE2" s="248"/>
      <c r="GF2" s="248"/>
      <c r="GG2" s="248"/>
      <c r="GH2" s="248"/>
      <c r="GI2" s="248"/>
      <c r="GJ2" s="248"/>
      <c r="GK2" s="248"/>
      <c r="GL2" s="248"/>
      <c r="GM2" s="248"/>
      <c r="GN2" s="248"/>
      <c r="GO2" s="248"/>
      <c r="GP2" s="248"/>
      <c r="GQ2" s="248"/>
      <c r="GR2" s="248"/>
      <c r="GS2" s="248"/>
      <c r="GT2" s="248"/>
      <c r="GU2" s="248"/>
      <c r="GV2" s="248"/>
      <c r="GW2" s="248"/>
      <c r="GX2" s="248"/>
      <c r="GY2" s="248"/>
      <c r="GZ2" s="248"/>
      <c r="HA2" s="248"/>
      <c r="HB2" s="248"/>
      <c r="HC2" s="248"/>
      <c r="HD2" s="248"/>
      <c r="HE2" s="248"/>
      <c r="HF2" s="248"/>
      <c r="HG2" s="248"/>
      <c r="HH2" s="248"/>
      <c r="HI2" s="248"/>
      <c r="HJ2" s="248"/>
      <c r="HK2" s="248"/>
      <c r="HL2" s="248"/>
      <c r="HM2" s="248"/>
      <c r="HN2" s="248"/>
      <c r="HO2" s="248"/>
      <c r="HP2" s="248"/>
      <c r="HQ2" s="248"/>
      <c r="HR2" s="248"/>
      <c r="HS2" s="248"/>
      <c r="HT2" s="248"/>
      <c r="HU2" s="248"/>
      <c r="HV2" s="248"/>
      <c r="HW2" s="248"/>
      <c r="HX2" s="248"/>
      <c r="HY2" s="248"/>
      <c r="HZ2" s="248"/>
      <c r="IA2" s="248"/>
      <c r="IB2" s="248"/>
      <c r="IC2" s="248"/>
      <c r="ID2" s="248"/>
      <c r="IE2" s="248"/>
      <c r="IF2" s="248"/>
      <c r="IG2" s="248"/>
      <c r="IH2" s="248"/>
      <c r="II2" s="248"/>
      <c r="IJ2" s="248"/>
      <c r="IK2" s="248"/>
      <c r="IL2" s="248"/>
      <c r="IM2" s="248"/>
      <c r="IN2" s="248"/>
      <c r="IO2" s="248"/>
      <c r="IP2" s="248"/>
      <c r="IQ2" s="248"/>
      <c r="IR2" s="248"/>
      <c r="IS2" s="248"/>
      <c r="IT2" s="248"/>
      <c r="IU2" s="248"/>
      <c r="IV2" s="248"/>
      <c r="IW2" s="248"/>
    </row>
    <row r="3" spans="1:257" s="248" customFormat="1" ht="15" customHeight="1" x14ac:dyDescent="0.3">
      <c r="A3" s="252"/>
      <c r="B3" s="253"/>
      <c r="C3" s="254"/>
      <c r="D3" s="244"/>
      <c r="E3" s="244"/>
    </row>
    <row r="4" spans="1:257" s="248" customFormat="1" ht="15" customHeight="1" x14ac:dyDescent="0.3">
      <c r="A4" s="255"/>
      <c r="B4" s="256"/>
      <c r="D4" s="244"/>
      <c r="E4" s="244"/>
      <c r="F4" s="257"/>
    </row>
    <row r="5" spans="1:257" s="262" customFormat="1" ht="15" customHeight="1" x14ac:dyDescent="0.3">
      <c r="A5" s="245" t="s">
        <v>41</v>
      </c>
      <c r="B5" s="258"/>
      <c r="C5" s="258"/>
      <c r="D5" s="259"/>
      <c r="E5" s="259"/>
      <c r="F5" s="260">
        <v>2024</v>
      </c>
      <c r="G5" s="261">
        <v>2025</v>
      </c>
      <c r="H5" s="261">
        <v>2026</v>
      </c>
      <c r="I5" s="261">
        <v>2027</v>
      </c>
      <c r="J5" s="261" t="s">
        <v>145</v>
      </c>
    </row>
    <row r="6" spans="1:257" s="141" customFormat="1" ht="15" customHeight="1" x14ac:dyDescent="0.35">
      <c r="A6" s="147"/>
      <c r="B6" s="34"/>
      <c r="C6" s="108"/>
      <c r="D6" s="97"/>
      <c r="E6" s="97"/>
      <c r="F6" s="82"/>
      <c r="G6" s="81"/>
      <c r="H6" s="81"/>
      <c r="I6" s="81"/>
      <c r="J6" s="81"/>
      <c r="K6" s="81"/>
    </row>
    <row r="7" spans="1:257" s="146" customFormat="1" ht="15" customHeight="1" x14ac:dyDescent="0.35">
      <c r="A7" s="147"/>
      <c r="B7" s="34"/>
      <c r="C7" s="108"/>
      <c r="D7" s="97"/>
      <c r="E7" s="97"/>
      <c r="F7" s="82"/>
      <c r="G7" s="81"/>
      <c r="H7" s="81"/>
      <c r="I7" s="81"/>
      <c r="J7" s="81"/>
      <c r="K7" s="8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  <c r="IU7" s="141"/>
      <c r="IV7" s="141"/>
      <c r="IW7" s="141"/>
    </row>
    <row r="8" spans="1:257" s="146" customFormat="1" ht="15" customHeight="1" x14ac:dyDescent="0.35">
      <c r="A8" s="148" t="s">
        <v>46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6"/>
      <c r="M8" s="149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  <c r="IU8" s="141"/>
      <c r="IV8" s="141"/>
      <c r="IW8" s="141"/>
    </row>
    <row r="9" spans="1:257" s="146" customFormat="1" ht="15" customHeight="1" x14ac:dyDescent="0.35">
      <c r="A9" s="148"/>
      <c r="B9" s="51"/>
      <c r="C9" s="51"/>
      <c r="D9" s="51"/>
      <c r="E9" s="51"/>
      <c r="F9" s="51"/>
      <c r="G9" s="51"/>
      <c r="H9" s="51"/>
      <c r="I9" s="51"/>
      <c r="J9" s="51"/>
      <c r="K9" s="51"/>
      <c r="L9" s="6"/>
      <c r="M9" s="149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</row>
    <row r="10" spans="1:257" s="146" customFormat="1" ht="15" customHeight="1" x14ac:dyDescent="0.45">
      <c r="A10" s="141"/>
      <c r="B10" s="141"/>
      <c r="C10" s="51"/>
      <c r="D10" s="109"/>
      <c r="E10" s="401"/>
      <c r="F10" s="98"/>
      <c r="G10" s="98"/>
      <c r="H10" s="98"/>
      <c r="I10" s="98"/>
      <c r="J10" s="51"/>
      <c r="K10" s="51"/>
      <c r="L10" s="6"/>
      <c r="M10" s="149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  <c r="IW10" s="141"/>
    </row>
    <row r="11" spans="1:257" s="146" customFormat="1" ht="15" customHeight="1" x14ac:dyDescent="0.35">
      <c r="A11" s="148"/>
      <c r="B11" s="51"/>
      <c r="C11" s="51"/>
      <c r="D11" s="51"/>
      <c r="E11" s="51"/>
      <c r="F11" s="60"/>
      <c r="G11" s="60"/>
      <c r="H11" s="60"/>
      <c r="I11" s="60"/>
      <c r="J11" s="51"/>
      <c r="K11" s="51"/>
      <c r="L11" s="6"/>
      <c r="M11" s="149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  <c r="IW11" s="141"/>
    </row>
    <row r="12" spans="1:257" s="146" customFormat="1" ht="15" customHeight="1" x14ac:dyDescent="0.35">
      <c r="A12" s="150"/>
      <c r="B12" s="51"/>
      <c r="C12" s="51"/>
      <c r="D12" s="51"/>
      <c r="E12" s="51"/>
      <c r="F12" s="83" t="s">
        <v>127</v>
      </c>
      <c r="G12" s="83" t="s">
        <v>127</v>
      </c>
      <c r="H12" s="83" t="s">
        <v>127</v>
      </c>
      <c r="I12" s="83" t="s">
        <v>127</v>
      </c>
      <c r="J12" s="51"/>
      <c r="K12" s="51"/>
      <c r="L12" s="6"/>
      <c r="M12" s="149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  <c r="IW12" s="141"/>
    </row>
    <row r="13" spans="1:257" ht="15" customHeight="1" x14ac:dyDescent="0.35">
      <c r="A13" s="147" t="s">
        <v>15</v>
      </c>
      <c r="B13" s="34" t="s">
        <v>0</v>
      </c>
      <c r="C13" s="70"/>
      <c r="D13" s="52"/>
      <c r="E13" s="52"/>
      <c r="F13" s="110"/>
      <c r="G13" s="110"/>
      <c r="H13" s="110"/>
      <c r="I13" s="110"/>
      <c r="J13" s="151"/>
      <c r="K13" s="81"/>
    </row>
    <row r="14" spans="1:257" ht="15" customHeight="1" x14ac:dyDescent="0.35">
      <c r="A14" s="152" t="s">
        <v>146</v>
      </c>
      <c r="B14" s="115" t="s">
        <v>147</v>
      </c>
      <c r="C14" s="70"/>
      <c r="D14" s="52"/>
      <c r="E14" s="52"/>
      <c r="F14" s="112"/>
      <c r="G14" s="112"/>
      <c r="H14" s="112"/>
      <c r="I14" s="112"/>
      <c r="J14" s="151"/>
      <c r="K14" s="81"/>
    </row>
    <row r="15" spans="1:257" ht="15" customHeight="1" x14ac:dyDescent="0.35">
      <c r="A15" s="147" t="s">
        <v>15</v>
      </c>
      <c r="B15" s="115" t="s">
        <v>148</v>
      </c>
      <c r="C15" s="70"/>
      <c r="D15" s="52"/>
      <c r="E15" s="52"/>
      <c r="F15" s="112"/>
      <c r="G15" s="112"/>
      <c r="H15" s="112"/>
      <c r="I15" s="112"/>
      <c r="J15" s="151"/>
      <c r="K15" s="81"/>
    </row>
    <row r="16" spans="1:257" ht="15" customHeight="1" x14ac:dyDescent="0.35">
      <c r="A16" s="153" t="s">
        <v>129</v>
      </c>
      <c r="B16" s="111" t="s">
        <v>149</v>
      </c>
      <c r="C16" s="70"/>
      <c r="D16" s="52"/>
      <c r="E16" s="52"/>
      <c r="F16" s="154">
        <f>SUM(F17)</f>
        <v>0</v>
      </c>
      <c r="G16" s="154">
        <f>SUM(G17)</f>
        <v>0</v>
      </c>
      <c r="H16" s="154">
        <f>SUM(H17)</f>
        <v>0</v>
      </c>
      <c r="I16" s="154">
        <f>SUM(I17)</f>
        <v>0</v>
      </c>
      <c r="J16" s="151"/>
      <c r="K16" s="81"/>
    </row>
    <row r="17" spans="1:20" ht="15" customHeight="1" x14ac:dyDescent="0.35">
      <c r="A17" s="155"/>
      <c r="B17" s="156" t="s">
        <v>150</v>
      </c>
      <c r="C17" s="70" t="s">
        <v>151</v>
      </c>
      <c r="D17" s="52"/>
      <c r="E17" s="52"/>
      <c r="F17" s="112"/>
      <c r="G17" s="112"/>
      <c r="H17" s="112"/>
      <c r="I17" s="112"/>
      <c r="J17" s="151"/>
      <c r="K17" s="81"/>
    </row>
    <row r="18" spans="1:20" s="141" customFormat="1" ht="15" customHeight="1" x14ac:dyDescent="0.35">
      <c r="A18" s="147"/>
      <c r="B18" s="157"/>
      <c r="D18" s="56" t="s">
        <v>152</v>
      </c>
      <c r="E18" s="52"/>
      <c r="F18" s="113"/>
      <c r="G18" s="113"/>
      <c r="H18" s="113"/>
      <c r="I18" s="113"/>
      <c r="J18" s="151"/>
      <c r="K18" s="81"/>
    </row>
    <row r="19" spans="1:20" s="141" customFormat="1" ht="15" customHeight="1" x14ac:dyDescent="0.35">
      <c r="A19" s="147"/>
      <c r="B19" s="157"/>
      <c r="D19" s="56" t="s">
        <v>153</v>
      </c>
      <c r="E19" s="52"/>
      <c r="F19" s="113"/>
      <c r="G19" s="113"/>
      <c r="H19" s="113"/>
      <c r="I19" s="113"/>
      <c r="J19" s="151"/>
      <c r="K19" s="81"/>
    </row>
    <row r="20" spans="1:20" s="141" customFormat="1" ht="15" customHeight="1" x14ac:dyDescent="0.35">
      <c r="A20" s="147"/>
      <c r="B20" s="157"/>
      <c r="D20" s="56" t="s">
        <v>240</v>
      </c>
      <c r="E20" s="52"/>
      <c r="F20" s="113"/>
      <c r="G20" s="113"/>
      <c r="H20" s="113"/>
      <c r="I20" s="113"/>
      <c r="J20" s="151"/>
      <c r="K20" s="81"/>
    </row>
    <row r="21" spans="1:20" s="141" customFormat="1" ht="15" customHeight="1" x14ac:dyDescent="0.35">
      <c r="A21" s="158" t="s">
        <v>129</v>
      </c>
      <c r="B21" s="159" t="s">
        <v>154</v>
      </c>
      <c r="C21" s="56"/>
      <c r="D21" s="52"/>
      <c r="E21" s="52"/>
      <c r="F21" s="154">
        <f>F22+F27</f>
        <v>0</v>
      </c>
      <c r="G21" s="154">
        <f>G22+G27</f>
        <v>0</v>
      </c>
      <c r="H21" s="154">
        <f>H22+H27</f>
        <v>0</v>
      </c>
      <c r="I21" s="154">
        <f>I22+I27</f>
        <v>0</v>
      </c>
      <c r="J21" s="151"/>
      <c r="K21" s="81"/>
    </row>
    <row r="22" spans="1:20" ht="15" customHeight="1" x14ac:dyDescent="0.35">
      <c r="A22" s="155"/>
      <c r="B22" s="158" t="s">
        <v>129</v>
      </c>
      <c r="C22" s="111" t="s">
        <v>155</v>
      </c>
      <c r="D22" s="52"/>
      <c r="E22" s="52"/>
      <c r="F22" s="114">
        <f>SUM(F23+F26)</f>
        <v>0</v>
      </c>
      <c r="G22" s="114">
        <f>SUM(G23+G26)</f>
        <v>0</v>
      </c>
      <c r="H22" s="114">
        <f>SUM(H23+H26)</f>
        <v>0</v>
      </c>
      <c r="I22" s="114">
        <f>SUM(I23+I26)</f>
        <v>0</v>
      </c>
      <c r="J22" s="151"/>
      <c r="K22" s="81"/>
      <c r="L22" s="143"/>
      <c r="M22" s="143"/>
      <c r="N22" s="143"/>
      <c r="O22" s="143"/>
      <c r="P22" s="143"/>
      <c r="Q22" s="143"/>
      <c r="R22" s="143"/>
      <c r="S22" s="143"/>
      <c r="T22" s="143"/>
    </row>
    <row r="23" spans="1:20" ht="15" customHeight="1" x14ac:dyDescent="0.35">
      <c r="A23" s="155"/>
      <c r="B23" s="80"/>
      <c r="C23" s="158" t="s">
        <v>129</v>
      </c>
      <c r="D23" s="111" t="s">
        <v>156</v>
      </c>
      <c r="E23" s="52"/>
      <c r="F23" s="114">
        <f>F24+F25</f>
        <v>0</v>
      </c>
      <c r="G23" s="114">
        <f>G24+G25</f>
        <v>0</v>
      </c>
      <c r="H23" s="114">
        <f>H24+H25</f>
        <v>0</v>
      </c>
      <c r="I23" s="114">
        <f>I24+I25</f>
        <v>0</v>
      </c>
      <c r="J23" s="151"/>
      <c r="K23" s="81"/>
      <c r="L23" s="143"/>
      <c r="M23" s="143"/>
      <c r="N23" s="143"/>
      <c r="O23" s="143"/>
      <c r="P23" s="143"/>
      <c r="Q23" s="143"/>
      <c r="R23" s="143"/>
      <c r="S23" s="143"/>
      <c r="T23" s="143"/>
    </row>
    <row r="24" spans="1:20" ht="15" customHeight="1" x14ac:dyDescent="0.35">
      <c r="A24" s="158"/>
      <c r="B24" s="70"/>
      <c r="C24" s="70"/>
      <c r="D24" s="58" t="s">
        <v>20</v>
      </c>
      <c r="E24" s="56" t="s">
        <v>19</v>
      </c>
      <c r="F24" s="119"/>
      <c r="G24" s="85"/>
      <c r="H24" s="85"/>
      <c r="I24" s="85"/>
      <c r="J24" s="151"/>
      <c r="K24" s="81"/>
      <c r="L24" s="143"/>
      <c r="M24" s="143"/>
      <c r="N24" s="143"/>
      <c r="O24" s="143"/>
      <c r="P24" s="143"/>
      <c r="Q24" s="143"/>
      <c r="R24" s="143"/>
      <c r="S24" s="143"/>
      <c r="T24" s="143"/>
    </row>
    <row r="25" spans="1:20" ht="15" customHeight="1" x14ac:dyDescent="0.35">
      <c r="A25" s="158"/>
      <c r="B25" s="80"/>
      <c r="C25" s="80"/>
      <c r="D25" s="58" t="s">
        <v>20</v>
      </c>
      <c r="E25" s="115" t="s">
        <v>157</v>
      </c>
      <c r="F25" s="119"/>
      <c r="G25" s="85"/>
      <c r="H25" s="85"/>
      <c r="I25" s="85"/>
      <c r="J25" s="151"/>
      <c r="K25" s="81"/>
      <c r="L25" s="143"/>
      <c r="M25" s="143"/>
      <c r="N25" s="143"/>
      <c r="O25" s="143"/>
      <c r="P25" s="143"/>
      <c r="Q25" s="143"/>
      <c r="R25" s="143"/>
      <c r="S25" s="143"/>
      <c r="T25" s="143"/>
    </row>
    <row r="26" spans="1:20" ht="15" customHeight="1" x14ac:dyDescent="0.35">
      <c r="A26" s="160"/>
      <c r="B26" s="70"/>
      <c r="C26" s="156" t="s">
        <v>158</v>
      </c>
      <c r="D26" s="70" t="s">
        <v>159</v>
      </c>
      <c r="E26" s="52"/>
      <c r="F26" s="112"/>
      <c r="G26" s="85"/>
      <c r="H26" s="85"/>
      <c r="I26" s="85"/>
      <c r="J26" s="151"/>
      <c r="K26" s="81"/>
      <c r="L26" s="143"/>
      <c r="M26" s="143"/>
      <c r="N26" s="143"/>
      <c r="O26" s="143"/>
      <c r="P26" s="143"/>
      <c r="Q26" s="143"/>
      <c r="R26" s="143"/>
      <c r="S26" s="143"/>
      <c r="T26" s="143"/>
    </row>
    <row r="27" spans="1:20" ht="15" customHeight="1" x14ac:dyDescent="0.35">
      <c r="A27" s="161"/>
      <c r="B27" s="158" t="s">
        <v>129</v>
      </c>
      <c r="C27" s="111" t="s">
        <v>52</v>
      </c>
      <c r="D27" s="52"/>
      <c r="E27" s="52"/>
      <c r="F27" s="114">
        <f>F28+F30</f>
        <v>0</v>
      </c>
      <c r="G27" s="114">
        <f t="shared" ref="G27:I27" si="0">G28+G30</f>
        <v>0</v>
      </c>
      <c r="H27" s="114">
        <f t="shared" si="0"/>
        <v>0</v>
      </c>
      <c r="I27" s="114">
        <f t="shared" si="0"/>
        <v>0</v>
      </c>
      <c r="J27" s="151"/>
      <c r="K27" s="81"/>
      <c r="L27" s="143"/>
      <c r="M27" s="143"/>
      <c r="N27" s="143"/>
      <c r="O27" s="143"/>
      <c r="P27" s="143"/>
      <c r="Q27" s="143"/>
      <c r="R27" s="143"/>
      <c r="S27" s="143"/>
      <c r="T27" s="143"/>
    </row>
    <row r="28" spans="1:20" ht="15" customHeight="1" x14ac:dyDescent="0.35">
      <c r="A28" s="158"/>
      <c r="B28" s="70"/>
      <c r="C28" s="58" t="s">
        <v>20</v>
      </c>
      <c r="D28" s="56" t="s">
        <v>196</v>
      </c>
      <c r="E28" s="59"/>
      <c r="F28" s="112"/>
      <c r="G28" s="112"/>
      <c r="H28" s="112"/>
      <c r="I28" s="112"/>
      <c r="J28" s="151"/>
      <c r="K28" s="81"/>
      <c r="L28" s="143"/>
      <c r="M28" s="143"/>
      <c r="N28" s="143"/>
      <c r="O28" s="143"/>
      <c r="P28" s="143"/>
      <c r="Q28" s="143"/>
      <c r="R28" s="143"/>
      <c r="S28" s="143"/>
      <c r="T28" s="143"/>
    </row>
    <row r="29" spans="1:20" ht="15" customHeight="1" x14ac:dyDescent="0.35">
      <c r="A29" s="158"/>
      <c r="B29" s="70"/>
      <c r="C29" s="58"/>
      <c r="D29" s="162"/>
      <c r="E29" s="59" t="s">
        <v>160</v>
      </c>
      <c r="F29" s="112"/>
      <c r="G29" s="112"/>
      <c r="H29" s="112"/>
      <c r="I29" s="112"/>
      <c r="J29" s="151"/>
      <c r="K29" s="81"/>
      <c r="L29" s="143"/>
      <c r="M29" s="143"/>
      <c r="N29" s="143"/>
      <c r="O29" s="143"/>
      <c r="P29" s="143"/>
      <c r="Q29" s="143"/>
      <c r="R29" s="143"/>
      <c r="S29" s="143"/>
      <c r="T29" s="143"/>
    </row>
    <row r="30" spans="1:20" ht="15" customHeight="1" x14ac:dyDescent="0.35">
      <c r="A30" s="158"/>
      <c r="B30" s="70"/>
      <c r="C30" s="58" t="s">
        <v>20</v>
      </c>
      <c r="D30" s="115" t="s">
        <v>161</v>
      </c>
      <c r="E30" s="52"/>
      <c r="F30" s="112"/>
      <c r="G30" s="112"/>
      <c r="H30" s="112"/>
      <c r="I30" s="112"/>
      <c r="J30" s="151"/>
      <c r="K30" s="81"/>
      <c r="L30" s="143"/>
      <c r="M30" s="143"/>
      <c r="N30" s="143"/>
      <c r="O30" s="143"/>
      <c r="P30" s="143"/>
      <c r="Q30" s="143"/>
      <c r="R30" s="143"/>
      <c r="S30" s="143"/>
      <c r="T30" s="143"/>
    </row>
    <row r="31" spans="1:20" ht="15" customHeight="1" x14ac:dyDescent="0.35">
      <c r="A31" s="158" t="s">
        <v>129</v>
      </c>
      <c r="B31" s="111" t="s">
        <v>162</v>
      </c>
      <c r="C31" s="70"/>
      <c r="D31" s="52"/>
      <c r="E31" s="52"/>
      <c r="F31" s="154">
        <f>F32+F33</f>
        <v>0</v>
      </c>
      <c r="G31" s="154">
        <f t="shared" ref="G31:I31" si="1">G32+G33</f>
        <v>0</v>
      </c>
      <c r="H31" s="154">
        <f t="shared" si="1"/>
        <v>0</v>
      </c>
      <c r="I31" s="154">
        <f t="shared" si="1"/>
        <v>0</v>
      </c>
      <c r="J31" s="151"/>
      <c r="K31" s="81"/>
      <c r="L31" s="143"/>
      <c r="M31" s="143"/>
      <c r="N31" s="143"/>
      <c r="O31" s="143"/>
      <c r="P31" s="143"/>
      <c r="Q31" s="143"/>
      <c r="R31" s="143"/>
      <c r="S31" s="143"/>
      <c r="T31" s="143"/>
    </row>
    <row r="32" spans="1:20" ht="15" customHeight="1" x14ac:dyDescent="0.35">
      <c r="A32" s="158"/>
      <c r="B32" s="58" t="s">
        <v>20</v>
      </c>
      <c r="C32" s="70" t="s">
        <v>163</v>
      </c>
      <c r="D32" s="52"/>
      <c r="E32" s="52"/>
      <c r="F32" s="112"/>
      <c r="G32" s="112"/>
      <c r="H32" s="112"/>
      <c r="I32" s="112"/>
      <c r="J32" s="151"/>
      <c r="K32" s="81"/>
      <c r="L32" s="143"/>
      <c r="M32" s="143"/>
      <c r="N32" s="143"/>
      <c r="O32" s="143"/>
      <c r="P32" s="143"/>
      <c r="Q32" s="143"/>
      <c r="R32" s="143"/>
      <c r="S32" s="143"/>
      <c r="T32" s="143"/>
    </row>
    <row r="33" spans="1:20" ht="15" customHeight="1" x14ac:dyDescent="0.35">
      <c r="A33" s="161"/>
      <c r="B33" s="158" t="s">
        <v>129</v>
      </c>
      <c r="C33" s="34" t="s">
        <v>164</v>
      </c>
      <c r="D33" s="52"/>
      <c r="E33" s="52"/>
      <c r="F33" s="154">
        <f>F34+F35</f>
        <v>0</v>
      </c>
      <c r="G33" s="154">
        <f t="shared" ref="G33:I33" si="2">G34+G35</f>
        <v>0</v>
      </c>
      <c r="H33" s="154">
        <f t="shared" si="2"/>
        <v>0</v>
      </c>
      <c r="I33" s="154">
        <f t="shared" si="2"/>
        <v>0</v>
      </c>
      <c r="J33" s="151"/>
      <c r="K33" s="81"/>
      <c r="L33" s="143"/>
      <c r="M33" s="143"/>
      <c r="N33" s="143"/>
      <c r="O33" s="143"/>
      <c r="P33" s="143"/>
      <c r="Q33" s="143"/>
      <c r="R33" s="143"/>
      <c r="S33" s="143"/>
      <c r="T33" s="143"/>
    </row>
    <row r="34" spans="1:20" ht="15" customHeight="1" x14ac:dyDescent="0.35">
      <c r="A34" s="147"/>
      <c r="B34" s="70"/>
      <c r="C34" s="58" t="s">
        <v>20</v>
      </c>
      <c r="D34" s="70" t="s">
        <v>165</v>
      </c>
      <c r="E34" s="52"/>
      <c r="F34" s="112"/>
      <c r="G34" s="112"/>
      <c r="H34" s="112"/>
      <c r="I34" s="112"/>
      <c r="J34" s="151"/>
      <c r="K34" s="81"/>
      <c r="L34" s="143"/>
      <c r="M34" s="143"/>
      <c r="N34" s="143"/>
      <c r="O34" s="143"/>
      <c r="P34" s="143"/>
      <c r="Q34" s="143"/>
      <c r="R34" s="143"/>
      <c r="S34" s="143"/>
      <c r="T34" s="143"/>
    </row>
    <row r="35" spans="1:20" ht="15" customHeight="1" x14ac:dyDescent="0.35">
      <c r="A35" s="147"/>
      <c r="B35" s="70"/>
      <c r="C35" s="58" t="s">
        <v>20</v>
      </c>
      <c r="D35" s="70" t="s">
        <v>166</v>
      </c>
      <c r="E35" s="52"/>
      <c r="F35" s="112"/>
      <c r="G35" s="112"/>
      <c r="H35" s="112"/>
      <c r="I35" s="112"/>
      <c r="J35" s="151"/>
      <c r="K35" s="81"/>
      <c r="L35" s="143"/>
      <c r="M35" s="143"/>
      <c r="N35" s="143"/>
      <c r="O35" s="143"/>
      <c r="P35" s="143"/>
      <c r="Q35" s="143"/>
      <c r="R35" s="143"/>
      <c r="S35" s="143"/>
      <c r="T35" s="143"/>
    </row>
    <row r="36" spans="1:20" ht="15" customHeight="1" x14ac:dyDescent="0.35">
      <c r="A36" s="161" t="s">
        <v>129</v>
      </c>
      <c r="B36" s="163" t="s">
        <v>167</v>
      </c>
      <c r="C36" s="70"/>
      <c r="D36" s="52"/>
      <c r="E36" s="52"/>
      <c r="F36" s="154">
        <f>F37+F43+F44+F42</f>
        <v>0</v>
      </c>
      <c r="G36" s="154">
        <f t="shared" ref="G36:I36" si="3">G37+G43+G44+G42</f>
        <v>0</v>
      </c>
      <c r="H36" s="154">
        <f t="shared" si="3"/>
        <v>0</v>
      </c>
      <c r="I36" s="154">
        <f t="shared" si="3"/>
        <v>0</v>
      </c>
      <c r="J36" s="151"/>
      <c r="K36" s="81"/>
      <c r="L36" s="143"/>
      <c r="M36" s="143"/>
      <c r="N36" s="143"/>
      <c r="O36" s="143"/>
      <c r="P36" s="143"/>
      <c r="Q36" s="143"/>
      <c r="R36" s="143"/>
      <c r="S36" s="143"/>
      <c r="T36" s="143"/>
    </row>
    <row r="37" spans="1:20" ht="15" customHeight="1" x14ac:dyDescent="0.35">
      <c r="A37" s="161"/>
      <c r="B37" s="147" t="s">
        <v>20</v>
      </c>
      <c r="C37" s="111" t="s">
        <v>168</v>
      </c>
      <c r="D37" s="52"/>
      <c r="E37" s="52"/>
      <c r="F37" s="114">
        <f>SUM(F38:F40)</f>
        <v>0</v>
      </c>
      <c r="G37" s="114">
        <f t="shared" ref="G37:I37" si="4">SUM(G38:G40)</f>
        <v>0</v>
      </c>
      <c r="H37" s="114">
        <f t="shared" si="4"/>
        <v>0</v>
      </c>
      <c r="I37" s="114">
        <f t="shared" si="4"/>
        <v>0</v>
      </c>
      <c r="J37" s="151"/>
      <c r="K37" s="81"/>
      <c r="L37" s="143"/>
      <c r="M37" s="143"/>
      <c r="N37" s="143"/>
      <c r="O37" s="143"/>
      <c r="P37" s="143"/>
      <c r="Q37" s="143"/>
      <c r="R37" s="143"/>
      <c r="S37" s="143"/>
      <c r="T37" s="143"/>
    </row>
    <row r="38" spans="1:20" ht="15" customHeight="1" x14ac:dyDescent="0.35">
      <c r="A38" s="147"/>
      <c r="B38" s="70"/>
      <c r="C38" s="58" t="s">
        <v>20</v>
      </c>
      <c r="D38" s="115" t="s">
        <v>169</v>
      </c>
      <c r="E38" s="116"/>
      <c r="F38" s="112"/>
      <c r="G38" s="112"/>
      <c r="H38" s="112"/>
      <c r="I38" s="112"/>
      <c r="J38" s="151"/>
      <c r="K38" s="81"/>
      <c r="L38" s="143"/>
      <c r="M38" s="143"/>
      <c r="N38" s="143"/>
      <c r="O38" s="143"/>
      <c r="P38" s="143"/>
      <c r="Q38" s="143"/>
      <c r="R38" s="143"/>
      <c r="S38" s="143"/>
      <c r="T38" s="143"/>
    </row>
    <row r="39" spans="1:20" ht="15" customHeight="1" x14ac:dyDescent="0.35">
      <c r="A39" s="147"/>
      <c r="B39" s="70"/>
      <c r="C39" s="58" t="s">
        <v>20</v>
      </c>
      <c r="D39" s="115" t="s">
        <v>170</v>
      </c>
      <c r="E39" s="116"/>
      <c r="F39" s="112"/>
      <c r="G39" s="112"/>
      <c r="H39" s="112"/>
      <c r="I39" s="112"/>
      <c r="J39" s="151"/>
      <c r="K39" s="81"/>
      <c r="L39" s="143"/>
      <c r="M39" s="143"/>
      <c r="N39" s="143"/>
      <c r="O39" s="143"/>
      <c r="P39" s="143"/>
      <c r="Q39" s="143"/>
      <c r="R39" s="143"/>
      <c r="S39" s="143"/>
      <c r="T39" s="143"/>
    </row>
    <row r="40" spans="1:20" ht="15" customHeight="1" x14ac:dyDescent="0.35">
      <c r="A40" s="147"/>
      <c r="B40" s="70"/>
      <c r="C40" s="58" t="s">
        <v>20</v>
      </c>
      <c r="D40" s="115" t="s">
        <v>171</v>
      </c>
      <c r="E40" s="52"/>
      <c r="F40" s="112"/>
      <c r="G40" s="112"/>
      <c r="H40" s="112"/>
      <c r="I40" s="112"/>
      <c r="J40" s="151"/>
      <c r="K40" s="81"/>
      <c r="L40" s="143"/>
      <c r="M40" s="143"/>
      <c r="N40" s="143"/>
      <c r="O40" s="143"/>
      <c r="P40" s="143"/>
      <c r="Q40" s="143"/>
      <c r="R40" s="143"/>
      <c r="S40" s="143"/>
      <c r="T40" s="143"/>
    </row>
    <row r="41" spans="1:20" ht="15" customHeight="1" x14ac:dyDescent="0.35">
      <c r="A41" s="147"/>
      <c r="B41" s="70"/>
      <c r="C41" s="58"/>
      <c r="D41" s="162"/>
      <c r="E41" s="56" t="s">
        <v>74</v>
      </c>
      <c r="F41" s="112"/>
      <c r="G41" s="112"/>
      <c r="H41" s="112"/>
      <c r="I41" s="112"/>
      <c r="J41" s="151"/>
      <c r="K41" s="81"/>
      <c r="L41" s="143"/>
      <c r="M41" s="143"/>
      <c r="N41" s="143"/>
      <c r="O41" s="143"/>
      <c r="P41" s="143"/>
      <c r="Q41" s="143"/>
      <c r="R41" s="143"/>
      <c r="S41" s="143"/>
      <c r="T41" s="143"/>
    </row>
    <row r="42" spans="1:20" ht="15" customHeight="1" x14ac:dyDescent="0.35">
      <c r="A42" s="147"/>
      <c r="B42" s="422" t="s">
        <v>20</v>
      </c>
      <c r="C42" s="424" t="s">
        <v>311</v>
      </c>
      <c r="D42" s="423"/>
      <c r="E42" s="157"/>
      <c r="F42" s="112"/>
      <c r="G42" s="112"/>
      <c r="H42" s="112"/>
      <c r="I42" s="112"/>
      <c r="J42" s="151"/>
      <c r="K42" s="81"/>
      <c r="L42" s="143"/>
      <c r="M42" s="143"/>
      <c r="N42" s="143"/>
      <c r="O42" s="143"/>
      <c r="P42" s="143"/>
      <c r="Q42" s="143"/>
      <c r="R42" s="143"/>
      <c r="S42" s="143"/>
      <c r="T42" s="143"/>
    </row>
    <row r="43" spans="1:20" ht="15" customHeight="1" x14ac:dyDescent="0.35">
      <c r="A43" s="161"/>
      <c r="B43" s="147" t="s">
        <v>20</v>
      </c>
      <c r="C43" s="164" t="s">
        <v>172</v>
      </c>
      <c r="D43" s="52"/>
      <c r="E43" s="52"/>
      <c r="F43" s="112"/>
      <c r="G43" s="112"/>
      <c r="H43" s="112"/>
      <c r="I43" s="112"/>
      <c r="J43" s="151"/>
      <c r="K43" s="81"/>
      <c r="L43" s="143"/>
      <c r="M43" s="143"/>
      <c r="N43" s="143"/>
      <c r="O43" s="143"/>
      <c r="P43" s="143"/>
      <c r="Q43" s="143"/>
      <c r="R43" s="143"/>
      <c r="S43" s="143"/>
      <c r="T43" s="143"/>
    </row>
    <row r="44" spans="1:20" ht="15" customHeight="1" x14ac:dyDescent="0.35">
      <c r="A44" s="161"/>
      <c r="B44" s="147" t="s">
        <v>20</v>
      </c>
      <c r="C44" s="70" t="s">
        <v>173</v>
      </c>
      <c r="D44" s="52"/>
      <c r="E44" s="52"/>
      <c r="F44" s="112"/>
      <c r="G44" s="112"/>
      <c r="H44" s="112"/>
      <c r="I44" s="112"/>
      <c r="J44" s="151"/>
      <c r="K44" s="81"/>
      <c r="L44" s="143"/>
      <c r="M44" s="143"/>
      <c r="N44" s="143"/>
      <c r="O44" s="143"/>
      <c r="P44" s="143"/>
      <c r="Q44" s="143"/>
      <c r="R44" s="143"/>
      <c r="S44" s="143"/>
      <c r="T44" s="143"/>
    </row>
    <row r="45" spans="1:20" ht="15" customHeight="1" x14ac:dyDescent="0.35">
      <c r="A45" s="161" t="s">
        <v>129</v>
      </c>
      <c r="B45" s="165" t="s">
        <v>174</v>
      </c>
      <c r="C45" s="70"/>
      <c r="D45" s="52"/>
      <c r="E45" s="52"/>
      <c r="F45" s="114">
        <f>SUM(F46+F47+F49)</f>
        <v>0</v>
      </c>
      <c r="G45" s="114">
        <f>SUM(G46+G47+G49)</f>
        <v>0</v>
      </c>
      <c r="H45" s="114">
        <f>SUM(H46+H47+H49)</f>
        <v>0</v>
      </c>
      <c r="I45" s="114">
        <f>SUM(I46+I47+I49)</f>
        <v>0</v>
      </c>
      <c r="J45" s="151"/>
      <c r="K45" s="81"/>
      <c r="L45" s="143"/>
      <c r="M45" s="143"/>
      <c r="N45" s="143"/>
      <c r="O45" s="143"/>
      <c r="P45" s="143"/>
      <c r="Q45" s="143"/>
      <c r="R45" s="143"/>
      <c r="S45" s="143"/>
      <c r="T45" s="143"/>
    </row>
    <row r="46" spans="1:20" ht="15" customHeight="1" x14ac:dyDescent="0.35">
      <c r="A46" s="161"/>
      <c r="B46" s="147" t="s">
        <v>20</v>
      </c>
      <c r="C46" s="115" t="s">
        <v>175</v>
      </c>
      <c r="D46" s="116"/>
      <c r="E46" s="116"/>
      <c r="F46" s="112"/>
      <c r="G46" s="112"/>
      <c r="H46" s="112"/>
      <c r="I46" s="112"/>
      <c r="J46" s="151"/>
      <c r="K46" s="81"/>
      <c r="L46" s="143"/>
      <c r="M46" s="143"/>
      <c r="N46" s="143"/>
      <c r="O46" s="143"/>
      <c r="P46" s="143"/>
      <c r="Q46" s="143"/>
      <c r="R46" s="143"/>
      <c r="S46" s="143"/>
      <c r="T46" s="143"/>
    </row>
    <row r="47" spans="1:20" ht="15" customHeight="1" x14ac:dyDescent="0.35">
      <c r="A47" s="161"/>
      <c r="B47" s="147" t="s">
        <v>20</v>
      </c>
      <c r="C47" s="56" t="s">
        <v>176</v>
      </c>
      <c r="D47" s="116"/>
      <c r="E47" s="116"/>
      <c r="F47" s="112"/>
      <c r="G47" s="112"/>
      <c r="H47" s="112"/>
      <c r="I47" s="112"/>
      <c r="J47" s="151"/>
      <c r="K47" s="81"/>
      <c r="L47" s="143"/>
      <c r="M47" s="143"/>
      <c r="N47" s="143"/>
      <c r="O47" s="143"/>
      <c r="P47" s="143"/>
      <c r="Q47" s="143"/>
      <c r="R47" s="143"/>
      <c r="S47" s="143"/>
      <c r="T47" s="143"/>
    </row>
    <row r="48" spans="1:20" ht="29.25" customHeight="1" x14ac:dyDescent="0.35">
      <c r="A48" s="161"/>
      <c r="B48" s="147"/>
      <c r="C48" s="166"/>
      <c r="D48" s="56" t="s">
        <v>177</v>
      </c>
      <c r="E48" s="116"/>
      <c r="F48" s="112"/>
      <c r="G48" s="112"/>
      <c r="H48" s="112"/>
      <c r="I48" s="112"/>
      <c r="J48" s="151"/>
      <c r="K48" s="81"/>
      <c r="L48" s="143"/>
      <c r="M48" s="143"/>
      <c r="N48" s="143"/>
      <c r="O48" s="143"/>
      <c r="P48" s="143"/>
      <c r="Q48" s="143"/>
      <c r="R48" s="143"/>
      <c r="S48" s="143"/>
      <c r="T48" s="143"/>
    </row>
    <row r="49" spans="1:20" ht="15" customHeight="1" x14ac:dyDescent="0.35">
      <c r="A49" s="161"/>
      <c r="B49" s="147" t="s">
        <v>20</v>
      </c>
      <c r="C49" s="115" t="s">
        <v>178</v>
      </c>
      <c r="D49" s="52"/>
      <c r="E49" s="52"/>
      <c r="F49" s="112"/>
      <c r="G49" s="112"/>
      <c r="H49" s="112"/>
      <c r="I49" s="112"/>
      <c r="J49" s="151"/>
      <c r="K49" s="81"/>
      <c r="L49" s="143"/>
      <c r="M49" s="143"/>
      <c r="N49" s="143"/>
      <c r="O49" s="143"/>
      <c r="P49" s="143"/>
      <c r="Q49" s="143"/>
      <c r="R49" s="143"/>
      <c r="S49" s="143"/>
      <c r="T49" s="143"/>
    </row>
    <row r="50" spans="1:20" ht="15" customHeight="1" x14ac:dyDescent="0.35">
      <c r="A50" s="147"/>
      <c r="B50" s="69"/>
      <c r="C50" s="166"/>
      <c r="D50" s="56" t="s">
        <v>179</v>
      </c>
      <c r="E50" s="116"/>
      <c r="F50" s="112"/>
      <c r="G50" s="112"/>
      <c r="H50" s="112"/>
      <c r="I50" s="112"/>
      <c r="J50" s="151"/>
      <c r="K50" s="81"/>
      <c r="L50" s="143"/>
      <c r="M50" s="143"/>
      <c r="N50" s="143"/>
      <c r="O50" s="143"/>
      <c r="P50" s="143"/>
      <c r="Q50" s="143"/>
      <c r="R50" s="143"/>
      <c r="S50" s="143"/>
      <c r="T50" s="143"/>
    </row>
    <row r="51" spans="1:20" ht="15" customHeight="1" x14ac:dyDescent="0.35">
      <c r="A51" s="147"/>
      <c r="B51" s="69"/>
      <c r="C51" s="166"/>
      <c r="D51" s="56" t="s">
        <v>64</v>
      </c>
      <c r="E51" s="116"/>
      <c r="F51" s="112"/>
      <c r="G51" s="112"/>
      <c r="H51" s="112"/>
      <c r="I51" s="112"/>
      <c r="J51" s="151"/>
      <c r="K51" s="81"/>
      <c r="L51" s="143"/>
      <c r="M51" s="143"/>
      <c r="N51" s="143"/>
      <c r="O51" s="143"/>
      <c r="P51" s="143"/>
      <c r="Q51" s="143"/>
      <c r="R51" s="143"/>
      <c r="S51" s="143"/>
      <c r="T51" s="143"/>
    </row>
    <row r="52" spans="1:20" ht="15" customHeight="1" x14ac:dyDescent="0.35">
      <c r="A52" s="147"/>
      <c r="B52" s="69"/>
      <c r="C52" s="166" t="s">
        <v>20</v>
      </c>
      <c r="D52" s="56" t="s">
        <v>241</v>
      </c>
      <c r="E52" s="116"/>
      <c r="F52" s="112"/>
      <c r="G52" s="112"/>
      <c r="H52" s="112"/>
      <c r="I52" s="112"/>
      <c r="J52" s="151"/>
      <c r="K52" s="81"/>
      <c r="L52" s="143"/>
      <c r="M52" s="143"/>
      <c r="N52" s="143"/>
      <c r="O52" s="143"/>
      <c r="P52" s="143"/>
      <c r="Q52" s="143"/>
      <c r="R52" s="143"/>
      <c r="S52" s="143"/>
      <c r="T52" s="143"/>
    </row>
    <row r="53" spans="1:20" ht="15" customHeight="1" x14ac:dyDescent="0.35">
      <c r="A53" s="161" t="s">
        <v>129</v>
      </c>
      <c r="B53" s="111" t="s">
        <v>180</v>
      </c>
      <c r="C53" s="70"/>
      <c r="D53" s="52"/>
      <c r="E53" s="52"/>
      <c r="F53" s="114">
        <f>F13+F14+F15+F16+F21+F31+F36+F45</f>
        <v>0</v>
      </c>
      <c r="G53" s="114">
        <f>G13+G14+G15+G16+G21+G31+G36+G45</f>
        <v>0</v>
      </c>
      <c r="H53" s="114">
        <f>H13+H14+H15+H16+H21+H31+H36+H45</f>
        <v>0</v>
      </c>
      <c r="I53" s="114">
        <f>I13+I14+I15+I16+I21+I31+I36+I45</f>
        <v>0</v>
      </c>
      <c r="J53" s="151"/>
      <c r="K53" s="81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ht="15" customHeight="1" x14ac:dyDescent="0.35">
      <c r="A54" s="161" t="s">
        <v>129</v>
      </c>
      <c r="B54" s="163" t="s">
        <v>181</v>
      </c>
      <c r="C54" s="93"/>
      <c r="D54" s="52"/>
      <c r="E54" s="52"/>
      <c r="F54" s="114">
        <f>SUM(F55:F61)</f>
        <v>0</v>
      </c>
      <c r="G54" s="114">
        <f t="shared" ref="G54:I54" si="5">SUM(G55:G61)</f>
        <v>0</v>
      </c>
      <c r="H54" s="114">
        <f t="shared" si="5"/>
        <v>0</v>
      </c>
      <c r="I54" s="114">
        <f t="shared" si="5"/>
        <v>0</v>
      </c>
      <c r="J54" s="151"/>
      <c r="K54" s="81"/>
      <c r="L54" s="143"/>
      <c r="M54" s="143"/>
      <c r="N54" s="143"/>
      <c r="O54" s="143"/>
      <c r="P54" s="143"/>
      <c r="Q54" s="143"/>
      <c r="R54" s="143"/>
      <c r="S54" s="143"/>
      <c r="T54" s="143"/>
    </row>
    <row r="55" spans="1:20" ht="15" customHeight="1" x14ac:dyDescent="0.35">
      <c r="A55" s="161"/>
      <c r="B55" s="167" t="s">
        <v>15</v>
      </c>
      <c r="C55" s="168" t="s">
        <v>57</v>
      </c>
      <c r="D55" s="52"/>
      <c r="E55" s="52"/>
      <c r="F55" s="112"/>
      <c r="G55" s="112"/>
      <c r="H55" s="112"/>
      <c r="I55" s="112"/>
      <c r="J55" s="151"/>
      <c r="K55" s="81"/>
      <c r="L55" s="143"/>
      <c r="M55" s="143"/>
      <c r="N55" s="143"/>
      <c r="O55" s="143"/>
      <c r="P55" s="143"/>
      <c r="Q55" s="143"/>
      <c r="R55" s="143"/>
      <c r="S55" s="143"/>
      <c r="T55" s="143"/>
    </row>
    <row r="56" spans="1:20" ht="15.75" customHeight="1" x14ac:dyDescent="0.35">
      <c r="A56" s="161"/>
      <c r="B56" s="169" t="s">
        <v>15</v>
      </c>
      <c r="C56" s="168" t="s">
        <v>90</v>
      </c>
      <c r="D56" s="52"/>
      <c r="E56" s="52"/>
      <c r="F56" s="112"/>
      <c r="G56" s="112"/>
      <c r="H56" s="112"/>
      <c r="I56" s="112"/>
      <c r="J56" s="151"/>
      <c r="K56" s="81"/>
      <c r="L56" s="143"/>
      <c r="M56" s="143"/>
      <c r="N56" s="143"/>
      <c r="O56" s="143"/>
      <c r="P56" s="143"/>
      <c r="Q56" s="143"/>
      <c r="R56" s="143"/>
      <c r="S56" s="143"/>
      <c r="T56" s="143"/>
    </row>
    <row r="57" spans="1:20" ht="15" customHeight="1" x14ac:dyDescent="0.35">
      <c r="A57" s="161"/>
      <c r="B57" s="167" t="s">
        <v>15</v>
      </c>
      <c r="C57" s="168" t="s">
        <v>89</v>
      </c>
      <c r="D57" s="52"/>
      <c r="E57" s="52"/>
      <c r="F57" s="112"/>
      <c r="G57" s="112"/>
      <c r="H57" s="112"/>
      <c r="I57" s="112"/>
      <c r="J57" s="151"/>
      <c r="K57" s="81"/>
      <c r="L57" s="143"/>
      <c r="M57" s="143"/>
      <c r="N57" s="143"/>
      <c r="O57" s="143"/>
      <c r="P57" s="143"/>
      <c r="Q57" s="143"/>
      <c r="R57" s="143"/>
      <c r="S57" s="143"/>
      <c r="T57" s="143"/>
    </row>
    <row r="58" spans="1:20" ht="15" customHeight="1" x14ac:dyDescent="0.35">
      <c r="A58" s="161"/>
      <c r="B58" s="167" t="s">
        <v>15</v>
      </c>
      <c r="C58" s="168" t="s">
        <v>58</v>
      </c>
      <c r="D58" s="52"/>
      <c r="E58" s="52"/>
      <c r="F58" s="112"/>
      <c r="G58" s="112"/>
      <c r="H58" s="112"/>
      <c r="I58" s="112"/>
      <c r="J58" s="151"/>
      <c r="K58" s="81"/>
      <c r="L58" s="143"/>
      <c r="M58" s="143"/>
      <c r="N58" s="143"/>
      <c r="O58" s="143"/>
      <c r="P58" s="143"/>
      <c r="Q58" s="143"/>
      <c r="R58" s="143"/>
      <c r="S58" s="143"/>
      <c r="T58" s="143"/>
    </row>
    <row r="59" spans="1:20" ht="15" customHeight="1" x14ac:dyDescent="0.35">
      <c r="A59" s="161"/>
      <c r="B59" s="170" t="s">
        <v>20</v>
      </c>
      <c r="C59" s="93" t="s">
        <v>172</v>
      </c>
      <c r="D59" s="52"/>
      <c r="E59" s="52"/>
      <c r="F59" s="112"/>
      <c r="G59" s="112"/>
      <c r="H59" s="112"/>
      <c r="I59" s="112"/>
      <c r="J59" s="151"/>
      <c r="K59" s="81"/>
      <c r="L59" s="143"/>
      <c r="M59" s="143"/>
      <c r="N59" s="143"/>
      <c r="O59" s="143"/>
      <c r="P59" s="143"/>
      <c r="Q59" s="143"/>
      <c r="R59" s="143"/>
      <c r="S59" s="143"/>
      <c r="T59" s="143"/>
    </row>
    <row r="60" spans="1:20" ht="15" customHeight="1" x14ac:dyDescent="0.35">
      <c r="A60" s="161"/>
      <c r="B60" s="170" t="s">
        <v>20</v>
      </c>
      <c r="C60" s="93" t="s">
        <v>59</v>
      </c>
      <c r="D60" s="52"/>
      <c r="E60" s="52"/>
      <c r="F60" s="112"/>
      <c r="G60" s="112"/>
      <c r="H60" s="112"/>
      <c r="I60" s="112"/>
      <c r="J60" s="151"/>
      <c r="K60" s="81"/>
      <c r="L60" s="143"/>
      <c r="M60" s="143"/>
      <c r="N60" s="143"/>
      <c r="O60" s="143"/>
      <c r="P60" s="143"/>
      <c r="Q60" s="143"/>
      <c r="R60" s="143"/>
      <c r="S60" s="143"/>
      <c r="T60" s="143"/>
    </row>
    <row r="61" spans="1:20" ht="15" customHeight="1" x14ac:dyDescent="0.35">
      <c r="A61" s="161"/>
      <c r="B61" s="170" t="s">
        <v>20</v>
      </c>
      <c r="C61" s="93" t="s">
        <v>182</v>
      </c>
      <c r="D61" s="52"/>
      <c r="E61" s="52"/>
      <c r="F61" s="112"/>
      <c r="G61" s="112"/>
      <c r="H61" s="112"/>
      <c r="I61" s="112"/>
      <c r="J61" s="151"/>
      <c r="K61" s="81"/>
      <c r="L61" s="143"/>
      <c r="M61" s="143"/>
      <c r="N61" s="143"/>
      <c r="O61" s="143"/>
      <c r="P61" s="143"/>
      <c r="Q61" s="143"/>
      <c r="R61" s="143"/>
      <c r="S61" s="143"/>
      <c r="T61" s="143"/>
    </row>
    <row r="62" spans="1:20" ht="15" customHeight="1" x14ac:dyDescent="0.35">
      <c r="A62" s="147" t="s">
        <v>129</v>
      </c>
      <c r="B62" s="111" t="s">
        <v>186</v>
      </c>
      <c r="C62" s="70"/>
      <c r="D62" s="52"/>
      <c r="E62" s="52"/>
      <c r="F62" s="114">
        <f>F53+F54</f>
        <v>0</v>
      </c>
      <c r="G62" s="114">
        <f>G53+G54</f>
        <v>0</v>
      </c>
      <c r="H62" s="114">
        <f>H53+H54</f>
        <v>0</v>
      </c>
      <c r="I62" s="114">
        <f>I53+I54</f>
        <v>0</v>
      </c>
      <c r="J62" s="151"/>
      <c r="K62" s="81"/>
      <c r="L62" s="143"/>
      <c r="M62" s="143"/>
      <c r="N62" s="143"/>
      <c r="O62" s="143"/>
      <c r="P62" s="143"/>
      <c r="Q62" s="143"/>
      <c r="R62" s="143"/>
      <c r="S62" s="143"/>
      <c r="T62" s="143"/>
    </row>
    <row r="63" spans="1:20" ht="15" customHeight="1" x14ac:dyDescent="0.35">
      <c r="A63" s="161" t="s">
        <v>129</v>
      </c>
      <c r="B63" s="34" t="s">
        <v>187</v>
      </c>
      <c r="C63" s="70"/>
      <c r="D63" s="52"/>
      <c r="E63" s="52"/>
      <c r="F63" s="114">
        <f>F64+F68+F69+F72</f>
        <v>0</v>
      </c>
      <c r="G63" s="114">
        <f t="shared" ref="G63:I63" si="6">G64+G68+G69+G72</f>
        <v>0</v>
      </c>
      <c r="H63" s="114">
        <f t="shared" si="6"/>
        <v>0</v>
      </c>
      <c r="I63" s="114">
        <f t="shared" si="6"/>
        <v>0</v>
      </c>
      <c r="J63" s="151"/>
      <c r="K63" s="81"/>
      <c r="L63" s="143"/>
      <c r="M63" s="143"/>
      <c r="N63" s="143"/>
      <c r="O63" s="143"/>
      <c r="P63" s="143"/>
      <c r="Q63" s="143"/>
      <c r="R63" s="143"/>
      <c r="S63" s="143"/>
      <c r="T63" s="143"/>
    </row>
    <row r="64" spans="1:20" ht="15" customHeight="1" x14ac:dyDescent="0.35">
      <c r="A64" s="161"/>
      <c r="B64" s="171" t="s">
        <v>129</v>
      </c>
      <c r="C64" s="34" t="s">
        <v>188</v>
      </c>
      <c r="D64" s="52"/>
      <c r="E64" s="52"/>
      <c r="F64" s="114">
        <f>F65+F66+F67</f>
        <v>0</v>
      </c>
      <c r="G64" s="114">
        <f t="shared" ref="G64:I64" si="7">G65+G66+G67</f>
        <v>0</v>
      </c>
      <c r="H64" s="114">
        <f t="shared" si="7"/>
        <v>0</v>
      </c>
      <c r="I64" s="114">
        <f t="shared" si="7"/>
        <v>0</v>
      </c>
      <c r="J64" s="151"/>
      <c r="K64" s="81"/>
      <c r="L64" s="143"/>
      <c r="M64" s="143"/>
      <c r="N64" s="143"/>
      <c r="O64" s="143"/>
      <c r="P64" s="143"/>
      <c r="Q64" s="143"/>
      <c r="R64" s="143"/>
      <c r="S64" s="143"/>
      <c r="T64" s="143"/>
    </row>
    <row r="65" spans="1:20" ht="15" customHeight="1" x14ac:dyDescent="0.35">
      <c r="A65" s="147"/>
      <c r="B65" s="80"/>
      <c r="C65" s="173" t="s">
        <v>78</v>
      </c>
      <c r="D65" s="115" t="s">
        <v>21</v>
      </c>
      <c r="E65" s="116"/>
      <c r="F65" s="39"/>
      <c r="G65" s="39"/>
      <c r="H65" s="39"/>
      <c r="I65" s="39"/>
      <c r="J65" s="151"/>
      <c r="K65" s="81"/>
      <c r="L65" s="143"/>
      <c r="M65" s="143"/>
      <c r="N65" s="143"/>
      <c r="O65" s="143"/>
      <c r="P65" s="143"/>
      <c r="Q65" s="143"/>
      <c r="R65" s="143"/>
      <c r="S65" s="143"/>
      <c r="T65" s="143"/>
    </row>
    <row r="66" spans="1:20" ht="14.25" customHeight="1" x14ac:dyDescent="0.35">
      <c r="A66" s="147"/>
      <c r="B66" s="80"/>
      <c r="C66" s="173" t="s">
        <v>78</v>
      </c>
      <c r="D66" s="115" t="s">
        <v>189</v>
      </c>
      <c r="E66" s="52"/>
      <c r="F66" s="112"/>
      <c r="G66" s="112"/>
      <c r="H66" s="112"/>
      <c r="I66" s="112"/>
      <c r="J66" s="151"/>
      <c r="K66" s="81"/>
      <c r="L66" s="143"/>
      <c r="M66" s="143"/>
      <c r="N66" s="143"/>
      <c r="O66" s="143"/>
      <c r="P66" s="143"/>
      <c r="Q66" s="143"/>
      <c r="R66" s="143"/>
      <c r="S66" s="143"/>
      <c r="T66" s="143"/>
    </row>
    <row r="67" spans="1:20" ht="15" customHeight="1" x14ac:dyDescent="0.35">
      <c r="A67" s="147"/>
      <c r="B67" s="80"/>
      <c r="C67" s="173" t="s">
        <v>78</v>
      </c>
      <c r="D67" s="115" t="s">
        <v>54</v>
      </c>
      <c r="E67" s="52"/>
      <c r="F67" s="112"/>
      <c r="G67" s="112"/>
      <c r="H67" s="112"/>
      <c r="I67" s="112"/>
      <c r="J67" s="151"/>
      <c r="K67" s="81"/>
      <c r="L67" s="143"/>
      <c r="M67" s="143"/>
      <c r="N67" s="143"/>
      <c r="O67" s="143"/>
      <c r="P67" s="143"/>
      <c r="Q67" s="143"/>
      <c r="R67" s="143"/>
      <c r="S67" s="143"/>
      <c r="T67" s="143"/>
    </row>
    <row r="68" spans="1:20" ht="15" customHeight="1" x14ac:dyDescent="0.35">
      <c r="A68" s="147"/>
      <c r="B68" s="80" t="s">
        <v>78</v>
      </c>
      <c r="C68" s="419" t="s">
        <v>306</v>
      </c>
      <c r="D68" s="115"/>
      <c r="E68" s="52"/>
      <c r="F68" s="112"/>
      <c r="G68" s="112"/>
      <c r="H68" s="112"/>
      <c r="I68" s="112"/>
      <c r="J68" s="151"/>
      <c r="K68" s="81"/>
      <c r="L68" s="143"/>
      <c r="M68" s="143"/>
      <c r="N68" s="143"/>
      <c r="O68" s="143"/>
      <c r="P68" s="143"/>
      <c r="Q68" s="143"/>
      <c r="R68" s="143"/>
      <c r="S68" s="143"/>
      <c r="T68" s="143"/>
    </row>
    <row r="69" spans="1:20" ht="15" customHeight="1" x14ac:dyDescent="0.35">
      <c r="A69" s="147"/>
      <c r="B69" s="70" t="s">
        <v>15</v>
      </c>
      <c r="C69" s="69" t="s">
        <v>63</v>
      </c>
      <c r="D69" s="56"/>
      <c r="E69" s="116"/>
      <c r="F69" s="154">
        <f>F70+F71</f>
        <v>0</v>
      </c>
      <c r="G69" s="154">
        <f t="shared" ref="G69:I69" si="8">G70+G71</f>
        <v>0</v>
      </c>
      <c r="H69" s="154">
        <f t="shared" si="8"/>
        <v>0</v>
      </c>
      <c r="I69" s="154">
        <f t="shared" si="8"/>
        <v>0</v>
      </c>
      <c r="J69" s="151"/>
      <c r="K69" s="81"/>
      <c r="L69" s="143"/>
      <c r="M69" s="143"/>
      <c r="N69" s="143"/>
      <c r="O69" s="143"/>
      <c r="P69" s="143"/>
      <c r="Q69" s="143"/>
      <c r="R69" s="143"/>
      <c r="S69" s="143"/>
      <c r="T69" s="143"/>
    </row>
    <row r="70" spans="1:20" ht="15" customHeight="1" x14ac:dyDescent="0.35">
      <c r="A70" s="147"/>
      <c r="B70" s="80"/>
      <c r="C70" s="80" t="s">
        <v>15</v>
      </c>
      <c r="D70" s="69" t="s">
        <v>183</v>
      </c>
      <c r="E70" s="115"/>
      <c r="F70" s="112"/>
      <c r="G70" s="112"/>
      <c r="H70" s="112"/>
      <c r="I70" s="112"/>
      <c r="J70" s="151"/>
      <c r="K70" s="81"/>
      <c r="L70" s="143"/>
      <c r="M70" s="143"/>
      <c r="N70" s="143"/>
      <c r="O70" s="143"/>
      <c r="P70" s="143"/>
      <c r="Q70" s="143"/>
      <c r="R70" s="143"/>
      <c r="S70" s="143"/>
      <c r="T70" s="143"/>
    </row>
    <row r="71" spans="1:20" ht="15" customHeight="1" x14ac:dyDescent="0.35">
      <c r="A71" s="147"/>
      <c r="B71" s="80"/>
      <c r="C71" s="80" t="s">
        <v>15</v>
      </c>
      <c r="D71" s="69" t="s">
        <v>184</v>
      </c>
      <c r="E71" s="115"/>
      <c r="F71" s="112"/>
      <c r="G71" s="112"/>
      <c r="H71" s="112"/>
      <c r="I71" s="112"/>
      <c r="J71" s="151"/>
      <c r="K71" s="81"/>
      <c r="L71" s="143"/>
      <c r="M71" s="143"/>
      <c r="N71" s="143"/>
      <c r="O71" s="143"/>
      <c r="P71" s="143"/>
      <c r="Q71" s="143"/>
      <c r="R71" s="143"/>
      <c r="S71" s="143"/>
      <c r="T71" s="143"/>
    </row>
    <row r="72" spans="1:20" ht="15" customHeight="1" x14ac:dyDescent="0.35">
      <c r="A72" s="172"/>
      <c r="B72" s="80" t="s">
        <v>20</v>
      </c>
      <c r="C72" s="69" t="s">
        <v>185</v>
      </c>
      <c r="D72" s="56"/>
      <c r="E72" s="116"/>
      <c r="F72" s="154">
        <f>F73+F74</f>
        <v>0</v>
      </c>
      <c r="G72" s="154">
        <f t="shared" ref="G72:I72" si="9">G73+G74</f>
        <v>0</v>
      </c>
      <c r="H72" s="154">
        <f t="shared" si="9"/>
        <v>0</v>
      </c>
      <c r="I72" s="154">
        <f t="shared" si="9"/>
        <v>0</v>
      </c>
      <c r="J72" s="151"/>
      <c r="K72" s="81"/>
      <c r="L72" s="143"/>
      <c r="M72" s="143"/>
      <c r="N72" s="143"/>
      <c r="O72" s="143"/>
      <c r="P72" s="143"/>
      <c r="Q72" s="143"/>
      <c r="R72" s="143"/>
      <c r="S72" s="143"/>
      <c r="T72" s="143"/>
    </row>
    <row r="73" spans="1:20" ht="15" customHeight="1" x14ac:dyDescent="0.35">
      <c r="A73" s="172"/>
      <c r="B73" s="80"/>
      <c r="C73" s="69" t="s">
        <v>20</v>
      </c>
      <c r="D73" s="115" t="s">
        <v>183</v>
      </c>
      <c r="E73" s="115"/>
      <c r="F73" s="112"/>
      <c r="G73" s="112"/>
      <c r="H73" s="112"/>
      <c r="I73" s="112"/>
      <c r="J73" s="151"/>
      <c r="K73" s="81"/>
      <c r="L73" s="143"/>
      <c r="M73" s="143"/>
      <c r="N73" s="143"/>
      <c r="O73" s="143"/>
      <c r="P73" s="143"/>
      <c r="Q73" s="143"/>
      <c r="R73" s="143"/>
      <c r="S73" s="143"/>
      <c r="T73" s="143"/>
    </row>
    <row r="74" spans="1:20" ht="15" customHeight="1" x14ac:dyDescent="0.35">
      <c r="A74" s="147"/>
      <c r="B74" s="58"/>
      <c r="C74" s="115" t="s">
        <v>20</v>
      </c>
      <c r="D74" s="115" t="s">
        <v>184</v>
      </c>
      <c r="E74" s="115"/>
      <c r="F74" s="112"/>
      <c r="G74" s="112"/>
      <c r="H74" s="112"/>
      <c r="I74" s="112"/>
      <c r="J74" s="151"/>
      <c r="K74" s="81"/>
      <c r="L74" s="143"/>
      <c r="M74" s="143"/>
      <c r="N74" s="143"/>
      <c r="O74" s="143"/>
      <c r="P74" s="143"/>
      <c r="Q74" s="143"/>
      <c r="R74" s="143"/>
      <c r="S74" s="143"/>
      <c r="T74" s="143"/>
    </row>
    <row r="75" spans="1:20" ht="15" customHeight="1" x14ac:dyDescent="0.35">
      <c r="A75" s="156" t="s">
        <v>20</v>
      </c>
      <c r="B75" s="115" t="s">
        <v>190</v>
      </c>
      <c r="C75" s="70"/>
      <c r="D75" s="52"/>
      <c r="E75" s="52"/>
      <c r="F75" s="117"/>
      <c r="G75" s="117"/>
      <c r="H75" s="117"/>
      <c r="I75" s="117"/>
      <c r="J75" s="151"/>
      <c r="K75" s="81"/>
      <c r="L75" s="143"/>
      <c r="M75" s="143"/>
      <c r="N75" s="143"/>
      <c r="O75" s="143"/>
      <c r="P75" s="143"/>
      <c r="Q75" s="143"/>
      <c r="R75" s="143"/>
      <c r="S75" s="143"/>
      <c r="T75" s="143"/>
    </row>
    <row r="76" spans="1:20" ht="15" customHeight="1" x14ac:dyDescent="0.35">
      <c r="A76" s="156" t="s">
        <v>20</v>
      </c>
      <c r="B76" s="115" t="s">
        <v>191</v>
      </c>
      <c r="C76" s="70"/>
      <c r="D76" s="52"/>
      <c r="E76" s="52"/>
      <c r="F76" s="112"/>
      <c r="G76" s="112"/>
      <c r="H76" s="112"/>
      <c r="I76" s="112"/>
      <c r="J76" s="151"/>
      <c r="K76" s="81"/>
      <c r="L76" s="143"/>
      <c r="M76" s="143"/>
      <c r="N76" s="143"/>
      <c r="O76" s="143"/>
      <c r="P76" s="143"/>
      <c r="Q76" s="143"/>
      <c r="R76" s="143"/>
      <c r="S76" s="143"/>
      <c r="T76" s="143"/>
    </row>
    <row r="77" spans="1:20" ht="15" customHeight="1" x14ac:dyDescent="0.35">
      <c r="A77" s="147" t="s">
        <v>129</v>
      </c>
      <c r="B77" s="111" t="s">
        <v>192</v>
      </c>
      <c r="C77" s="70"/>
      <c r="D77" s="52"/>
      <c r="E77" s="52"/>
      <c r="F77" s="118">
        <f>F62+F63+F76+F75</f>
        <v>0</v>
      </c>
      <c r="G77" s="118">
        <f t="shared" ref="G77:I77" si="10">G62+G63+G76+G75</f>
        <v>0</v>
      </c>
      <c r="H77" s="118">
        <f t="shared" si="10"/>
        <v>0</v>
      </c>
      <c r="I77" s="118">
        <f t="shared" si="10"/>
        <v>0</v>
      </c>
      <c r="J77" s="151"/>
      <c r="K77" s="81"/>
      <c r="L77" s="143"/>
      <c r="M77" s="143"/>
      <c r="N77" s="143"/>
      <c r="O77" s="143"/>
      <c r="P77" s="143"/>
      <c r="Q77" s="143"/>
      <c r="R77" s="143"/>
      <c r="S77" s="143"/>
      <c r="T77" s="143"/>
    </row>
    <row r="78" spans="1:20" ht="15" customHeight="1" x14ac:dyDescent="0.35">
      <c r="A78" s="147"/>
      <c r="B78" s="70"/>
      <c r="C78" s="70"/>
      <c r="D78" s="52"/>
      <c r="E78" s="52"/>
      <c r="F78" s="81"/>
      <c r="G78" s="81"/>
      <c r="H78" s="81"/>
      <c r="I78" s="81"/>
      <c r="J78" s="81"/>
      <c r="K78" s="81"/>
      <c r="L78" s="143"/>
      <c r="M78" s="143"/>
      <c r="N78" s="143"/>
      <c r="O78" s="143"/>
      <c r="P78" s="143"/>
      <c r="Q78" s="143"/>
      <c r="R78" s="143"/>
      <c r="S78" s="143"/>
      <c r="T78" s="143"/>
    </row>
    <row r="79" spans="1:20" ht="15" customHeight="1" x14ac:dyDescent="0.35">
      <c r="A79" s="147"/>
      <c r="B79" s="70"/>
      <c r="C79" s="70"/>
      <c r="D79" s="52"/>
      <c r="E79" s="52"/>
      <c r="F79" s="81"/>
      <c r="G79" s="81"/>
      <c r="H79" s="81"/>
      <c r="I79" s="81"/>
      <c r="J79" s="81"/>
      <c r="K79" s="81"/>
      <c r="L79" s="143"/>
      <c r="M79" s="143"/>
      <c r="N79" s="143"/>
      <c r="O79" s="143"/>
      <c r="P79" s="143"/>
      <c r="Q79" s="143"/>
      <c r="R79" s="143"/>
      <c r="S79" s="143"/>
      <c r="T79" s="143"/>
    </row>
    <row r="80" spans="1:20" ht="15" customHeight="1" x14ac:dyDescent="0.35">
      <c r="A80" s="147"/>
      <c r="B80" s="70"/>
      <c r="C80" s="70"/>
      <c r="D80" s="52"/>
      <c r="E80" s="52"/>
      <c r="F80" s="81"/>
      <c r="G80" s="81"/>
      <c r="H80" s="81"/>
      <c r="I80" s="81"/>
      <c r="J80" s="81"/>
      <c r="K80" s="81"/>
      <c r="L80" s="143"/>
      <c r="M80" s="143"/>
      <c r="N80" s="143"/>
      <c r="O80" s="143"/>
      <c r="P80" s="143"/>
      <c r="Q80" s="143"/>
      <c r="R80" s="143"/>
      <c r="S80" s="143"/>
      <c r="T80" s="143"/>
    </row>
    <row r="83" spans="1:20" ht="15" customHeight="1" x14ac:dyDescent="0.25">
      <c r="B83" s="175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1:20" ht="15" customHeight="1" x14ac:dyDescent="0.25">
      <c r="B84" s="175"/>
      <c r="L84" s="143"/>
      <c r="M84" s="143"/>
      <c r="N84" s="143"/>
      <c r="O84" s="143"/>
      <c r="P84" s="143"/>
      <c r="Q84" s="143"/>
      <c r="R84" s="143"/>
      <c r="S84" s="143"/>
      <c r="T84" s="143"/>
    </row>
    <row r="85" spans="1:20" ht="15" customHeight="1" x14ac:dyDescent="0.25">
      <c r="A85" s="143"/>
      <c r="B85" s="175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</row>
    <row r="86" spans="1:20" ht="15" customHeight="1" x14ac:dyDescent="0.25">
      <c r="A86" s="143"/>
      <c r="B86" s="175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</row>
    <row r="87" spans="1:20" ht="15" customHeight="1" x14ac:dyDescent="0.25">
      <c r="A87" s="143"/>
      <c r="B87" s="175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1:20" ht="15" customHeight="1" x14ac:dyDescent="0.25">
      <c r="A88" s="143"/>
      <c r="B88" s="178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1:20" ht="15" customHeight="1" x14ac:dyDescent="0.25">
      <c r="A89" s="143"/>
      <c r="B89" s="175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1:20" ht="15" customHeight="1" x14ac:dyDescent="0.25">
      <c r="A90" s="143"/>
      <c r="B90" s="175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</row>
    <row r="91" spans="1:20" ht="15" customHeight="1" x14ac:dyDescent="0.25">
      <c r="A91" s="143"/>
      <c r="B91" s="178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</row>
    <row r="92" spans="1:20" ht="15" customHeight="1" x14ac:dyDescent="0.25">
      <c r="A92" s="143"/>
      <c r="B92" s="178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</row>
    <row r="93" spans="1:20" ht="15" customHeight="1" x14ac:dyDescent="0.25">
      <c r="A93" s="143"/>
      <c r="B93" s="178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</row>
    <row r="104" spans="2:2" s="143" customFormat="1" ht="15" customHeight="1" x14ac:dyDescent="0.25">
      <c r="B104" s="178"/>
    </row>
    <row r="105" spans="2:2" s="143" customFormat="1" ht="15" customHeight="1" x14ac:dyDescent="0.25">
      <c r="B105" s="178"/>
    </row>
    <row r="106" spans="2:2" s="143" customFormat="1" ht="15" customHeight="1" x14ac:dyDescent="0.25">
      <c r="B106" s="178"/>
    </row>
  </sheetData>
  <protectedRanges>
    <protectedRange sqref="F65:I68 F75:I76" name="Alue10"/>
    <protectedRange sqref="F69:I74" name="Alue9"/>
    <protectedRange sqref="F59:I61" name="Alue7"/>
    <protectedRange sqref="F55:I58" name="Alue6"/>
    <protectedRange sqref="F46:I52" name="Alue5"/>
    <protectedRange sqref="F13:I21" name="Alue1"/>
    <protectedRange sqref="F24:I26" name="Alue2"/>
    <protectedRange sqref="F28:I36" name="Alue3"/>
    <protectedRange sqref="F38:I44" name="Alue4"/>
  </protectedRanges>
  <pageMargins left="0.39370078740157483" right="0.39370078740157483" top="0.39370078740157483" bottom="0.39370078740157483" header="0.31496062992125984" footer="0.27559055118110237"/>
  <pageSetup paperSize="9" scale="65" orientation="portrait" verticalDpi="4294967293" r:id="rId1"/>
  <headerFooter alignWithMargins="0"/>
  <ignoredErrors>
    <ignoredError sqref="F2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C440A-D0BE-4E12-8C2A-7C068F1133AE}">
  <dimension ref="A1:IS33"/>
  <sheetViews>
    <sheetView workbookViewId="0">
      <selection activeCell="C9" sqref="C9"/>
    </sheetView>
  </sheetViews>
  <sheetFormatPr defaultRowHeight="12.5" x14ac:dyDescent="0.25"/>
  <cols>
    <col min="1" max="1" width="32.7265625" customWidth="1"/>
    <col min="3" max="3" width="15.7265625" customWidth="1"/>
    <col min="4" max="6" width="9.7265625" bestFit="1" customWidth="1"/>
    <col min="8" max="8" width="9.26953125" customWidth="1"/>
  </cols>
  <sheetData>
    <row r="1" spans="1:253" s="262" customFormat="1" ht="15" customHeight="1" x14ac:dyDescent="0.3">
      <c r="A1" s="245" t="s">
        <v>200</v>
      </c>
      <c r="B1" s="258"/>
      <c r="C1" s="263" t="s">
        <v>320</v>
      </c>
    </row>
    <row r="2" spans="1:253" s="263" customFormat="1" ht="15" customHeight="1" x14ac:dyDescent="0.3">
      <c r="A2" s="264" t="s">
        <v>201</v>
      </c>
      <c r="B2" s="265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  <c r="IR2" s="262"/>
      <c r="IS2" s="262"/>
    </row>
    <row r="3" spans="1:253" s="262" customFormat="1" ht="15" customHeight="1" x14ac:dyDescent="0.3">
      <c r="A3" s="267"/>
      <c r="B3" s="268"/>
    </row>
    <row r="4" spans="1:253" s="262" customFormat="1" ht="15" customHeight="1" x14ac:dyDescent="0.3">
      <c r="A4" s="270"/>
      <c r="B4" s="271"/>
      <c r="C4" s="272"/>
    </row>
    <row r="5" spans="1:253" s="262" customFormat="1" ht="15" customHeight="1" x14ac:dyDescent="0.3">
      <c r="A5" s="245" t="s">
        <v>41</v>
      </c>
      <c r="B5" s="258"/>
      <c r="C5" s="260">
        <v>2024</v>
      </c>
      <c r="D5" s="261">
        <v>2025</v>
      </c>
      <c r="E5" s="261">
        <v>2026</v>
      </c>
      <c r="F5" s="261">
        <v>2027</v>
      </c>
      <c r="G5" s="261"/>
    </row>
    <row r="6" spans="1:253" ht="14.5" x14ac:dyDescent="0.35">
      <c r="A6" s="55" t="s">
        <v>322</v>
      </c>
      <c r="B6" s="56"/>
      <c r="C6" s="56"/>
      <c r="D6" s="56"/>
      <c r="E6" s="56"/>
      <c r="F6" s="56"/>
      <c r="G6" s="56"/>
    </row>
    <row r="7" spans="1:253" ht="14.5" x14ac:dyDescent="0.35">
      <c r="A7" s="56"/>
      <c r="B7" s="56"/>
      <c r="C7" s="56"/>
      <c r="D7" s="56"/>
      <c r="E7" s="56"/>
      <c r="F7" s="56"/>
      <c r="G7" s="56"/>
      <c r="H7" s="56"/>
      <c r="I7" s="56"/>
      <c r="J7" s="56"/>
    </row>
    <row r="8" spans="1:253" ht="14.5" x14ac:dyDescent="0.35">
      <c r="A8" s="45" t="s">
        <v>323</v>
      </c>
      <c r="B8" s="56"/>
      <c r="C8" s="121"/>
      <c r="D8" s="121"/>
      <c r="E8" s="121"/>
      <c r="F8" s="121"/>
      <c r="G8" s="56"/>
      <c r="I8" s="56"/>
      <c r="J8" s="56"/>
    </row>
    <row r="9" spans="1:253" ht="14.5" x14ac:dyDescent="0.35">
      <c r="A9" s="45" t="s">
        <v>303</v>
      </c>
      <c r="B9" s="56"/>
      <c r="C9" s="409">
        <f>Tuloslaskelma!F13</f>
        <v>0</v>
      </c>
      <c r="D9" s="120">
        <f>Tuloslaskelma!G13</f>
        <v>0</v>
      </c>
      <c r="E9" s="120">
        <f>Tuloslaskelma!H13</f>
        <v>0</v>
      </c>
      <c r="F9" s="120">
        <f>Tuloslaskelma!I13</f>
        <v>0</v>
      </c>
      <c r="H9" s="56"/>
      <c r="I9" s="56"/>
      <c r="J9" s="56"/>
    </row>
    <row r="10" spans="1:253" ht="101.5" x14ac:dyDescent="0.35">
      <c r="A10" s="45" t="s">
        <v>324</v>
      </c>
      <c r="C10" s="410">
        <f>0.01*(C9+D9+E9+F9)</f>
        <v>0</v>
      </c>
    </row>
    <row r="11" spans="1:253" ht="14.5" x14ac:dyDescent="0.35">
      <c r="A11" s="56"/>
      <c r="B11" s="56"/>
      <c r="C11" s="56"/>
      <c r="D11" s="56"/>
      <c r="E11" s="56"/>
      <c r="F11" s="56"/>
      <c r="G11" s="56"/>
      <c r="H11" s="56"/>
      <c r="I11" s="56"/>
      <c r="J11" s="56"/>
    </row>
    <row r="12" spans="1:253" ht="43.5" x14ac:dyDescent="0.35">
      <c r="A12" s="45" t="s">
        <v>368</v>
      </c>
      <c r="B12" s="56"/>
      <c r="C12" s="120">
        <f>IF((C8+D8+E8+F8)&lt;=C10,(C8),(FALSE))</f>
        <v>0</v>
      </c>
      <c r="D12" s="120">
        <f>IF((D8+E8+F8+C8)&lt;=C10,(D8),(FALSE))</f>
        <v>0</v>
      </c>
      <c r="E12" s="120">
        <f>IF((E8+F8+C8+D8)&lt;=C10,(E8),(FALSE))</f>
        <v>0</v>
      </c>
      <c r="F12" s="120">
        <f>IF((F8+C8+D8+E8)&lt;=C10,(F8),(FALSE))</f>
        <v>0</v>
      </c>
      <c r="G12" s="56"/>
      <c r="H12" s="56"/>
      <c r="I12" s="56"/>
      <c r="J12" s="56"/>
    </row>
    <row r="13" spans="1:253" ht="14.5" x14ac:dyDescent="0.35">
      <c r="A13" s="57" t="s">
        <v>115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253" ht="14.5" x14ac:dyDescent="0.35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253" ht="14.5" x14ac:dyDescent="0.35">
      <c r="A15" s="56"/>
      <c r="B15" s="56"/>
      <c r="C15" s="56"/>
      <c r="D15" s="56"/>
      <c r="E15" s="56"/>
      <c r="F15" s="56"/>
      <c r="G15" s="56"/>
      <c r="H15" s="56"/>
      <c r="I15" s="56"/>
      <c r="J15" s="56"/>
    </row>
    <row r="16" spans="1:253" ht="14.5" x14ac:dyDescent="0.35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7" spans="1:10" ht="14.5" x14ac:dyDescent="0.35">
      <c r="A17" s="56"/>
      <c r="B17" s="56"/>
      <c r="C17" s="56"/>
      <c r="D17" s="56"/>
      <c r="E17" s="56"/>
      <c r="F17" s="56"/>
      <c r="G17" s="56"/>
      <c r="H17" s="56"/>
      <c r="I17" s="56"/>
      <c r="J17" s="56"/>
    </row>
    <row r="18" spans="1:10" ht="14.5" x14ac:dyDescent="0.35">
      <c r="A18" s="56"/>
      <c r="B18" s="56"/>
      <c r="C18" s="56"/>
      <c r="D18" s="56"/>
      <c r="E18" s="56"/>
      <c r="F18" s="56"/>
      <c r="G18" s="56"/>
      <c r="H18" s="56"/>
      <c r="I18" s="56"/>
      <c r="J18" s="56"/>
    </row>
    <row r="19" spans="1:10" ht="14.5" x14ac:dyDescent="0.35">
      <c r="A19" s="56"/>
      <c r="B19" s="56"/>
      <c r="C19" s="56"/>
      <c r="D19" s="56"/>
      <c r="E19" s="56"/>
      <c r="F19" s="56"/>
      <c r="G19" s="56"/>
      <c r="H19" s="56"/>
      <c r="I19" s="56"/>
      <c r="J19" s="56"/>
    </row>
    <row r="20" spans="1:10" ht="14.5" x14ac:dyDescent="0.35">
      <c r="A20" s="56"/>
      <c r="B20" s="56"/>
      <c r="C20" s="56"/>
      <c r="D20" s="56"/>
      <c r="E20" s="56"/>
      <c r="F20" s="56"/>
      <c r="G20" s="56"/>
      <c r="H20" s="56"/>
      <c r="I20" s="56"/>
      <c r="J20" s="56"/>
    </row>
    <row r="21" spans="1:10" ht="14.5" x14ac:dyDescent="0.35">
      <c r="A21" s="56"/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14.5" x14ac:dyDescent="0.35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14.5" x14ac:dyDescent="0.35">
      <c r="G23" s="56"/>
      <c r="H23" s="56"/>
      <c r="I23" s="56"/>
      <c r="J23" s="56"/>
    </row>
    <row r="24" spans="1:10" ht="14.5" x14ac:dyDescent="0.35">
      <c r="G24" s="56"/>
      <c r="H24" s="56"/>
      <c r="I24" s="56"/>
      <c r="J24" s="56"/>
    </row>
    <row r="25" spans="1:10" ht="14.5" x14ac:dyDescent="0.35">
      <c r="G25" s="56"/>
      <c r="H25" s="56"/>
      <c r="I25" s="56"/>
      <c r="J25" s="56"/>
    </row>
    <row r="26" spans="1:10" ht="14.5" x14ac:dyDescent="0.35">
      <c r="G26" s="56"/>
      <c r="H26" s="56"/>
      <c r="I26" s="56"/>
      <c r="J26" s="56"/>
    </row>
    <row r="27" spans="1:10" ht="14.5" x14ac:dyDescent="0.35">
      <c r="G27" s="56"/>
      <c r="H27" s="56"/>
      <c r="I27" s="56"/>
      <c r="J27" s="56"/>
    </row>
    <row r="28" spans="1:10" ht="14.5" x14ac:dyDescent="0.35">
      <c r="G28" s="56"/>
      <c r="H28" s="56"/>
      <c r="I28" s="56"/>
      <c r="J28" s="56"/>
    </row>
    <row r="29" spans="1:10" ht="14.5" x14ac:dyDescent="0.35">
      <c r="G29" s="56"/>
      <c r="H29" s="56"/>
      <c r="I29" s="56"/>
      <c r="J29" s="56"/>
    </row>
    <row r="30" spans="1:10" ht="14.5" x14ac:dyDescent="0.35">
      <c r="G30" s="56"/>
      <c r="H30" s="56"/>
      <c r="I30" s="56"/>
      <c r="J30" s="56"/>
    </row>
    <row r="31" spans="1:10" ht="14.5" x14ac:dyDescent="0.35">
      <c r="G31" s="56"/>
      <c r="H31" s="56"/>
      <c r="I31" s="56"/>
      <c r="J31" s="56"/>
    </row>
    <row r="32" spans="1:10" ht="14.5" x14ac:dyDescent="0.35">
      <c r="G32" s="56"/>
      <c r="H32" s="56"/>
      <c r="I32" s="56"/>
      <c r="J32" s="56"/>
    </row>
    <row r="33" spans="7:10" ht="14.5" x14ac:dyDescent="0.35">
      <c r="G33" s="56"/>
      <c r="H33" s="56"/>
      <c r="I33" s="56"/>
      <c r="J33" s="56"/>
    </row>
  </sheetData>
  <protectedRanges>
    <protectedRange sqref="C8:F8" name="Alue1"/>
  </protectedRanges>
  <hyperlinks>
    <hyperlink ref="C1" location="Täyttöohje!A503" display="Innovaatiokannustin" xr:uid="{C1B6A839-5F67-4668-AF8F-935FFBD686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V91"/>
  <sheetViews>
    <sheetView showGridLines="0" zoomScaleNormal="80" workbookViewId="0">
      <pane ySplit="5" topLeftCell="A6" activePane="bottomLeft" state="frozen"/>
      <selection activeCell="J20" sqref="J20"/>
      <selection pane="bottomLeft"/>
    </sheetView>
  </sheetViews>
  <sheetFormatPr defaultColWidth="9.26953125" defaultRowHeight="15" customHeight="1" x14ac:dyDescent="0.25"/>
  <cols>
    <col min="1" max="1" width="4.26953125" style="209" customWidth="1"/>
    <col min="2" max="2" width="4.453125" style="201" customWidth="1"/>
    <col min="3" max="3" width="6.54296875" style="201" customWidth="1"/>
    <col min="4" max="4" width="6" style="201" customWidth="1"/>
    <col min="5" max="5" width="50.26953125" style="201" customWidth="1"/>
    <col min="6" max="6" width="16.26953125" style="179" customWidth="1"/>
    <col min="7" max="7" width="14.7265625" style="179" customWidth="1"/>
    <col min="8" max="8" width="15.54296875" style="179" customWidth="1"/>
    <col min="9" max="9" width="15" style="179" customWidth="1"/>
    <col min="10" max="10" width="78.26953125" style="141" customWidth="1"/>
    <col min="11" max="24" width="9.26953125" style="179"/>
    <col min="25" max="16384" width="9.26953125" style="195"/>
  </cols>
  <sheetData>
    <row r="1" spans="1:256" s="262" customFormat="1" ht="15" customHeight="1" x14ac:dyDescent="0.3">
      <c r="A1" s="245" t="s">
        <v>200</v>
      </c>
      <c r="B1" s="258"/>
      <c r="C1" s="258"/>
      <c r="D1" s="259"/>
      <c r="E1" s="259"/>
      <c r="F1" s="263" t="s">
        <v>198</v>
      </c>
    </row>
    <row r="2" spans="1:256" s="263" customFormat="1" ht="15" customHeight="1" x14ac:dyDescent="0.3">
      <c r="A2" s="264" t="s">
        <v>201</v>
      </c>
      <c r="B2" s="265"/>
      <c r="C2" s="266"/>
      <c r="D2" s="266"/>
      <c r="E2" s="266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  <c r="IR2" s="262"/>
      <c r="IS2" s="262"/>
      <c r="IT2" s="262"/>
      <c r="IU2" s="262"/>
      <c r="IV2" s="262"/>
    </row>
    <row r="3" spans="1:256" s="262" customFormat="1" ht="15" customHeight="1" x14ac:dyDescent="0.3">
      <c r="A3" s="267"/>
      <c r="B3" s="268"/>
      <c r="C3" s="269"/>
      <c r="D3" s="259"/>
      <c r="E3" s="259"/>
    </row>
    <row r="4" spans="1:256" s="262" customFormat="1" ht="15" customHeight="1" x14ac:dyDescent="0.3">
      <c r="A4" s="270"/>
      <c r="B4" s="271"/>
      <c r="D4" s="259"/>
      <c r="E4" s="259"/>
      <c r="F4" s="272"/>
    </row>
    <row r="5" spans="1:256" s="262" customFormat="1" ht="15" customHeight="1" x14ac:dyDescent="0.3">
      <c r="A5" s="245" t="s">
        <v>41</v>
      </c>
      <c r="B5" s="258"/>
      <c r="C5" s="258"/>
      <c r="D5" s="259"/>
      <c r="E5" s="259"/>
      <c r="F5" s="260">
        <v>2024</v>
      </c>
      <c r="G5" s="261">
        <v>2025</v>
      </c>
      <c r="H5" s="261">
        <v>2026</v>
      </c>
      <c r="I5" s="261">
        <v>2027</v>
      </c>
      <c r="J5" s="261" t="s">
        <v>145</v>
      </c>
    </row>
    <row r="6" spans="1:256" s="179" customFormat="1" ht="15" customHeight="1" x14ac:dyDescent="0.35">
      <c r="C6" s="181"/>
      <c r="D6" s="182"/>
      <c r="E6" s="182"/>
      <c r="F6" s="183"/>
      <c r="G6" s="180"/>
      <c r="H6" s="180"/>
      <c r="I6" s="180"/>
      <c r="J6" s="81"/>
      <c r="K6" s="180"/>
    </row>
    <row r="7" spans="1:256" s="179" customFormat="1" ht="15" customHeight="1" x14ac:dyDescent="0.45">
      <c r="C7" s="181"/>
      <c r="D7" s="182"/>
      <c r="E7" s="184"/>
      <c r="F7" s="183"/>
      <c r="G7" s="180"/>
      <c r="H7" s="180"/>
      <c r="I7" s="180"/>
      <c r="J7" s="81"/>
      <c r="K7" s="180"/>
    </row>
    <row r="8" spans="1:256" s="192" customFormat="1" ht="15" customHeight="1" x14ac:dyDescent="0.35">
      <c r="A8" s="186"/>
      <c r="B8" s="187"/>
      <c r="C8" s="188"/>
      <c r="D8" s="189"/>
      <c r="E8" s="189"/>
      <c r="F8" s="190" t="s">
        <v>127</v>
      </c>
      <c r="G8" s="190" t="s">
        <v>127</v>
      </c>
      <c r="H8" s="190" t="s">
        <v>127</v>
      </c>
      <c r="I8" s="190" t="s">
        <v>127</v>
      </c>
      <c r="J8" s="51"/>
      <c r="K8" s="191"/>
    </row>
    <row r="9" spans="1:256" ht="15" customHeight="1" x14ac:dyDescent="0.35">
      <c r="A9" s="99" t="s">
        <v>129</v>
      </c>
      <c r="B9" s="104" t="s">
        <v>1</v>
      </c>
      <c r="C9" s="193"/>
      <c r="D9" s="193"/>
      <c r="E9" s="193"/>
      <c r="F9" s="194">
        <f>F10+F17+F22</f>
        <v>0</v>
      </c>
      <c r="G9" s="194">
        <f>G10+G17+G22</f>
        <v>0</v>
      </c>
      <c r="H9" s="194">
        <f>H10+H17+H22</f>
        <v>0</v>
      </c>
      <c r="I9" s="194">
        <f>I10+I17+I22</f>
        <v>0</v>
      </c>
      <c r="J9" s="151"/>
      <c r="K9" s="180"/>
    </row>
    <row r="10" spans="1:256" ht="15" customHeight="1" x14ac:dyDescent="0.35">
      <c r="A10" s="99" t="s">
        <v>129</v>
      </c>
      <c r="B10" s="101" t="s">
        <v>130</v>
      </c>
      <c r="C10" s="193"/>
      <c r="D10" s="193"/>
      <c r="E10" s="193"/>
      <c r="F10" s="196">
        <f>SUM(F11:F12)+F14+F16</f>
        <v>0</v>
      </c>
      <c r="G10" s="196">
        <f>SUM(G11:G12)+G14+G16</f>
        <v>0</v>
      </c>
      <c r="H10" s="196">
        <f>SUM(H11:H12)+H14+H16</f>
        <v>0</v>
      </c>
      <c r="I10" s="196">
        <f>SUM(I11:I12)+I14+I16</f>
        <v>0</v>
      </c>
      <c r="J10" s="151"/>
      <c r="K10" s="180"/>
    </row>
    <row r="11" spans="1:256" ht="15" customHeight="1" x14ac:dyDescent="0.35">
      <c r="A11" s="99"/>
      <c r="B11" s="197" t="s">
        <v>15</v>
      </c>
      <c r="C11" s="56" t="s">
        <v>16</v>
      </c>
      <c r="D11" s="193"/>
      <c r="E11" s="193"/>
      <c r="F11" s="198"/>
      <c r="G11" s="198"/>
      <c r="H11" s="198"/>
      <c r="I11" s="198"/>
      <c r="J11" s="151"/>
      <c r="K11" s="180"/>
    </row>
    <row r="12" spans="1:256" ht="15" customHeight="1" x14ac:dyDescent="0.35">
      <c r="A12" s="99"/>
      <c r="B12" s="197" t="s">
        <v>15</v>
      </c>
      <c r="C12" s="56" t="s">
        <v>47</v>
      </c>
      <c r="D12" s="193"/>
      <c r="E12" s="193"/>
      <c r="F12" s="85"/>
      <c r="G12" s="85"/>
      <c r="H12" s="85"/>
      <c r="I12" s="85"/>
      <c r="J12" s="151"/>
      <c r="K12" s="180"/>
    </row>
    <row r="13" spans="1:256" ht="15" customHeight="1" x14ac:dyDescent="0.35">
      <c r="A13" s="99"/>
      <c r="B13" s="197"/>
      <c r="C13" s="56"/>
      <c r="D13" s="106" t="s">
        <v>132</v>
      </c>
      <c r="E13" s="193"/>
      <c r="F13" s="85"/>
      <c r="G13" s="85"/>
      <c r="H13" s="85"/>
      <c r="I13" s="85"/>
      <c r="J13" s="151"/>
      <c r="K13" s="180"/>
    </row>
    <row r="14" spans="1:256" ht="15" customHeight="1" x14ac:dyDescent="0.35">
      <c r="A14" s="99"/>
      <c r="B14" s="197" t="s">
        <v>15</v>
      </c>
      <c r="C14" s="102" t="s">
        <v>48</v>
      </c>
      <c r="D14" s="193"/>
      <c r="E14" s="193"/>
      <c r="F14" s="85"/>
      <c r="G14" s="85"/>
      <c r="H14" s="85"/>
      <c r="I14" s="85"/>
      <c r="J14" s="151"/>
      <c r="K14" s="180"/>
    </row>
    <row r="15" spans="1:256" s="179" customFormat="1" ht="14.5" x14ac:dyDescent="0.35">
      <c r="A15" s="99"/>
      <c r="B15" s="197"/>
      <c r="D15" s="57" t="s">
        <v>131</v>
      </c>
      <c r="E15" s="193"/>
      <c r="F15" s="103"/>
      <c r="G15" s="103"/>
      <c r="H15" s="103"/>
      <c r="I15" s="103"/>
      <c r="J15" s="151"/>
      <c r="K15" s="180"/>
    </row>
    <row r="16" spans="1:256" ht="15" customHeight="1" x14ac:dyDescent="0.35">
      <c r="A16" s="99"/>
      <c r="B16" s="197" t="s">
        <v>15</v>
      </c>
      <c r="C16" s="102" t="s">
        <v>94</v>
      </c>
      <c r="D16" s="193"/>
      <c r="E16" s="193"/>
      <c r="F16" s="85"/>
      <c r="G16" s="85"/>
      <c r="H16" s="85"/>
      <c r="I16" s="85"/>
      <c r="J16" s="151"/>
      <c r="K16" s="180"/>
    </row>
    <row r="17" spans="1:11" ht="15" customHeight="1" x14ac:dyDescent="0.35">
      <c r="A17" s="99" t="s">
        <v>129</v>
      </c>
      <c r="B17" s="199" t="s">
        <v>137</v>
      </c>
      <c r="C17" s="200"/>
      <c r="D17" s="193"/>
      <c r="E17" s="193"/>
      <c r="F17" s="196">
        <f>SUM(F18+F19+F21)</f>
        <v>0</v>
      </c>
      <c r="G17" s="196">
        <f>SUM(G18+G19+G21)</f>
        <v>0</v>
      </c>
      <c r="H17" s="196">
        <f>SUM(H18+H19+H21)</f>
        <v>0</v>
      </c>
      <c r="I17" s="196">
        <f>SUM(I18+I19+I21)</f>
        <v>0</v>
      </c>
      <c r="J17" s="151"/>
      <c r="K17" s="180"/>
    </row>
    <row r="18" spans="1:11" ht="15" customHeight="1" x14ac:dyDescent="0.35">
      <c r="A18" s="99"/>
      <c r="B18" s="197" t="s">
        <v>15</v>
      </c>
      <c r="C18" s="56" t="s">
        <v>49</v>
      </c>
      <c r="D18" s="193"/>
      <c r="E18" s="193"/>
      <c r="F18" s="85"/>
      <c r="G18" s="85"/>
      <c r="H18" s="85"/>
      <c r="I18" s="85"/>
      <c r="J18" s="151"/>
      <c r="K18" s="180"/>
    </row>
    <row r="19" spans="1:11" ht="15" customHeight="1" x14ac:dyDescent="0.35">
      <c r="A19" s="99"/>
      <c r="B19" s="197" t="s">
        <v>15</v>
      </c>
      <c r="C19" s="102" t="s">
        <v>50</v>
      </c>
      <c r="D19" s="193"/>
      <c r="E19" s="193"/>
      <c r="F19" s="85"/>
      <c r="G19" s="85"/>
      <c r="H19" s="85"/>
      <c r="I19" s="85"/>
      <c r="J19" s="151"/>
      <c r="K19" s="180"/>
    </row>
    <row r="20" spans="1:11" ht="14.5" x14ac:dyDescent="0.35">
      <c r="A20" s="99"/>
      <c r="B20" s="197"/>
      <c r="D20" s="57" t="s">
        <v>133</v>
      </c>
      <c r="E20" s="193"/>
      <c r="F20" s="85"/>
      <c r="G20" s="85"/>
      <c r="H20" s="85"/>
      <c r="I20" s="85"/>
      <c r="J20" s="151"/>
      <c r="K20" s="180"/>
    </row>
    <row r="21" spans="1:11" ht="15" customHeight="1" x14ac:dyDescent="0.35">
      <c r="A21" s="99"/>
      <c r="B21" s="197" t="s">
        <v>15</v>
      </c>
      <c r="C21" s="102" t="s">
        <v>53</v>
      </c>
      <c r="D21" s="193"/>
      <c r="E21" s="193"/>
      <c r="F21" s="85"/>
      <c r="G21" s="85"/>
      <c r="H21" s="85"/>
      <c r="I21" s="85"/>
      <c r="J21" s="151"/>
      <c r="K21" s="180"/>
    </row>
    <row r="22" spans="1:11" ht="15" customHeight="1" x14ac:dyDescent="0.35">
      <c r="A22" s="99" t="s">
        <v>15</v>
      </c>
      <c r="B22" s="100" t="s">
        <v>2</v>
      </c>
      <c r="C22" s="193"/>
      <c r="D22" s="193"/>
      <c r="E22" s="193"/>
      <c r="F22" s="198"/>
      <c r="G22" s="198"/>
      <c r="H22" s="198"/>
      <c r="I22" s="198"/>
      <c r="J22" s="151"/>
      <c r="K22" s="180"/>
    </row>
    <row r="23" spans="1:11" ht="15" customHeight="1" x14ac:dyDescent="0.35">
      <c r="A23" s="99" t="s">
        <v>129</v>
      </c>
      <c r="B23" s="105" t="s">
        <v>3</v>
      </c>
      <c r="C23" s="202"/>
      <c r="D23" s="193"/>
      <c r="E23" s="193"/>
      <c r="F23" s="107">
        <f>F24+F26+F35+F36</f>
        <v>0</v>
      </c>
      <c r="G23" s="107">
        <f>G24+G26+G35+G36</f>
        <v>0</v>
      </c>
      <c r="H23" s="107">
        <f>H24+H26+H35+H36</f>
        <v>0</v>
      </c>
      <c r="I23" s="107">
        <f>I24+I26+I35+I36</f>
        <v>0</v>
      </c>
      <c r="J23" s="151"/>
      <c r="K23" s="180"/>
    </row>
    <row r="24" spans="1:11" ht="15" customHeight="1" x14ac:dyDescent="0.35">
      <c r="A24" s="99" t="s">
        <v>15</v>
      </c>
      <c r="B24" s="102" t="s">
        <v>4</v>
      </c>
      <c r="C24" s="202"/>
      <c r="D24" s="193"/>
      <c r="E24" s="193"/>
      <c r="F24" s="85"/>
      <c r="G24" s="85"/>
      <c r="H24" s="85"/>
      <c r="I24" s="85"/>
      <c r="J24" s="151"/>
      <c r="K24" s="180"/>
    </row>
    <row r="25" spans="1:11" ht="15" customHeight="1" x14ac:dyDescent="0.35">
      <c r="A25" s="99"/>
      <c r="B25" s="102"/>
      <c r="C25" s="202"/>
      <c r="D25" s="193" t="s">
        <v>370</v>
      </c>
      <c r="E25" s="193"/>
      <c r="F25" s="85"/>
      <c r="G25" s="85"/>
      <c r="H25" s="85"/>
      <c r="I25" s="85"/>
      <c r="J25" s="151"/>
      <c r="K25" s="180"/>
    </row>
    <row r="26" spans="1:11" ht="15" customHeight="1" x14ac:dyDescent="0.35">
      <c r="A26" s="99" t="s">
        <v>129</v>
      </c>
      <c r="B26" s="57" t="s">
        <v>17</v>
      </c>
      <c r="C26" s="202"/>
      <c r="D26" s="193"/>
      <c r="E26" s="193"/>
      <c r="F26" s="87">
        <f>F27+F31</f>
        <v>0</v>
      </c>
      <c r="G26" s="87">
        <f t="shared" ref="G26:I26" si="0">G27+G31</f>
        <v>0</v>
      </c>
      <c r="H26" s="87">
        <f t="shared" si="0"/>
        <v>0</v>
      </c>
      <c r="I26" s="87">
        <f t="shared" si="0"/>
        <v>0</v>
      </c>
      <c r="J26" s="151"/>
      <c r="K26" s="180"/>
    </row>
    <row r="27" spans="1:11" ht="15" customHeight="1" x14ac:dyDescent="0.35">
      <c r="A27" s="99"/>
      <c r="B27" s="203" t="s">
        <v>129</v>
      </c>
      <c r="C27" s="144" t="s">
        <v>60</v>
      </c>
      <c r="D27" s="193"/>
      <c r="E27" s="193"/>
      <c r="F27" s="107">
        <f>SUM(F28:F30)</f>
        <v>0</v>
      </c>
      <c r="G27" s="107">
        <f t="shared" ref="G27:I27" si="1">SUM(G28:G30)</f>
        <v>0</v>
      </c>
      <c r="H27" s="107">
        <f t="shared" si="1"/>
        <v>0</v>
      </c>
      <c r="I27" s="107">
        <f t="shared" si="1"/>
        <v>0</v>
      </c>
      <c r="J27" s="151"/>
      <c r="K27" s="180"/>
    </row>
    <row r="28" spans="1:11" ht="15" customHeight="1" x14ac:dyDescent="0.35">
      <c r="A28" s="99"/>
      <c r="B28" s="197"/>
      <c r="C28" s="204" t="s">
        <v>15</v>
      </c>
      <c r="D28" s="106" t="s">
        <v>75</v>
      </c>
      <c r="E28" s="193"/>
      <c r="F28" s="85"/>
      <c r="G28" s="92"/>
      <c r="H28" s="92"/>
      <c r="I28" s="92"/>
      <c r="J28" s="151"/>
      <c r="K28" s="180"/>
    </row>
    <row r="29" spans="1:11" ht="15" customHeight="1" x14ac:dyDescent="0.35">
      <c r="A29" s="99"/>
      <c r="B29" s="197"/>
      <c r="C29" s="204" t="s">
        <v>15</v>
      </c>
      <c r="D29" s="106" t="s">
        <v>76</v>
      </c>
      <c r="E29" s="193"/>
      <c r="F29" s="85"/>
      <c r="G29" s="92"/>
      <c r="H29" s="92"/>
      <c r="I29" s="92"/>
      <c r="J29" s="151"/>
      <c r="K29" s="180"/>
    </row>
    <row r="30" spans="1:11" ht="15" customHeight="1" x14ac:dyDescent="0.35">
      <c r="A30" s="99"/>
      <c r="B30" s="197"/>
      <c r="C30" s="204" t="s">
        <v>15</v>
      </c>
      <c r="D30" s="106" t="s">
        <v>77</v>
      </c>
      <c r="E30" s="193"/>
      <c r="F30" s="85"/>
      <c r="G30" s="85"/>
      <c r="H30" s="85"/>
      <c r="I30" s="85"/>
      <c r="J30" s="151"/>
      <c r="K30" s="180"/>
    </row>
    <row r="31" spans="1:11" ht="15" customHeight="1" x14ac:dyDescent="0.35">
      <c r="A31" s="205"/>
      <c r="B31" s="142" t="s">
        <v>129</v>
      </c>
      <c r="C31" s="206" t="s">
        <v>61</v>
      </c>
      <c r="D31" s="193"/>
      <c r="E31" s="193"/>
      <c r="F31" s="107">
        <f>SUM(F32:F34)</f>
        <v>0</v>
      </c>
      <c r="G31" s="107">
        <f t="shared" ref="G31:I31" si="2">SUM(G32:G34)</f>
        <v>0</v>
      </c>
      <c r="H31" s="107">
        <f t="shared" si="2"/>
        <v>0</v>
      </c>
      <c r="I31" s="107">
        <f t="shared" si="2"/>
        <v>0</v>
      </c>
      <c r="J31" s="151"/>
      <c r="K31" s="180"/>
    </row>
    <row r="32" spans="1:11" ht="15" customHeight="1" x14ac:dyDescent="0.35">
      <c r="A32" s="99"/>
      <c r="B32" s="205"/>
      <c r="C32" s="197" t="s">
        <v>15</v>
      </c>
      <c r="D32" s="106" t="s">
        <v>75</v>
      </c>
      <c r="E32" s="193"/>
      <c r="F32" s="85"/>
      <c r="G32" s="85"/>
      <c r="H32" s="85"/>
      <c r="I32" s="85"/>
      <c r="J32" s="151"/>
      <c r="K32" s="180"/>
    </row>
    <row r="33" spans="1:11" ht="15" customHeight="1" x14ac:dyDescent="0.35">
      <c r="A33" s="99"/>
      <c r="B33" s="205"/>
      <c r="C33" s="197" t="s">
        <v>15</v>
      </c>
      <c r="D33" s="106" t="s">
        <v>76</v>
      </c>
      <c r="E33" s="193"/>
      <c r="F33" s="85"/>
      <c r="G33" s="85"/>
      <c r="H33" s="85"/>
      <c r="I33" s="85"/>
      <c r="J33" s="151"/>
      <c r="K33" s="180"/>
    </row>
    <row r="34" spans="1:11" ht="15" customHeight="1" x14ac:dyDescent="0.35">
      <c r="A34" s="99"/>
      <c r="B34" s="205"/>
      <c r="C34" s="197" t="s">
        <v>15</v>
      </c>
      <c r="D34" s="106" t="s">
        <v>77</v>
      </c>
      <c r="E34" s="193"/>
      <c r="F34" s="85"/>
      <c r="G34" s="85"/>
      <c r="H34" s="85"/>
      <c r="I34" s="85"/>
      <c r="J34" s="151"/>
      <c r="K34" s="180"/>
    </row>
    <row r="35" spans="1:11" ht="15" customHeight="1" x14ac:dyDescent="0.35">
      <c r="A35" s="99" t="s">
        <v>15</v>
      </c>
      <c r="B35" s="102" t="s">
        <v>5</v>
      </c>
      <c r="C35" s="193"/>
      <c r="D35" s="193"/>
      <c r="E35" s="193"/>
      <c r="F35" s="85"/>
      <c r="G35" s="91"/>
      <c r="H35" s="91"/>
      <c r="I35" s="91"/>
      <c r="J35" s="151"/>
      <c r="K35" s="180"/>
    </row>
    <row r="36" spans="1:11" ht="15" customHeight="1" x14ac:dyDescent="0.35">
      <c r="A36" s="99" t="s">
        <v>15</v>
      </c>
      <c r="B36" s="102" t="s">
        <v>7</v>
      </c>
      <c r="C36" s="193"/>
      <c r="D36" s="193"/>
      <c r="E36" s="193"/>
      <c r="F36" s="198"/>
      <c r="G36" s="198"/>
      <c r="H36" s="198"/>
      <c r="I36" s="198"/>
      <c r="J36" s="151"/>
      <c r="K36" s="180"/>
    </row>
    <row r="37" spans="1:11" ht="15" customHeight="1" x14ac:dyDescent="0.35">
      <c r="A37" s="99" t="s">
        <v>129</v>
      </c>
      <c r="B37" s="105" t="s">
        <v>6</v>
      </c>
      <c r="C37" s="193"/>
      <c r="D37" s="193"/>
      <c r="E37" s="193"/>
      <c r="F37" s="87">
        <f>F9+F23</f>
        <v>0</v>
      </c>
      <c r="G37" s="87">
        <f>G9+G23</f>
        <v>0</v>
      </c>
      <c r="H37" s="87">
        <f>H9+H23</f>
        <v>0</v>
      </c>
      <c r="I37" s="87">
        <f>I9+I23</f>
        <v>0</v>
      </c>
      <c r="J37" s="151"/>
      <c r="K37" s="180"/>
    </row>
    <row r="38" spans="1:11" ht="15" customHeight="1" x14ac:dyDescent="0.35">
      <c r="A38" s="197"/>
      <c r="B38" s="193"/>
      <c r="C38" s="193"/>
      <c r="D38" s="193"/>
      <c r="E38" s="193"/>
      <c r="F38" s="180"/>
      <c r="G38" s="180"/>
      <c r="H38" s="180"/>
      <c r="I38" s="180"/>
      <c r="J38" s="207"/>
      <c r="K38" s="180"/>
    </row>
    <row r="39" spans="1:11" ht="15" customHeight="1" x14ac:dyDescent="0.35">
      <c r="A39" s="99"/>
      <c r="B39" s="193"/>
      <c r="C39" s="193"/>
      <c r="D39" s="193"/>
      <c r="E39" s="193"/>
      <c r="F39" s="180"/>
      <c r="G39" s="180"/>
      <c r="H39" s="180"/>
      <c r="I39" s="180"/>
      <c r="J39" s="207"/>
      <c r="K39" s="180"/>
    </row>
    <row r="40" spans="1:11" ht="15" customHeight="1" x14ac:dyDescent="0.35">
      <c r="A40" s="99"/>
      <c r="B40" s="100"/>
      <c r="C40" s="193"/>
      <c r="D40" s="193"/>
      <c r="E40" s="193"/>
      <c r="F40" s="180"/>
      <c r="G40" s="180"/>
      <c r="H40" s="180"/>
      <c r="I40" s="180"/>
      <c r="J40" s="207"/>
      <c r="K40" s="180"/>
    </row>
    <row r="41" spans="1:11" ht="15" customHeight="1" x14ac:dyDescent="0.35">
      <c r="A41" s="99"/>
      <c r="B41" s="193"/>
      <c r="C41" s="193"/>
      <c r="D41" s="193"/>
      <c r="E41" s="193"/>
      <c r="F41" s="180"/>
      <c r="G41" s="180"/>
      <c r="H41" s="180"/>
      <c r="I41" s="180"/>
      <c r="J41" s="207"/>
      <c r="K41" s="180"/>
    </row>
    <row r="42" spans="1:11" ht="15" customHeight="1" x14ac:dyDescent="0.35">
      <c r="A42" s="99"/>
      <c r="B42" s="193"/>
      <c r="C42" s="193"/>
      <c r="D42" s="193"/>
      <c r="E42" s="193"/>
      <c r="F42" s="180"/>
      <c r="G42" s="180"/>
      <c r="H42" s="180"/>
      <c r="I42" s="180"/>
      <c r="J42" s="207"/>
      <c r="K42" s="180"/>
    </row>
    <row r="43" spans="1:11" ht="15" customHeight="1" x14ac:dyDescent="0.35">
      <c r="A43" s="208"/>
      <c r="J43" s="207"/>
    </row>
    <row r="44" spans="1:11" ht="15" customHeight="1" x14ac:dyDescent="0.35">
      <c r="A44" s="208"/>
      <c r="J44" s="207"/>
    </row>
    <row r="45" spans="1:11" ht="15" customHeight="1" x14ac:dyDescent="0.35">
      <c r="J45" s="207"/>
    </row>
    <row r="46" spans="1:11" ht="15" customHeight="1" x14ac:dyDescent="0.35">
      <c r="J46" s="207"/>
    </row>
    <row r="47" spans="1:11" ht="15" customHeight="1" x14ac:dyDescent="0.35">
      <c r="J47" s="207"/>
    </row>
    <row r="48" spans="1:11" ht="15" customHeight="1" x14ac:dyDescent="0.35">
      <c r="J48" s="207"/>
    </row>
    <row r="49" spans="10:10" ht="15" customHeight="1" x14ac:dyDescent="0.35">
      <c r="J49" s="207"/>
    </row>
    <row r="50" spans="10:10" ht="15" customHeight="1" x14ac:dyDescent="0.35">
      <c r="J50" s="207"/>
    </row>
    <row r="51" spans="10:10" ht="15" customHeight="1" x14ac:dyDescent="0.35">
      <c r="J51" s="207"/>
    </row>
    <row r="52" spans="10:10" ht="15" customHeight="1" x14ac:dyDescent="0.35">
      <c r="J52" s="207"/>
    </row>
    <row r="53" spans="10:10" ht="15" customHeight="1" x14ac:dyDescent="0.35">
      <c r="J53" s="207"/>
    </row>
    <row r="54" spans="10:10" ht="15" customHeight="1" x14ac:dyDescent="0.35">
      <c r="J54" s="207"/>
    </row>
    <row r="55" spans="10:10" ht="15" customHeight="1" x14ac:dyDescent="0.35">
      <c r="J55" s="207"/>
    </row>
    <row r="56" spans="10:10" ht="15" customHeight="1" x14ac:dyDescent="0.35">
      <c r="J56" s="207"/>
    </row>
    <row r="57" spans="10:10" ht="15" customHeight="1" x14ac:dyDescent="0.35">
      <c r="J57" s="207"/>
    </row>
    <row r="58" spans="10:10" ht="15" customHeight="1" x14ac:dyDescent="0.35">
      <c r="J58" s="207"/>
    </row>
    <row r="59" spans="10:10" ht="15" customHeight="1" x14ac:dyDescent="0.35">
      <c r="J59" s="207"/>
    </row>
    <row r="60" spans="10:10" ht="15" customHeight="1" x14ac:dyDescent="0.35">
      <c r="J60" s="207"/>
    </row>
    <row r="61" spans="10:10" ht="15" customHeight="1" x14ac:dyDescent="0.35">
      <c r="J61" s="207"/>
    </row>
    <row r="62" spans="10:10" ht="15" customHeight="1" x14ac:dyDescent="0.35">
      <c r="J62" s="207"/>
    </row>
    <row r="63" spans="10:10" ht="15" customHeight="1" x14ac:dyDescent="0.35">
      <c r="J63" s="207"/>
    </row>
    <row r="64" spans="10:10" ht="15" customHeight="1" x14ac:dyDescent="0.35">
      <c r="J64" s="207"/>
    </row>
    <row r="65" spans="10:10" ht="15" customHeight="1" x14ac:dyDescent="0.35">
      <c r="J65" s="207"/>
    </row>
    <row r="66" spans="10:10" ht="15" customHeight="1" x14ac:dyDescent="0.35">
      <c r="J66" s="207"/>
    </row>
    <row r="67" spans="10:10" ht="15" customHeight="1" x14ac:dyDescent="0.35">
      <c r="J67" s="207"/>
    </row>
    <row r="68" spans="10:10" ht="15" customHeight="1" x14ac:dyDescent="0.35">
      <c r="J68" s="207"/>
    </row>
    <row r="69" spans="10:10" ht="15" customHeight="1" x14ac:dyDescent="0.35">
      <c r="J69" s="207"/>
    </row>
    <row r="70" spans="10:10" ht="15" customHeight="1" x14ac:dyDescent="0.35">
      <c r="J70" s="207"/>
    </row>
    <row r="71" spans="10:10" ht="15" customHeight="1" x14ac:dyDescent="0.35">
      <c r="J71" s="207"/>
    </row>
    <row r="72" spans="10:10" ht="15" customHeight="1" x14ac:dyDescent="0.35">
      <c r="J72" s="207"/>
    </row>
    <row r="73" spans="10:10" ht="15" customHeight="1" x14ac:dyDescent="0.35">
      <c r="J73" s="207"/>
    </row>
    <row r="74" spans="10:10" ht="15" customHeight="1" x14ac:dyDescent="0.35">
      <c r="J74" s="207"/>
    </row>
    <row r="75" spans="10:10" ht="15" customHeight="1" x14ac:dyDescent="0.35">
      <c r="J75" s="207"/>
    </row>
    <row r="76" spans="10:10" ht="15" customHeight="1" x14ac:dyDescent="0.35">
      <c r="J76" s="207"/>
    </row>
    <row r="77" spans="10:10" ht="15" customHeight="1" x14ac:dyDescent="0.35">
      <c r="J77" s="207"/>
    </row>
    <row r="78" spans="10:10" ht="15" customHeight="1" x14ac:dyDescent="0.35">
      <c r="J78" s="207"/>
    </row>
    <row r="79" spans="10:10" ht="15" customHeight="1" x14ac:dyDescent="0.35">
      <c r="J79" s="207"/>
    </row>
    <row r="80" spans="10:10" ht="15" customHeight="1" x14ac:dyDescent="0.35">
      <c r="J80" s="207"/>
    </row>
    <row r="81" spans="10:10" ht="15" customHeight="1" x14ac:dyDescent="0.35">
      <c r="J81" s="207"/>
    </row>
    <row r="82" spans="10:10" ht="15" customHeight="1" x14ac:dyDescent="0.35">
      <c r="J82" s="207"/>
    </row>
    <row r="83" spans="10:10" ht="15" customHeight="1" x14ac:dyDescent="0.35">
      <c r="J83" s="207"/>
    </row>
    <row r="84" spans="10:10" ht="15" customHeight="1" x14ac:dyDescent="0.35">
      <c r="J84" s="207"/>
    </row>
    <row r="85" spans="10:10" ht="15" customHeight="1" x14ac:dyDescent="0.35">
      <c r="J85" s="207"/>
    </row>
    <row r="86" spans="10:10" ht="15" customHeight="1" x14ac:dyDescent="0.35">
      <c r="J86" s="207"/>
    </row>
    <row r="87" spans="10:10" ht="15" customHeight="1" x14ac:dyDescent="0.35">
      <c r="J87" s="207"/>
    </row>
    <row r="88" spans="10:10" ht="15" customHeight="1" x14ac:dyDescent="0.35">
      <c r="J88" s="207"/>
    </row>
    <row r="89" spans="10:10" ht="15" customHeight="1" x14ac:dyDescent="0.35">
      <c r="J89" s="81"/>
    </row>
    <row r="90" spans="10:10" ht="15" customHeight="1" x14ac:dyDescent="0.35">
      <c r="J90" s="81"/>
    </row>
    <row r="91" spans="10:10" ht="15" customHeight="1" x14ac:dyDescent="0.35">
      <c r="J91" s="81"/>
    </row>
  </sheetData>
  <protectedRanges>
    <protectedRange sqref="F32:I36" name="Alue5"/>
    <protectedRange sqref="F28:I30" name="Alue4"/>
    <protectedRange sqref="F24:I25" name="Alue3"/>
    <protectedRange sqref="F18:I22" name="Alue2"/>
    <protectedRange sqref="F11:I16" name="Alue1"/>
  </protectedRanges>
  <pageMargins left="0.39370078740157483" right="0.35433070866141736" top="0.39370078740157483" bottom="0.39370078740157483" header="0.31496062992125984" footer="0.27559055118110237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V95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6953125" defaultRowHeight="15" customHeight="1" x14ac:dyDescent="0.25"/>
  <cols>
    <col min="1" max="1" width="4" style="209" customWidth="1"/>
    <col min="2" max="2" width="4.453125" style="201" customWidth="1"/>
    <col min="3" max="3" width="5.54296875" style="201" customWidth="1"/>
    <col min="4" max="4" width="3.453125" style="201" customWidth="1"/>
    <col min="5" max="5" width="44.453125" style="201" customWidth="1"/>
    <col min="6" max="6" width="12.54296875" style="179" customWidth="1"/>
    <col min="7" max="7" width="12.26953125" style="195" customWidth="1"/>
    <col min="8" max="9" width="13.26953125" style="195" customWidth="1"/>
    <col min="10" max="10" width="78.26953125" style="141" customWidth="1"/>
    <col min="11" max="16384" width="9.26953125" style="195"/>
  </cols>
  <sheetData>
    <row r="1" spans="1:256" s="262" customFormat="1" ht="15" customHeight="1" x14ac:dyDescent="0.3">
      <c r="A1" s="245" t="s">
        <v>200</v>
      </c>
      <c r="B1" s="258"/>
      <c r="C1" s="258"/>
      <c r="D1" s="259"/>
      <c r="E1" s="259"/>
      <c r="F1" s="263" t="s">
        <v>199</v>
      </c>
    </row>
    <row r="2" spans="1:256" s="263" customFormat="1" ht="15" customHeight="1" x14ac:dyDescent="0.3">
      <c r="A2" s="264" t="s">
        <v>201</v>
      </c>
      <c r="B2" s="265"/>
      <c r="C2" s="266"/>
      <c r="D2" s="266"/>
      <c r="E2" s="266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  <c r="IR2" s="262"/>
      <c r="IS2" s="262"/>
      <c r="IT2" s="262"/>
      <c r="IU2" s="262"/>
      <c r="IV2" s="262"/>
    </row>
    <row r="3" spans="1:256" s="262" customFormat="1" ht="15" customHeight="1" x14ac:dyDescent="0.3">
      <c r="A3" s="267"/>
      <c r="B3" s="268"/>
      <c r="C3" s="269"/>
      <c r="D3" s="259"/>
      <c r="E3" s="259"/>
    </row>
    <row r="4" spans="1:256" s="262" customFormat="1" ht="15" customHeight="1" x14ac:dyDescent="0.3">
      <c r="A4" s="270"/>
      <c r="B4" s="271"/>
      <c r="D4" s="259"/>
      <c r="E4" s="259"/>
      <c r="F4" s="272"/>
    </row>
    <row r="5" spans="1:256" s="262" customFormat="1" ht="15" customHeight="1" x14ac:dyDescent="0.3">
      <c r="A5" s="245" t="s">
        <v>41</v>
      </c>
      <c r="B5" s="258"/>
      <c r="C5" s="258"/>
      <c r="D5" s="259"/>
      <c r="E5" s="259"/>
      <c r="F5" s="260">
        <v>2024</v>
      </c>
      <c r="G5" s="261">
        <v>2025</v>
      </c>
      <c r="H5" s="261">
        <v>2026</v>
      </c>
      <c r="I5" s="261">
        <v>2027</v>
      </c>
      <c r="J5" s="261" t="s">
        <v>145</v>
      </c>
    </row>
    <row r="6" spans="1:256" s="179" customFormat="1" ht="15" customHeight="1" x14ac:dyDescent="0.35">
      <c r="C6" s="181"/>
      <c r="D6" s="181"/>
      <c r="E6" s="181"/>
      <c r="F6" s="183"/>
      <c r="G6" s="180"/>
      <c r="H6" s="180"/>
      <c r="I6" s="180"/>
      <c r="J6" s="81"/>
      <c r="K6" s="180"/>
    </row>
    <row r="7" spans="1:256" s="179" customFormat="1" ht="15" customHeight="1" x14ac:dyDescent="0.45">
      <c r="B7" s="185"/>
      <c r="C7" s="181"/>
      <c r="D7" s="181"/>
      <c r="E7" s="184"/>
      <c r="F7" s="210"/>
      <c r="G7" s="210"/>
      <c r="H7" s="210"/>
      <c r="I7" s="210"/>
      <c r="J7" s="81"/>
      <c r="K7" s="180"/>
    </row>
    <row r="8" spans="1:256" s="179" customFormat="1" ht="15" customHeight="1" x14ac:dyDescent="0.35">
      <c r="A8" s="197"/>
      <c r="B8" s="185"/>
      <c r="C8" s="181"/>
      <c r="D8" s="181"/>
      <c r="E8" s="181"/>
      <c r="F8" s="190" t="s">
        <v>127</v>
      </c>
      <c r="G8" s="190" t="s">
        <v>127</v>
      </c>
      <c r="H8" s="190" t="s">
        <v>127</v>
      </c>
      <c r="I8" s="190" t="s">
        <v>127</v>
      </c>
      <c r="J8" s="51"/>
      <c r="K8" s="180"/>
    </row>
    <row r="9" spans="1:256" ht="15" customHeight="1" x14ac:dyDescent="0.35">
      <c r="A9" s="211" t="s">
        <v>129</v>
      </c>
      <c r="B9" s="212" t="s">
        <v>134</v>
      </c>
      <c r="C9" s="193"/>
      <c r="D9" s="193"/>
      <c r="E9" s="193"/>
      <c r="F9" s="213">
        <f>F10+F11+F15+F16+F17</f>
        <v>0</v>
      </c>
      <c r="G9" s="213">
        <f t="shared" ref="G9:I9" si="0">G10+G11+G15+G16+G17</f>
        <v>0</v>
      </c>
      <c r="H9" s="213">
        <f t="shared" si="0"/>
        <v>0</v>
      </c>
      <c r="I9" s="213">
        <f t="shared" si="0"/>
        <v>0</v>
      </c>
      <c r="J9" s="151"/>
      <c r="K9" s="205"/>
    </row>
    <row r="10" spans="1:256" ht="15" customHeight="1" x14ac:dyDescent="0.35">
      <c r="A10" s="205"/>
      <c r="B10" s="84" t="s">
        <v>15</v>
      </c>
      <c r="C10" s="56" t="s">
        <v>135</v>
      </c>
      <c r="D10" s="193"/>
      <c r="E10" s="193"/>
      <c r="F10" s="85"/>
      <c r="G10" s="85"/>
      <c r="H10" s="85"/>
      <c r="I10" s="85"/>
      <c r="J10" s="151"/>
      <c r="K10" s="205"/>
    </row>
    <row r="11" spans="1:256" ht="15" customHeight="1" x14ac:dyDescent="0.35">
      <c r="A11" s="205"/>
      <c r="B11" s="84" t="s">
        <v>129</v>
      </c>
      <c r="C11" s="214" t="s">
        <v>18</v>
      </c>
      <c r="D11" s="206"/>
      <c r="E11" s="206"/>
      <c r="F11" s="107">
        <f>F12+F13+F14</f>
        <v>0</v>
      </c>
      <c r="G11" s="107">
        <f t="shared" ref="G11:I11" si="1">G12+G13+G14</f>
        <v>0</v>
      </c>
      <c r="H11" s="107">
        <f t="shared" si="1"/>
        <v>0</v>
      </c>
      <c r="I11" s="107">
        <f t="shared" si="1"/>
        <v>0</v>
      </c>
      <c r="J11" s="151"/>
      <c r="K11" s="205"/>
    </row>
    <row r="12" spans="1:256" ht="15" customHeight="1" x14ac:dyDescent="0.35">
      <c r="A12" s="205"/>
      <c r="B12" s="84"/>
      <c r="C12" s="204" t="s">
        <v>15</v>
      </c>
      <c r="D12" s="56" t="s">
        <v>8</v>
      </c>
      <c r="E12" s="193"/>
      <c r="F12" s="85"/>
      <c r="G12" s="85"/>
      <c r="H12" s="85"/>
      <c r="I12" s="85"/>
      <c r="J12" s="151"/>
      <c r="K12" s="205"/>
    </row>
    <row r="13" spans="1:256" ht="15" customHeight="1" x14ac:dyDescent="0.35">
      <c r="A13" s="205"/>
      <c r="B13" s="84"/>
      <c r="C13" s="420" t="s">
        <v>15</v>
      </c>
      <c r="D13" s="56" t="s">
        <v>308</v>
      </c>
      <c r="E13" s="193"/>
      <c r="F13" s="85"/>
      <c r="G13" s="85"/>
      <c r="H13" s="85"/>
      <c r="I13" s="85"/>
      <c r="J13" s="151"/>
      <c r="K13" s="205"/>
    </row>
    <row r="14" spans="1:256" ht="15" customHeight="1" x14ac:dyDescent="0.35">
      <c r="A14" s="205"/>
      <c r="B14" s="84"/>
      <c r="C14" s="204" t="s">
        <v>15</v>
      </c>
      <c r="D14" s="86" t="s">
        <v>136</v>
      </c>
      <c r="E14" s="193"/>
      <c r="F14" s="85"/>
      <c r="G14" s="85"/>
      <c r="H14" s="85"/>
      <c r="I14" s="85"/>
      <c r="J14" s="151"/>
      <c r="K14" s="205"/>
    </row>
    <row r="15" spans="1:256" ht="15" customHeight="1" x14ac:dyDescent="0.35">
      <c r="A15" s="205"/>
      <c r="B15" s="84" t="s">
        <v>15</v>
      </c>
      <c r="C15" s="86" t="s">
        <v>11</v>
      </c>
      <c r="D15" s="193"/>
      <c r="E15" s="193"/>
      <c r="F15" s="85"/>
      <c r="G15" s="85"/>
      <c r="H15" s="85"/>
      <c r="I15" s="85"/>
      <c r="J15" s="151"/>
      <c r="K15" s="205"/>
    </row>
    <row r="16" spans="1:256" ht="15" customHeight="1" x14ac:dyDescent="0.35">
      <c r="A16" s="205"/>
      <c r="B16" s="84" t="s">
        <v>15</v>
      </c>
      <c r="C16" s="86" t="s">
        <v>12</v>
      </c>
      <c r="D16" s="193"/>
      <c r="E16" s="193"/>
      <c r="F16" s="87">
        <f>Tuloslaskelma!F77</f>
        <v>0</v>
      </c>
      <c r="G16" s="87">
        <f>Tuloslaskelma!G77</f>
        <v>0</v>
      </c>
      <c r="H16" s="87">
        <f>Tuloslaskelma!H77</f>
        <v>0</v>
      </c>
      <c r="I16" s="87">
        <f>Tuloslaskelma!I77</f>
        <v>0</v>
      </c>
      <c r="J16" s="151"/>
      <c r="K16" s="205"/>
    </row>
    <row r="17" spans="1:11" ht="15" customHeight="1" x14ac:dyDescent="0.35">
      <c r="A17" s="205"/>
      <c r="B17" s="84" t="s">
        <v>15</v>
      </c>
      <c r="C17" s="56" t="s">
        <v>9</v>
      </c>
      <c r="D17" s="193"/>
      <c r="E17" s="193"/>
      <c r="F17" s="85"/>
      <c r="G17" s="85"/>
      <c r="H17" s="85"/>
      <c r="I17" s="85"/>
      <c r="J17" s="151"/>
      <c r="K17" s="205"/>
    </row>
    <row r="18" spans="1:11" ht="15" customHeight="1" x14ac:dyDescent="0.35">
      <c r="A18" s="145" t="s">
        <v>129</v>
      </c>
      <c r="B18" s="88" t="s">
        <v>138</v>
      </c>
      <c r="C18" s="193"/>
      <c r="D18" s="193"/>
      <c r="E18" s="193"/>
      <c r="F18" s="196">
        <f>SUM(F19+F22)</f>
        <v>0</v>
      </c>
      <c r="G18" s="196">
        <f>SUM(G19+G22)</f>
        <v>0</v>
      </c>
      <c r="H18" s="196">
        <f>SUM(H19+H22)</f>
        <v>0</v>
      </c>
      <c r="I18" s="196">
        <f t="shared" ref="I18" si="2">SUM(I19+I22)</f>
        <v>0</v>
      </c>
      <c r="J18" s="151"/>
      <c r="K18" s="205"/>
    </row>
    <row r="19" spans="1:11" ht="15" customHeight="1" x14ac:dyDescent="0.35">
      <c r="A19" s="84"/>
      <c r="B19" s="197" t="s">
        <v>15</v>
      </c>
      <c r="C19" s="90" t="s">
        <v>13</v>
      </c>
      <c r="D19" s="90"/>
      <c r="E19" s="90"/>
      <c r="F19" s="107">
        <f>SUM(F20:F21)</f>
        <v>0</v>
      </c>
      <c r="G19" s="107">
        <f t="shared" ref="G19:I19" si="3">SUM(G20:G21)</f>
        <v>0</v>
      </c>
      <c r="H19" s="107">
        <f t="shared" si="3"/>
        <v>0</v>
      </c>
      <c r="I19" s="107">
        <f t="shared" si="3"/>
        <v>0</v>
      </c>
      <c r="J19" s="151"/>
      <c r="K19" s="205"/>
    </row>
    <row r="20" spans="1:11" ht="15" customHeight="1" x14ac:dyDescent="0.35">
      <c r="A20" s="84"/>
      <c r="B20" s="197"/>
      <c r="C20" s="90"/>
      <c r="D20" s="90" t="s">
        <v>277</v>
      </c>
      <c r="E20" s="90"/>
      <c r="F20" s="85"/>
      <c r="G20" s="85"/>
      <c r="H20" s="85"/>
      <c r="I20" s="85"/>
      <c r="J20" s="151"/>
      <c r="K20" s="205"/>
    </row>
    <row r="21" spans="1:11" ht="15" customHeight="1" x14ac:dyDescent="0.35">
      <c r="A21" s="84"/>
      <c r="B21" s="197"/>
      <c r="C21" s="90"/>
      <c r="D21" s="90" t="s">
        <v>278</v>
      </c>
      <c r="E21" s="90"/>
      <c r="F21" s="85"/>
      <c r="G21" s="85"/>
      <c r="H21" s="85"/>
      <c r="I21" s="85"/>
      <c r="J21" s="151"/>
      <c r="K21" s="205"/>
    </row>
    <row r="22" spans="1:11" ht="15" customHeight="1" x14ac:dyDescent="0.35">
      <c r="A22" s="84"/>
      <c r="B22" s="197" t="s">
        <v>15</v>
      </c>
      <c r="C22" s="90" t="s">
        <v>307</v>
      </c>
      <c r="D22" s="90"/>
      <c r="E22" s="90"/>
      <c r="F22" s="91"/>
      <c r="G22" s="91"/>
      <c r="H22" s="91"/>
      <c r="I22" s="91"/>
      <c r="J22" s="151"/>
      <c r="K22" s="205"/>
    </row>
    <row r="23" spans="1:11" ht="15" customHeight="1" x14ac:dyDescent="0.35">
      <c r="A23" s="84" t="s">
        <v>15</v>
      </c>
      <c r="B23" s="90" t="s">
        <v>51</v>
      </c>
      <c r="C23" s="193"/>
      <c r="D23" s="90"/>
      <c r="E23" s="90"/>
      <c r="F23" s="85"/>
      <c r="G23" s="85"/>
      <c r="H23" s="85"/>
      <c r="I23" s="85"/>
      <c r="J23" s="151"/>
      <c r="K23" s="205"/>
    </row>
    <row r="24" spans="1:11" ht="15" customHeight="1" x14ac:dyDescent="0.35">
      <c r="A24" s="84" t="s">
        <v>129</v>
      </c>
      <c r="B24" s="56" t="s">
        <v>14</v>
      </c>
      <c r="C24" s="193"/>
      <c r="D24" s="193"/>
      <c r="E24" s="193"/>
      <c r="F24" s="87">
        <f>F26+F30+F36+F42</f>
        <v>0</v>
      </c>
      <c r="G24" s="87">
        <f t="shared" ref="G24:I24" si="4">G26+G30+G36+G42</f>
        <v>0</v>
      </c>
      <c r="H24" s="87">
        <f t="shared" si="4"/>
        <v>0</v>
      </c>
      <c r="I24" s="87">
        <f t="shared" si="4"/>
        <v>0</v>
      </c>
      <c r="J24" s="151"/>
      <c r="K24" s="205"/>
    </row>
    <row r="25" spans="1:11" ht="15" customHeight="1" x14ac:dyDescent="0.35">
      <c r="A25" s="84"/>
      <c r="B25" s="516" t="s">
        <v>129</v>
      </c>
      <c r="C25" s="206" t="s">
        <v>141</v>
      </c>
      <c r="D25" s="193"/>
      <c r="E25" s="193"/>
      <c r="F25" s="87">
        <f>F26+F30</f>
        <v>0</v>
      </c>
      <c r="G25" s="87">
        <f t="shared" ref="G25:I25" si="5">G26+G30</f>
        <v>0</v>
      </c>
      <c r="H25" s="87">
        <f t="shared" si="5"/>
        <v>0</v>
      </c>
      <c r="I25" s="87">
        <f t="shared" si="5"/>
        <v>0</v>
      </c>
      <c r="J25" s="151"/>
      <c r="K25" s="205"/>
    </row>
    <row r="26" spans="1:11" ht="15" customHeight="1" x14ac:dyDescent="0.35">
      <c r="A26" s="84"/>
      <c r="B26" s="215"/>
      <c r="C26" s="421" t="s">
        <v>129</v>
      </c>
      <c r="D26" s="206" t="s">
        <v>139</v>
      </c>
      <c r="E26" s="206"/>
      <c r="F26" s="87">
        <f>SUM(F27:F29)</f>
        <v>0</v>
      </c>
      <c r="G26" s="87">
        <f t="shared" ref="G26:I26" si="6">SUM(G27:G29)</f>
        <v>0</v>
      </c>
      <c r="H26" s="87">
        <f t="shared" si="6"/>
        <v>0</v>
      </c>
      <c r="I26" s="87">
        <f t="shared" si="6"/>
        <v>0</v>
      </c>
      <c r="J26" s="151"/>
      <c r="K26" s="205"/>
    </row>
    <row r="27" spans="1:11" ht="15" customHeight="1" x14ac:dyDescent="0.35">
      <c r="A27" s="84"/>
      <c r="B27" s="205"/>
      <c r="C27" s="197"/>
      <c r="D27" s="218" t="s">
        <v>15</v>
      </c>
      <c r="E27" s="193" t="s">
        <v>309</v>
      </c>
      <c r="F27" s="198"/>
      <c r="G27" s="198"/>
      <c r="H27" s="198"/>
      <c r="I27" s="198"/>
      <c r="J27" s="151"/>
      <c r="K27" s="205"/>
    </row>
    <row r="28" spans="1:11" ht="15" customHeight="1" x14ac:dyDescent="0.35">
      <c r="A28" s="84"/>
      <c r="B28" s="205"/>
      <c r="C28" s="197"/>
      <c r="D28" s="219" t="s">
        <v>15</v>
      </c>
      <c r="E28" s="193" t="s">
        <v>79</v>
      </c>
      <c r="F28" s="198"/>
      <c r="G28" s="198"/>
      <c r="H28" s="198"/>
      <c r="I28" s="198"/>
      <c r="J28" s="151"/>
      <c r="K28" s="205"/>
    </row>
    <row r="29" spans="1:11" ht="14.5" x14ac:dyDescent="0.35">
      <c r="A29" s="84"/>
      <c r="B29" s="193"/>
      <c r="C29" s="205"/>
      <c r="D29" s="219" t="s">
        <v>15</v>
      </c>
      <c r="E29" s="216" t="s">
        <v>310</v>
      </c>
      <c r="F29" s="198"/>
      <c r="G29" s="198"/>
      <c r="H29" s="198"/>
      <c r="I29" s="198"/>
      <c r="J29" s="151"/>
      <c r="K29" s="205"/>
    </row>
    <row r="30" spans="1:11" ht="15" customHeight="1" x14ac:dyDescent="0.35">
      <c r="A30" s="84"/>
      <c r="B30" s="205"/>
      <c r="C30" s="197" t="s">
        <v>129</v>
      </c>
      <c r="D30" s="217" t="s">
        <v>140</v>
      </c>
      <c r="E30" s="205"/>
      <c r="F30" s="87">
        <f>SUM(F31:F34)</f>
        <v>0</v>
      </c>
      <c r="G30" s="87">
        <f t="shared" ref="G30:I30" si="7">SUM(G31:G34)</f>
        <v>0</v>
      </c>
      <c r="H30" s="87">
        <f t="shared" si="7"/>
        <v>0</v>
      </c>
      <c r="I30" s="87">
        <f t="shared" si="7"/>
        <v>0</v>
      </c>
      <c r="J30" s="151"/>
      <c r="K30" s="205"/>
    </row>
    <row r="31" spans="1:11" ht="15" customHeight="1" x14ac:dyDescent="0.35">
      <c r="A31" s="84"/>
      <c r="B31" s="205"/>
      <c r="C31" s="205"/>
      <c r="D31" s="218" t="s">
        <v>15</v>
      </c>
      <c r="E31" s="193" t="s">
        <v>79</v>
      </c>
      <c r="F31" s="85"/>
      <c r="G31" s="85"/>
      <c r="H31" s="85"/>
      <c r="I31" s="85"/>
      <c r="J31" s="151"/>
      <c r="K31" s="205"/>
    </row>
    <row r="32" spans="1:11" ht="15" customHeight="1" x14ac:dyDescent="0.35">
      <c r="A32" s="84"/>
      <c r="B32" s="205"/>
      <c r="C32" s="205"/>
      <c r="D32" s="219" t="s">
        <v>15</v>
      </c>
      <c r="E32" s="193" t="s">
        <v>81</v>
      </c>
      <c r="F32" s="85"/>
      <c r="G32" s="85"/>
      <c r="H32" s="85"/>
      <c r="I32" s="85"/>
      <c r="J32" s="151"/>
      <c r="K32" s="205"/>
    </row>
    <row r="33" spans="1:11" ht="15" customHeight="1" x14ac:dyDescent="0.35">
      <c r="A33" s="84"/>
      <c r="B33" s="205"/>
      <c r="C33" s="205"/>
      <c r="D33" s="219" t="s">
        <v>15</v>
      </c>
      <c r="E33" s="56" t="s">
        <v>82</v>
      </c>
      <c r="F33" s="85"/>
      <c r="G33" s="85"/>
      <c r="H33" s="85"/>
      <c r="I33" s="85"/>
      <c r="J33" s="151"/>
      <c r="K33" s="205"/>
    </row>
    <row r="34" spans="1:11" ht="15" customHeight="1" x14ac:dyDescent="0.35">
      <c r="A34" s="84"/>
      <c r="B34" s="205"/>
      <c r="C34" s="205"/>
      <c r="D34" s="219" t="s">
        <v>15</v>
      </c>
      <c r="E34" s="193" t="s">
        <v>83</v>
      </c>
      <c r="F34" s="85"/>
      <c r="G34" s="85"/>
      <c r="H34" s="85"/>
      <c r="I34" s="85"/>
      <c r="J34" s="151"/>
      <c r="K34" s="205"/>
    </row>
    <row r="35" spans="1:11" ht="15" customHeight="1" x14ac:dyDescent="0.35">
      <c r="A35" s="84"/>
      <c r="B35" s="203" t="s">
        <v>129</v>
      </c>
      <c r="C35" s="220" t="s">
        <v>143</v>
      </c>
      <c r="D35" s="219"/>
      <c r="E35" s="193"/>
      <c r="F35" s="107">
        <f>F36+F42</f>
        <v>0</v>
      </c>
      <c r="G35" s="107">
        <f t="shared" ref="G35:I35" si="8">G36+G42</f>
        <v>0</v>
      </c>
      <c r="H35" s="107">
        <f t="shared" si="8"/>
        <v>0</v>
      </c>
      <c r="I35" s="107">
        <f t="shared" si="8"/>
        <v>0</v>
      </c>
      <c r="J35" s="151"/>
      <c r="K35" s="205"/>
    </row>
    <row r="36" spans="1:11" ht="15" customHeight="1" x14ac:dyDescent="0.35">
      <c r="A36" s="205"/>
      <c r="B36" s="205"/>
      <c r="C36" s="84" t="s">
        <v>129</v>
      </c>
      <c r="D36" s="221" t="s">
        <v>142</v>
      </c>
      <c r="E36" s="205"/>
      <c r="F36" s="87">
        <f>SUM(F37:F41)</f>
        <v>0</v>
      </c>
      <c r="G36" s="87">
        <f t="shared" ref="G36:I36" si="9">SUM(G37:G41)</f>
        <v>0</v>
      </c>
      <c r="H36" s="87">
        <f t="shared" si="9"/>
        <v>0</v>
      </c>
      <c r="I36" s="87">
        <f t="shared" si="9"/>
        <v>0</v>
      </c>
      <c r="J36" s="151"/>
      <c r="K36" s="205"/>
    </row>
    <row r="37" spans="1:11" ht="15" customHeight="1" x14ac:dyDescent="0.35">
      <c r="A37" s="84"/>
      <c r="B37" s="205"/>
      <c r="C37" s="205"/>
      <c r="D37" s="222" t="s">
        <v>15</v>
      </c>
      <c r="E37" s="193" t="s">
        <v>84</v>
      </c>
      <c r="F37" s="85"/>
      <c r="G37" s="85"/>
      <c r="H37" s="85"/>
      <c r="I37" s="85"/>
      <c r="J37" s="151"/>
      <c r="K37" s="205"/>
    </row>
    <row r="38" spans="1:11" ht="15" customHeight="1" x14ac:dyDescent="0.35">
      <c r="A38" s="84"/>
      <c r="B38" s="205"/>
      <c r="C38" s="205"/>
      <c r="D38" s="222" t="s">
        <v>15</v>
      </c>
      <c r="E38" s="193" t="s">
        <v>85</v>
      </c>
      <c r="F38" s="85"/>
      <c r="G38" s="85"/>
      <c r="H38" s="85"/>
      <c r="I38" s="85"/>
      <c r="J38" s="151"/>
      <c r="K38" s="205"/>
    </row>
    <row r="39" spans="1:11" ht="15" customHeight="1" x14ac:dyDescent="0.35">
      <c r="A39" s="84"/>
      <c r="B39" s="205"/>
      <c r="C39" s="205"/>
      <c r="D39" s="222" t="s">
        <v>15</v>
      </c>
      <c r="E39" s="193" t="s">
        <v>79</v>
      </c>
      <c r="F39" s="85"/>
      <c r="G39" s="85"/>
      <c r="H39" s="85"/>
      <c r="I39" s="85"/>
      <c r="J39" s="151"/>
      <c r="K39" s="205"/>
    </row>
    <row r="40" spans="1:11" ht="15" customHeight="1" x14ac:dyDescent="0.35">
      <c r="A40" s="84"/>
      <c r="B40" s="205"/>
      <c r="C40" s="205"/>
      <c r="D40" s="197" t="s">
        <v>15</v>
      </c>
      <c r="E40" s="193" t="s">
        <v>81</v>
      </c>
      <c r="F40" s="85"/>
      <c r="G40" s="85"/>
      <c r="H40" s="85"/>
      <c r="I40" s="85"/>
      <c r="J40" s="151"/>
      <c r="K40" s="205"/>
    </row>
    <row r="41" spans="1:11" ht="15" customHeight="1" x14ac:dyDescent="0.35">
      <c r="A41" s="84"/>
      <c r="B41" s="205"/>
      <c r="C41" s="205"/>
      <c r="D41" s="223" t="s">
        <v>15</v>
      </c>
      <c r="E41" s="224" t="s">
        <v>86</v>
      </c>
      <c r="F41" s="85"/>
      <c r="G41" s="85"/>
      <c r="H41" s="85"/>
      <c r="I41" s="85"/>
      <c r="J41" s="151"/>
      <c r="K41" s="205"/>
    </row>
    <row r="42" spans="1:11" ht="15" customHeight="1" x14ac:dyDescent="0.35">
      <c r="A42" s="205"/>
      <c r="B42" s="205"/>
      <c r="C42" s="84" t="s">
        <v>129</v>
      </c>
      <c r="D42" s="199" t="s">
        <v>144</v>
      </c>
      <c r="E42" s="225"/>
      <c r="F42" s="196">
        <f>SUM(F43:F47)</f>
        <v>0</v>
      </c>
      <c r="G42" s="196">
        <f t="shared" ref="G42:I42" si="10">SUM(G43:G47)</f>
        <v>0</v>
      </c>
      <c r="H42" s="196">
        <f t="shared" si="10"/>
        <v>0</v>
      </c>
      <c r="I42" s="196">
        <f t="shared" si="10"/>
        <v>0</v>
      </c>
      <c r="J42" s="151"/>
      <c r="K42" s="205"/>
    </row>
    <row r="43" spans="1:11" ht="15" customHeight="1" x14ac:dyDescent="0.35">
      <c r="A43" s="84"/>
      <c r="B43" s="205"/>
      <c r="C43" s="205"/>
      <c r="D43" s="226" t="s">
        <v>15</v>
      </c>
      <c r="E43" s="193" t="s">
        <v>84</v>
      </c>
      <c r="F43" s="198"/>
      <c r="G43" s="198"/>
      <c r="H43" s="198"/>
      <c r="I43" s="198"/>
      <c r="J43" s="151"/>
      <c r="K43" s="205"/>
    </row>
    <row r="44" spans="1:11" ht="15" customHeight="1" x14ac:dyDescent="0.35">
      <c r="A44" s="84"/>
      <c r="B44" s="205"/>
      <c r="C44" s="205"/>
      <c r="D44" s="226" t="s">
        <v>15</v>
      </c>
      <c r="E44" s="193" t="s">
        <v>85</v>
      </c>
      <c r="F44" s="198"/>
      <c r="G44" s="198"/>
      <c r="H44" s="198"/>
      <c r="I44" s="198"/>
      <c r="J44" s="151"/>
      <c r="K44" s="205"/>
    </row>
    <row r="45" spans="1:11" ht="15" customHeight="1" x14ac:dyDescent="0.35">
      <c r="A45" s="84"/>
      <c r="B45" s="205"/>
      <c r="C45" s="205"/>
      <c r="D45" s="226" t="s">
        <v>15</v>
      </c>
      <c r="E45" s="193" t="s">
        <v>79</v>
      </c>
      <c r="F45" s="198"/>
      <c r="G45" s="198"/>
      <c r="H45" s="198"/>
      <c r="I45" s="198"/>
      <c r="J45" s="151"/>
      <c r="K45" s="205"/>
    </row>
    <row r="46" spans="1:11" ht="15" customHeight="1" x14ac:dyDescent="0.35">
      <c r="A46" s="84"/>
      <c r="B46" s="205"/>
      <c r="C46" s="205"/>
      <c r="D46" s="84" t="s">
        <v>15</v>
      </c>
      <c r="E46" s="193" t="s">
        <v>81</v>
      </c>
      <c r="F46" s="85"/>
      <c r="G46" s="85"/>
      <c r="H46" s="85"/>
      <c r="I46" s="85"/>
      <c r="J46" s="151"/>
      <c r="K46" s="205"/>
    </row>
    <row r="47" spans="1:11" ht="15" customHeight="1" x14ac:dyDescent="0.35">
      <c r="A47" s="84"/>
      <c r="B47" s="205"/>
      <c r="C47" s="205"/>
      <c r="D47" s="197" t="s">
        <v>15</v>
      </c>
      <c r="E47" s="193" t="s">
        <v>87</v>
      </c>
      <c r="F47" s="85"/>
      <c r="G47" s="85"/>
      <c r="H47" s="85"/>
      <c r="I47" s="85"/>
      <c r="J47" s="151"/>
      <c r="K47" s="205"/>
    </row>
    <row r="48" spans="1:11" ht="15" customHeight="1" x14ac:dyDescent="0.35">
      <c r="A48" s="84" t="s">
        <v>129</v>
      </c>
      <c r="B48" s="94" t="s">
        <v>10</v>
      </c>
      <c r="C48" s="193"/>
      <c r="D48" s="193"/>
      <c r="E48" s="193"/>
      <c r="F48" s="95">
        <f>F9+F23+F18+F24</f>
        <v>0</v>
      </c>
      <c r="G48" s="95">
        <f t="shared" ref="G48:I48" si="11">G9+G23+G18+G24</f>
        <v>0</v>
      </c>
      <c r="H48" s="95">
        <f t="shared" si="11"/>
        <v>0</v>
      </c>
      <c r="I48" s="95">
        <f t="shared" si="11"/>
        <v>0</v>
      </c>
      <c r="J48" s="151"/>
      <c r="K48" s="205"/>
    </row>
    <row r="49" spans="1:11" ht="15" customHeight="1" x14ac:dyDescent="0.35">
      <c r="A49" s="84"/>
      <c r="B49" s="90"/>
      <c r="C49" s="193"/>
      <c r="D49" s="193"/>
      <c r="E49" s="193"/>
      <c r="F49" s="96"/>
      <c r="G49" s="205"/>
      <c r="H49" s="205"/>
      <c r="I49" s="205"/>
      <c r="J49" s="207"/>
      <c r="K49" s="205"/>
    </row>
    <row r="50" spans="1:11" ht="15" customHeight="1" x14ac:dyDescent="0.35">
      <c r="A50" s="197"/>
      <c r="B50" s="193"/>
      <c r="C50" s="193"/>
      <c r="D50" s="193"/>
      <c r="E50" s="193"/>
      <c r="F50" s="180"/>
      <c r="G50" s="205"/>
      <c r="H50" s="205"/>
      <c r="I50" s="205"/>
      <c r="J50" s="207"/>
      <c r="K50" s="205"/>
    </row>
    <row r="51" spans="1:11" ht="15" customHeight="1" x14ac:dyDescent="0.35">
      <c r="A51" s="84"/>
      <c r="B51" s="193"/>
      <c r="C51" s="193"/>
      <c r="D51" s="193"/>
      <c r="E51" s="193"/>
      <c r="F51" s="180"/>
      <c r="G51" s="205"/>
      <c r="H51" s="205"/>
      <c r="I51" s="205"/>
      <c r="J51" s="207"/>
    </row>
    <row r="52" spans="1:11" ht="15" customHeight="1" x14ac:dyDescent="0.35">
      <c r="A52" s="197"/>
      <c r="B52" s="193"/>
      <c r="C52" s="193"/>
      <c r="D52" s="193"/>
      <c r="E52" s="193"/>
      <c r="F52" s="180"/>
      <c r="G52" s="205"/>
      <c r="H52" s="205"/>
      <c r="I52" s="205"/>
      <c r="J52" s="207"/>
    </row>
    <row r="53" spans="1:11" ht="15" customHeight="1" x14ac:dyDescent="0.35">
      <c r="A53" s="197"/>
      <c r="B53" s="193"/>
      <c r="C53" s="193"/>
      <c r="D53" s="193"/>
      <c r="E53" s="193"/>
      <c r="F53" s="180"/>
      <c r="G53" s="205"/>
      <c r="H53" s="205"/>
      <c r="I53" s="205"/>
      <c r="J53" s="207"/>
    </row>
    <row r="54" spans="1:11" ht="15" customHeight="1" x14ac:dyDescent="0.35">
      <c r="J54" s="207"/>
    </row>
    <row r="55" spans="1:11" ht="15" customHeight="1" x14ac:dyDescent="0.35">
      <c r="J55" s="207"/>
    </row>
    <row r="56" spans="1:11" ht="15" customHeight="1" x14ac:dyDescent="0.35">
      <c r="J56" s="207"/>
    </row>
    <row r="57" spans="1:11" ht="15" customHeight="1" x14ac:dyDescent="0.35">
      <c r="J57" s="207"/>
    </row>
    <row r="58" spans="1:11" ht="15" customHeight="1" x14ac:dyDescent="0.35">
      <c r="J58" s="207"/>
    </row>
    <row r="59" spans="1:11" ht="15" customHeight="1" x14ac:dyDescent="0.35">
      <c r="J59" s="207"/>
    </row>
    <row r="60" spans="1:11" ht="15" customHeight="1" x14ac:dyDescent="0.35">
      <c r="J60" s="207"/>
    </row>
    <row r="61" spans="1:11" ht="15" customHeight="1" x14ac:dyDescent="0.35">
      <c r="J61" s="207"/>
    </row>
    <row r="62" spans="1:11" ht="15" customHeight="1" x14ac:dyDescent="0.35">
      <c r="J62" s="207"/>
    </row>
    <row r="63" spans="1:11" ht="15" customHeight="1" x14ac:dyDescent="0.35">
      <c r="J63" s="207"/>
    </row>
    <row r="64" spans="1:11" ht="15" customHeight="1" x14ac:dyDescent="0.35">
      <c r="J64" s="207"/>
    </row>
    <row r="65" spans="10:10" ht="15" customHeight="1" x14ac:dyDescent="0.35">
      <c r="J65" s="207"/>
    </row>
    <row r="66" spans="10:10" ht="15" customHeight="1" x14ac:dyDescent="0.35">
      <c r="J66" s="207"/>
    </row>
    <row r="67" spans="10:10" ht="15" customHeight="1" x14ac:dyDescent="0.35">
      <c r="J67" s="207"/>
    </row>
    <row r="68" spans="10:10" ht="15" customHeight="1" x14ac:dyDescent="0.35">
      <c r="J68" s="207"/>
    </row>
    <row r="69" spans="10:10" ht="15" customHeight="1" x14ac:dyDescent="0.35">
      <c r="J69" s="207"/>
    </row>
    <row r="70" spans="10:10" ht="15" customHeight="1" x14ac:dyDescent="0.35">
      <c r="J70" s="207"/>
    </row>
    <row r="71" spans="10:10" ht="15" customHeight="1" x14ac:dyDescent="0.35">
      <c r="J71" s="207"/>
    </row>
    <row r="72" spans="10:10" ht="15" customHeight="1" x14ac:dyDescent="0.35">
      <c r="J72" s="207"/>
    </row>
    <row r="73" spans="10:10" ht="15" customHeight="1" x14ac:dyDescent="0.35">
      <c r="J73" s="207"/>
    </row>
    <row r="74" spans="10:10" ht="15" customHeight="1" x14ac:dyDescent="0.35">
      <c r="J74" s="207"/>
    </row>
    <row r="75" spans="10:10" ht="15" customHeight="1" x14ac:dyDescent="0.35">
      <c r="J75" s="207"/>
    </row>
    <row r="76" spans="10:10" ht="15" customHeight="1" x14ac:dyDescent="0.35">
      <c r="J76" s="207"/>
    </row>
    <row r="77" spans="10:10" ht="15" customHeight="1" x14ac:dyDescent="0.35">
      <c r="J77" s="207"/>
    </row>
    <row r="78" spans="10:10" ht="15" customHeight="1" x14ac:dyDescent="0.35">
      <c r="J78" s="207"/>
    </row>
    <row r="79" spans="10:10" ht="15" customHeight="1" x14ac:dyDescent="0.35">
      <c r="J79" s="207"/>
    </row>
    <row r="80" spans="10:10" ht="15" customHeight="1" x14ac:dyDescent="0.35">
      <c r="J80" s="207"/>
    </row>
    <row r="81" spans="10:10" ht="15" customHeight="1" x14ac:dyDescent="0.35">
      <c r="J81" s="207"/>
    </row>
    <row r="82" spans="10:10" ht="15" customHeight="1" x14ac:dyDescent="0.35">
      <c r="J82" s="207"/>
    </row>
    <row r="83" spans="10:10" ht="15" customHeight="1" x14ac:dyDescent="0.35">
      <c r="J83" s="207"/>
    </row>
    <row r="84" spans="10:10" ht="15" customHeight="1" x14ac:dyDescent="0.35">
      <c r="J84" s="207"/>
    </row>
    <row r="85" spans="10:10" ht="15" customHeight="1" x14ac:dyDescent="0.35">
      <c r="J85" s="207"/>
    </row>
    <row r="86" spans="10:10" ht="15" customHeight="1" x14ac:dyDescent="0.35">
      <c r="J86" s="207"/>
    </row>
    <row r="87" spans="10:10" ht="15" customHeight="1" x14ac:dyDescent="0.35">
      <c r="J87" s="207"/>
    </row>
    <row r="88" spans="10:10" ht="15" customHeight="1" x14ac:dyDescent="0.35">
      <c r="J88" s="207"/>
    </row>
    <row r="89" spans="10:10" ht="15" customHeight="1" x14ac:dyDescent="0.35">
      <c r="J89" s="207"/>
    </row>
    <row r="90" spans="10:10" ht="15" customHeight="1" x14ac:dyDescent="0.35">
      <c r="J90" s="207"/>
    </row>
    <row r="91" spans="10:10" ht="15" customHeight="1" x14ac:dyDescent="0.35">
      <c r="J91" s="207"/>
    </row>
    <row r="92" spans="10:10" ht="15" customHeight="1" x14ac:dyDescent="0.35">
      <c r="J92" s="207"/>
    </row>
    <row r="93" spans="10:10" ht="15" customHeight="1" x14ac:dyDescent="0.35">
      <c r="J93" s="81"/>
    </row>
    <row r="94" spans="10:10" ht="15" customHeight="1" x14ac:dyDescent="0.35">
      <c r="J94" s="81"/>
    </row>
    <row r="95" spans="10:10" ht="15" customHeight="1" x14ac:dyDescent="0.35">
      <c r="J95" s="81"/>
    </row>
  </sheetData>
  <pageMargins left="0.43" right="0.37" top="0.69" bottom="0.64" header="0.4921259845" footer="0.4921259845"/>
  <pageSetup paperSize="9" scale="78" orientation="portrait" r:id="rId1"/>
  <headerFooter alignWithMargins="0"/>
  <colBreaks count="1" manualBreakCount="1">
    <brk id="9" max="1048575" man="1"/>
  </colBreaks>
  <ignoredErrors>
    <ignoredError sqref="F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1"/>
  <dimension ref="A1:IQ43"/>
  <sheetViews>
    <sheetView showGridLines="0" zoomScale="85" zoomScaleNormal="85" workbookViewId="0">
      <pane ySplit="5" topLeftCell="A6" activePane="bottomLeft" state="frozen"/>
      <selection pane="bottomLeft"/>
    </sheetView>
  </sheetViews>
  <sheetFormatPr defaultColWidth="9.26953125" defaultRowHeight="14.5" x14ac:dyDescent="0.35"/>
  <cols>
    <col min="1" max="1" width="54.26953125" style="3" customWidth="1"/>
    <col min="2" max="2" width="10.54296875" style="3" customWidth="1"/>
    <col min="3" max="3" width="11" style="3" bestFit="1" customWidth="1"/>
    <col min="4" max="4" width="12.26953125" style="3" customWidth="1"/>
    <col min="5" max="5" width="9.7265625" style="3" customWidth="1"/>
    <col min="6" max="6" width="9.26953125" style="3" customWidth="1"/>
    <col min="7" max="7" width="10.26953125" style="3" customWidth="1"/>
    <col min="8" max="8" width="9.26953125" style="22" customWidth="1"/>
    <col min="9" max="9" width="24.7265625" style="3" customWidth="1"/>
    <col min="10" max="10" width="8.54296875" style="3" customWidth="1"/>
    <col min="11" max="11" width="7.54296875" style="3" customWidth="1"/>
    <col min="12" max="12" width="8.26953125" style="3" customWidth="1"/>
    <col min="13" max="13" width="7.26953125" style="3" customWidth="1"/>
    <col min="14" max="14" width="8.54296875" style="3" customWidth="1"/>
    <col min="15" max="15" width="6.453125" style="3" customWidth="1"/>
    <col min="16" max="16" width="7.7265625" style="3" customWidth="1"/>
    <col min="17" max="17" width="8.453125" style="3" customWidth="1"/>
    <col min="18" max="19" width="7.26953125" style="3" customWidth="1"/>
    <col min="20" max="20" width="9.26953125" style="3"/>
    <col min="21" max="21" width="7.26953125" style="3" customWidth="1"/>
    <col min="22" max="16384" width="9.26953125" style="3"/>
  </cols>
  <sheetData>
    <row r="1" spans="1:251" s="262" customFormat="1" ht="15" x14ac:dyDescent="0.3">
      <c r="A1" s="245" t="s">
        <v>200</v>
      </c>
      <c r="B1" s="263" t="s">
        <v>45</v>
      </c>
    </row>
    <row r="2" spans="1:251" s="263" customFormat="1" ht="15" x14ac:dyDescent="0.3">
      <c r="A2" s="264" t="s">
        <v>201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</row>
    <row r="3" spans="1:251" s="262" customFormat="1" ht="15" x14ac:dyDescent="0.3">
      <c r="A3" s="267"/>
    </row>
    <row r="4" spans="1:251" s="262" customFormat="1" ht="15" x14ac:dyDescent="0.3">
      <c r="A4" s="270"/>
      <c r="B4" s="272"/>
    </row>
    <row r="5" spans="1:251" s="262" customFormat="1" ht="15" x14ac:dyDescent="0.3">
      <c r="A5" s="245" t="s">
        <v>41</v>
      </c>
      <c r="B5" s="260">
        <v>2024</v>
      </c>
      <c r="C5" s="261">
        <v>2025</v>
      </c>
      <c r="D5" s="261">
        <v>2026</v>
      </c>
      <c r="E5" s="261">
        <v>2027</v>
      </c>
      <c r="F5" s="261"/>
      <c r="H5" s="282" t="s">
        <v>325</v>
      </c>
      <c r="I5" s="282"/>
      <c r="J5" s="282"/>
      <c r="K5" s="282"/>
      <c r="L5" s="282"/>
      <c r="M5" s="282"/>
      <c r="N5" s="282"/>
      <c r="O5" s="282"/>
      <c r="P5" s="435" t="s">
        <v>326</v>
      </c>
      <c r="Q5" s="282"/>
      <c r="R5" s="282"/>
      <c r="S5" s="282"/>
      <c r="T5" s="282"/>
      <c r="U5" s="282"/>
    </row>
    <row r="6" spans="1:251" s="4" customFormat="1" ht="32.25" customHeight="1" x14ac:dyDescent="0.35">
      <c r="A6" s="28"/>
      <c r="B6" s="124"/>
      <c r="C6" s="124"/>
      <c r="D6" s="124"/>
      <c r="E6" s="124"/>
      <c r="F6" s="281"/>
      <c r="G6" s="1"/>
      <c r="H6" s="283" t="s">
        <v>194</v>
      </c>
      <c r="I6" s="398" t="s">
        <v>276</v>
      </c>
      <c r="J6" s="287" t="s">
        <v>219</v>
      </c>
      <c r="K6" s="287" t="s">
        <v>220</v>
      </c>
      <c r="L6" s="287" t="s">
        <v>221</v>
      </c>
      <c r="M6" s="287" t="s">
        <v>222</v>
      </c>
      <c r="N6" s="287" t="s">
        <v>223</v>
      </c>
      <c r="O6" s="287" t="s">
        <v>224</v>
      </c>
      <c r="P6" s="287" t="s">
        <v>225</v>
      </c>
      <c r="Q6" s="287" t="s">
        <v>226</v>
      </c>
      <c r="R6" s="287" t="s">
        <v>227</v>
      </c>
      <c r="S6" s="287" t="s">
        <v>228</v>
      </c>
      <c r="T6" s="287" t="s">
        <v>229</v>
      </c>
      <c r="U6" s="287" t="s">
        <v>230</v>
      </c>
    </row>
    <row r="7" spans="1:251" s="4" customFormat="1" x14ac:dyDescent="0.35">
      <c r="A7" s="23"/>
      <c r="B7" s="124"/>
      <c r="C7" s="28"/>
      <c r="D7" s="28"/>
      <c r="E7" s="28"/>
      <c r="F7" s="281"/>
      <c r="G7" s="233"/>
      <c r="H7" s="284">
        <v>2005</v>
      </c>
      <c r="I7" s="286">
        <f>AVERAGE(M7:R7)</f>
        <v>100.02833333333335</v>
      </c>
      <c r="J7" s="436">
        <v>99.09</v>
      </c>
      <c r="K7" s="437">
        <v>99.79</v>
      </c>
      <c r="L7" s="437">
        <v>100.09</v>
      </c>
      <c r="M7" s="437">
        <v>100.19</v>
      </c>
      <c r="N7" s="437">
        <v>99.91</v>
      </c>
      <c r="O7" s="437">
        <v>100.02</v>
      </c>
      <c r="P7" s="437">
        <v>99.59</v>
      </c>
      <c r="Q7" s="437">
        <v>99.96</v>
      </c>
      <c r="R7" s="437">
        <v>100.5</v>
      </c>
      <c r="S7" s="437">
        <v>100.42</v>
      </c>
      <c r="T7" s="437">
        <v>100.18</v>
      </c>
      <c r="U7" s="438">
        <v>100.2</v>
      </c>
    </row>
    <row r="8" spans="1:251" x14ac:dyDescent="0.35">
      <c r="A8" s="56" t="s">
        <v>40</v>
      </c>
      <c r="B8" s="434">
        <v>0.2</v>
      </c>
      <c r="C8" s="41">
        <v>0.2</v>
      </c>
      <c r="D8" s="41">
        <v>0.2</v>
      </c>
      <c r="E8" s="41">
        <v>0.2</v>
      </c>
      <c r="F8" s="235"/>
      <c r="G8" s="233"/>
      <c r="H8" s="284">
        <v>2006</v>
      </c>
      <c r="I8" s="286">
        <f t="shared" ref="I8:I22" si="0">AVERAGE(M8:R8)</f>
        <v>101.705</v>
      </c>
      <c r="J8" s="439">
        <v>99.88</v>
      </c>
      <c r="K8" s="440">
        <v>100.68</v>
      </c>
      <c r="L8" s="440">
        <v>100.99</v>
      </c>
      <c r="M8" s="440">
        <v>101.52</v>
      </c>
      <c r="N8" s="440">
        <v>101.64</v>
      </c>
      <c r="O8" s="440">
        <v>101.74</v>
      </c>
      <c r="P8" s="440">
        <v>101.47</v>
      </c>
      <c r="Q8" s="440">
        <v>101.86</v>
      </c>
      <c r="R8" s="440">
        <v>102</v>
      </c>
      <c r="S8" s="440">
        <v>102.27</v>
      </c>
      <c r="T8" s="440">
        <v>102.32</v>
      </c>
      <c r="U8" s="441">
        <v>102.43</v>
      </c>
    </row>
    <row r="9" spans="1:251" x14ac:dyDescent="0.35">
      <c r="A9" s="125"/>
      <c r="B9" s="42"/>
      <c r="C9" s="126"/>
      <c r="D9" s="126"/>
      <c r="E9" s="126"/>
      <c r="F9" s="235"/>
      <c r="G9" s="233"/>
      <c r="H9" s="284">
        <v>2007</v>
      </c>
      <c r="I9" s="286">
        <f t="shared" si="0"/>
        <v>104.22166666666665</v>
      </c>
      <c r="J9" s="439">
        <v>102.22</v>
      </c>
      <c r="K9" s="440">
        <v>102.86</v>
      </c>
      <c r="L9" s="440">
        <v>103.64</v>
      </c>
      <c r="M9" s="440">
        <v>104.14</v>
      </c>
      <c r="N9" s="440">
        <v>104.03</v>
      </c>
      <c r="O9" s="440">
        <v>104.18</v>
      </c>
      <c r="P9" s="440">
        <v>104.07</v>
      </c>
      <c r="Q9" s="440">
        <v>104.22</v>
      </c>
      <c r="R9" s="440">
        <v>104.69</v>
      </c>
      <c r="S9" s="440">
        <v>105.01</v>
      </c>
      <c r="T9" s="440">
        <v>105.25</v>
      </c>
      <c r="U9" s="441">
        <v>105.07</v>
      </c>
    </row>
    <row r="10" spans="1:251" x14ac:dyDescent="0.35">
      <c r="A10" s="56" t="str">
        <f>"Verkon liittymismaksukertymä 31.12.2004 (1.000 €)"</f>
        <v>Verkon liittymismaksukertymä 31.12.2004 (1.000 €)</v>
      </c>
      <c r="B10" s="39"/>
      <c r="C10" s="126"/>
      <c r="D10" s="126"/>
      <c r="E10" s="126"/>
      <c r="F10" s="235"/>
      <c r="G10" s="233"/>
      <c r="H10" s="284">
        <v>2008</v>
      </c>
      <c r="I10" s="286">
        <f t="shared" si="0"/>
        <v>108.705</v>
      </c>
      <c r="J10" s="439">
        <v>106.15</v>
      </c>
      <c r="K10" s="440">
        <v>106.69</v>
      </c>
      <c r="L10" s="440">
        <v>107.64</v>
      </c>
      <c r="M10" s="440">
        <v>107.8</v>
      </c>
      <c r="N10" s="440">
        <v>108.37</v>
      </c>
      <c r="O10" s="440">
        <v>108.76</v>
      </c>
      <c r="P10" s="440">
        <v>108.6</v>
      </c>
      <c r="Q10" s="440">
        <v>109.08</v>
      </c>
      <c r="R10" s="440">
        <v>109.62</v>
      </c>
      <c r="S10" s="440">
        <v>109.6</v>
      </c>
      <c r="T10" s="440">
        <v>109.05</v>
      </c>
      <c r="U10" s="441">
        <v>108.72</v>
      </c>
    </row>
    <row r="11" spans="1:251" x14ac:dyDescent="0.35">
      <c r="A11" s="56" t="str">
        <f>"Verkon liittymismaksukertymä edellisen vuoden lopussa "</f>
        <v xml:space="preserve">Verkon liittymismaksukertymä edellisen vuoden lopussa </v>
      </c>
      <c r="B11" s="39"/>
      <c r="C11" s="43">
        <f>Vastattavaa!F33</f>
        <v>0</v>
      </c>
      <c r="D11" s="43">
        <f>Vastattavaa!G33</f>
        <v>0</v>
      </c>
      <c r="E11" s="43">
        <f>Vastattavaa!H33</f>
        <v>0</v>
      </c>
      <c r="F11" s="235"/>
      <c r="G11" s="234"/>
      <c r="H11" s="284">
        <v>2009</v>
      </c>
      <c r="I11" s="286">
        <f t="shared" si="0"/>
        <v>108.41166666666668</v>
      </c>
      <c r="J11" s="439">
        <v>108.46</v>
      </c>
      <c r="K11" s="440">
        <v>108.55</v>
      </c>
      <c r="L11" s="440">
        <v>108.63</v>
      </c>
      <c r="M11" s="440">
        <v>108.61</v>
      </c>
      <c r="N11" s="440">
        <v>108.41</v>
      </c>
      <c r="O11" s="440">
        <v>108.67</v>
      </c>
      <c r="P11" s="440">
        <v>107.97</v>
      </c>
      <c r="Q11" s="440">
        <v>108.31</v>
      </c>
      <c r="R11" s="440">
        <v>108.5</v>
      </c>
      <c r="S11" s="440">
        <v>107.92</v>
      </c>
      <c r="T11" s="440">
        <v>108.03</v>
      </c>
      <c r="U11" s="441">
        <v>108.13</v>
      </c>
    </row>
    <row r="12" spans="1:251" x14ac:dyDescent="0.35">
      <c r="A12" s="56"/>
      <c r="B12" s="56"/>
      <c r="C12" s="273"/>
      <c r="D12" s="273"/>
      <c r="E12" s="273"/>
      <c r="F12" s="235"/>
      <c r="G12" s="234"/>
      <c r="H12" s="284">
        <v>2010</v>
      </c>
      <c r="I12" s="286">
        <f t="shared" si="0"/>
        <v>109.56</v>
      </c>
      <c r="J12" s="439">
        <v>108.26</v>
      </c>
      <c r="K12" s="440">
        <v>108.68</v>
      </c>
      <c r="L12" s="440">
        <v>109.24</v>
      </c>
      <c r="M12" s="440">
        <v>109.54</v>
      </c>
      <c r="N12" s="440">
        <v>109.44</v>
      </c>
      <c r="O12" s="440">
        <v>109.67</v>
      </c>
      <c r="P12" s="440">
        <v>109.11</v>
      </c>
      <c r="Q12" s="440">
        <v>109.57</v>
      </c>
      <c r="R12" s="440">
        <v>110.03</v>
      </c>
      <c r="S12" s="440">
        <v>110.45</v>
      </c>
      <c r="T12" s="440">
        <v>110.72</v>
      </c>
      <c r="U12" s="441">
        <v>111.27</v>
      </c>
    </row>
    <row r="13" spans="1:251" x14ac:dyDescent="0.35">
      <c r="A13" s="274" t="s">
        <v>204</v>
      </c>
      <c r="B13" s="44"/>
      <c r="C13" s="126"/>
      <c r="D13" s="126"/>
      <c r="E13" s="126"/>
      <c r="F13" s="235"/>
      <c r="G13" s="234"/>
      <c r="H13" s="284">
        <v>2011</v>
      </c>
      <c r="I13" s="286">
        <f t="shared" si="0"/>
        <v>113.52166666666666</v>
      </c>
      <c r="J13" s="439">
        <v>111.68</v>
      </c>
      <c r="K13" s="440">
        <v>112.35</v>
      </c>
      <c r="L13" s="440">
        <v>112.96</v>
      </c>
      <c r="M13" s="440">
        <v>113.19</v>
      </c>
      <c r="N13" s="440">
        <v>113.25</v>
      </c>
      <c r="O13" s="440">
        <v>113.57</v>
      </c>
      <c r="P13" s="440">
        <v>113.25</v>
      </c>
      <c r="Q13" s="440">
        <v>113.7</v>
      </c>
      <c r="R13" s="440">
        <v>114.17</v>
      </c>
      <c r="S13" s="440">
        <v>114.45</v>
      </c>
      <c r="T13" s="440">
        <v>114.53</v>
      </c>
      <c r="U13" s="441">
        <v>114.49</v>
      </c>
    </row>
    <row r="14" spans="1:251" ht="43.5" x14ac:dyDescent="0.35">
      <c r="A14" s="50" t="s">
        <v>318</v>
      </c>
      <c r="B14" s="543">
        <v>2.4799999999999999E-2</v>
      </c>
      <c r="C14" s="46"/>
      <c r="D14" s="46"/>
      <c r="E14" s="46"/>
      <c r="H14" s="284">
        <v>2012</v>
      </c>
      <c r="I14" s="286">
        <f t="shared" si="0"/>
        <v>116.80166666666666</v>
      </c>
      <c r="J14" s="439">
        <v>115.22</v>
      </c>
      <c r="K14" s="440">
        <v>115.85</v>
      </c>
      <c r="L14" s="440">
        <v>116.3</v>
      </c>
      <c r="M14" s="440">
        <v>116.7</v>
      </c>
      <c r="N14" s="440">
        <v>116.71</v>
      </c>
      <c r="O14" s="440">
        <v>116.79</v>
      </c>
      <c r="P14" s="440">
        <v>116.57</v>
      </c>
      <c r="Q14" s="440">
        <v>116.79</v>
      </c>
      <c r="R14" s="440">
        <v>117.25</v>
      </c>
      <c r="S14" s="440">
        <v>117.42</v>
      </c>
      <c r="T14" s="440">
        <v>117.04</v>
      </c>
      <c r="U14" s="441">
        <v>117.19</v>
      </c>
    </row>
    <row r="15" spans="1:251" ht="29" x14ac:dyDescent="0.35">
      <c r="A15" s="50" t="s">
        <v>372</v>
      </c>
      <c r="B15" s="543">
        <v>3.0700000000000002E-2</v>
      </c>
      <c r="C15" s="46"/>
      <c r="D15" s="46"/>
      <c r="E15" s="46"/>
      <c r="H15" s="284">
        <v>2013</v>
      </c>
      <c r="I15" s="286"/>
      <c r="J15" s="439">
        <v>117.1</v>
      </c>
      <c r="K15" s="440">
        <v>117.79</v>
      </c>
      <c r="L15" s="440">
        <v>118.32</v>
      </c>
      <c r="M15" s="440">
        <v>118.5</v>
      </c>
      <c r="N15" s="440">
        <v>118.52</v>
      </c>
      <c r="O15" s="440">
        <v>118.45</v>
      </c>
      <c r="P15" s="440">
        <v>118.42</v>
      </c>
      <c r="Q15" s="440">
        <v>118.24</v>
      </c>
      <c r="R15" s="440">
        <v>118.65</v>
      </c>
      <c r="S15" s="440">
        <v>118.82</v>
      </c>
      <c r="T15" s="440">
        <v>118.64</v>
      </c>
      <c r="U15" s="441">
        <v>119.08</v>
      </c>
    </row>
    <row r="16" spans="1:251" x14ac:dyDescent="0.35">
      <c r="A16" s="50" t="s">
        <v>319</v>
      </c>
      <c r="B16" s="543">
        <f>B15-B14</f>
        <v>5.9000000000000025E-3</v>
      </c>
      <c r="C16" s="543">
        <f t="shared" ref="C16:E16" si="1">C14-C15</f>
        <v>0</v>
      </c>
      <c r="D16" s="543">
        <f t="shared" si="1"/>
        <v>0</v>
      </c>
      <c r="E16" s="543">
        <f t="shared" si="1"/>
        <v>0</v>
      </c>
      <c r="H16" s="284">
        <v>2014</v>
      </c>
      <c r="I16" s="286">
        <f t="shared" si="0"/>
        <v>119.66500000000001</v>
      </c>
      <c r="J16" s="439">
        <v>119</v>
      </c>
      <c r="K16" s="440">
        <v>119.3</v>
      </c>
      <c r="L16" s="440">
        <v>119.58</v>
      </c>
      <c r="M16" s="440">
        <v>119.75</v>
      </c>
      <c r="N16" s="440">
        <v>119.46</v>
      </c>
      <c r="O16" s="440">
        <v>119.54</v>
      </c>
      <c r="P16" s="440">
        <v>119.41</v>
      </c>
      <c r="Q16" s="440">
        <v>119.59</v>
      </c>
      <c r="R16" s="440">
        <v>120.24</v>
      </c>
      <c r="S16" s="440">
        <v>120.02</v>
      </c>
      <c r="T16" s="440">
        <v>119.8</v>
      </c>
      <c r="U16" s="441">
        <v>119.64</v>
      </c>
    </row>
    <row r="17" spans="1:23" x14ac:dyDescent="0.35">
      <c r="A17" s="53" t="s">
        <v>93</v>
      </c>
      <c r="B17" s="544">
        <v>4.6100000000000002E-2</v>
      </c>
      <c r="C17" s="544">
        <v>4.5999999999999999E-2</v>
      </c>
      <c r="D17" s="544">
        <v>4.5999999999999999E-2</v>
      </c>
      <c r="E17" s="544">
        <v>4.5999999999999999E-2</v>
      </c>
      <c r="H17" s="284">
        <v>2015</v>
      </c>
      <c r="I17" s="286">
        <f t="shared" si="0"/>
        <v>119.38999999999999</v>
      </c>
      <c r="J17" s="439">
        <v>118.82</v>
      </c>
      <c r="K17" s="440">
        <v>119.12</v>
      </c>
      <c r="L17" s="440">
        <v>119.51</v>
      </c>
      <c r="M17" s="440">
        <v>119.5</v>
      </c>
      <c r="N17" s="440">
        <v>119.41</v>
      </c>
      <c r="O17" s="440">
        <v>119.41</v>
      </c>
      <c r="P17" s="440">
        <v>119.14</v>
      </c>
      <c r="Q17" s="440">
        <v>119.36</v>
      </c>
      <c r="R17" s="440">
        <v>119.52</v>
      </c>
      <c r="S17" s="440">
        <v>119.71</v>
      </c>
      <c r="T17" s="440">
        <v>119.51</v>
      </c>
      <c r="U17" s="441">
        <v>119.36</v>
      </c>
    </row>
    <row r="18" spans="1:23" x14ac:dyDescent="0.35">
      <c r="A18" s="53" t="s">
        <v>205</v>
      </c>
      <c r="B18" s="544">
        <v>2.1000000000000001E-2</v>
      </c>
      <c r="C18" s="544">
        <v>2.1000000000000001E-2</v>
      </c>
      <c r="D18" s="431"/>
      <c r="E18" s="544">
        <f>D18</f>
        <v>0</v>
      </c>
      <c r="H18" s="284">
        <v>2016</v>
      </c>
      <c r="I18" s="286">
        <f t="shared" si="0"/>
        <v>119.83333333333333</v>
      </c>
      <c r="J18" s="439">
        <v>118.85</v>
      </c>
      <c r="K18" s="440">
        <v>119.01</v>
      </c>
      <c r="L18" s="440">
        <v>119.46</v>
      </c>
      <c r="M18" s="440">
        <v>119.82</v>
      </c>
      <c r="N18" s="440">
        <v>119.77</v>
      </c>
      <c r="O18" s="440">
        <v>119.84</v>
      </c>
      <c r="P18" s="440">
        <v>119.75</v>
      </c>
      <c r="Q18" s="440">
        <v>119.81</v>
      </c>
      <c r="R18" s="440">
        <v>120.01</v>
      </c>
      <c r="S18" s="440">
        <v>120.27</v>
      </c>
      <c r="T18" s="440">
        <v>120.29</v>
      </c>
      <c r="U18" s="441">
        <v>120.59</v>
      </c>
    </row>
    <row r="19" spans="1:23" x14ac:dyDescent="0.35">
      <c r="A19" s="53" t="s">
        <v>39</v>
      </c>
      <c r="B19" s="545">
        <v>0.48</v>
      </c>
      <c r="C19" s="545">
        <v>0.48</v>
      </c>
      <c r="D19" s="432"/>
      <c r="E19" s="545">
        <f>D19</f>
        <v>0</v>
      </c>
      <c r="H19" s="284">
        <v>2017</v>
      </c>
      <c r="I19" s="286">
        <f t="shared" si="0"/>
        <v>120.70333333333333</v>
      </c>
      <c r="J19" s="439">
        <v>119.86</v>
      </c>
      <c r="K19" s="440">
        <v>120.46</v>
      </c>
      <c r="L19" s="440">
        <v>120.46</v>
      </c>
      <c r="M19" s="440">
        <v>120.83</v>
      </c>
      <c r="N19" s="440">
        <v>120.64</v>
      </c>
      <c r="O19" s="440">
        <v>120.73</v>
      </c>
      <c r="P19" s="440">
        <v>120.39</v>
      </c>
      <c r="Q19" s="440">
        <v>120.69</v>
      </c>
      <c r="R19" s="440">
        <v>120.94</v>
      </c>
      <c r="S19" s="440">
        <v>120.92</v>
      </c>
      <c r="T19" s="440">
        <v>121.22</v>
      </c>
      <c r="U19" s="441">
        <v>121.17</v>
      </c>
    </row>
    <row r="20" spans="1:23" x14ac:dyDescent="0.35">
      <c r="A20" s="56" t="s">
        <v>206</v>
      </c>
      <c r="B20" s="546">
        <f>B19*(1+(1-B8)*B23/B21)</f>
        <v>0.9307826086956521</v>
      </c>
      <c r="C20" s="546">
        <f>C19*(1+(1-C8)*C23/C21)</f>
        <v>0.9307826086956521</v>
      </c>
      <c r="D20" s="560" t="e">
        <f>D19*(1+(1-D8)*D23/D21)</f>
        <v>#DIV/0!</v>
      </c>
      <c r="E20" s="560" t="e">
        <f>E19*(1+(1-E8)*E23/E21)</f>
        <v>#DIV/0!</v>
      </c>
      <c r="H20" s="284">
        <v>2018</v>
      </c>
      <c r="I20" s="286">
        <f t="shared" si="0"/>
        <v>122.07666666666667</v>
      </c>
      <c r="J20" s="439">
        <v>120.81</v>
      </c>
      <c r="K20" s="440">
        <v>121.19</v>
      </c>
      <c r="L20" s="440">
        <v>121.43</v>
      </c>
      <c r="M20" s="440">
        <v>121.74</v>
      </c>
      <c r="N20" s="440">
        <v>121.87</v>
      </c>
      <c r="O20" s="440">
        <v>122.13</v>
      </c>
      <c r="P20" s="440">
        <v>122.03</v>
      </c>
      <c r="Q20" s="440">
        <v>122.22</v>
      </c>
      <c r="R20" s="440">
        <v>122.47</v>
      </c>
      <c r="S20" s="440">
        <v>122.77</v>
      </c>
      <c r="T20" s="440">
        <v>122.74</v>
      </c>
      <c r="U20" s="441">
        <v>122.6</v>
      </c>
    </row>
    <row r="21" spans="1:23" x14ac:dyDescent="0.35">
      <c r="A21" s="56" t="s">
        <v>43</v>
      </c>
      <c r="B21" s="547">
        <v>0.46</v>
      </c>
      <c r="C21" s="547">
        <v>0.46</v>
      </c>
      <c r="D21" s="433"/>
      <c r="E21" s="547">
        <f>D21</f>
        <v>0</v>
      </c>
      <c r="H21" s="284">
        <v>2019</v>
      </c>
      <c r="I21" s="286">
        <f t="shared" si="0"/>
        <v>123.395</v>
      </c>
      <c r="J21" s="439">
        <v>122.13</v>
      </c>
      <c r="K21" s="440">
        <v>122.71</v>
      </c>
      <c r="L21" s="440">
        <v>122.79</v>
      </c>
      <c r="M21" s="440">
        <v>123.51</v>
      </c>
      <c r="N21" s="440">
        <v>123.3</v>
      </c>
      <c r="O21" s="440">
        <v>123.38</v>
      </c>
      <c r="P21" s="440">
        <v>123.04</v>
      </c>
      <c r="Q21" s="440">
        <v>123.55</v>
      </c>
      <c r="R21" s="440">
        <v>123.59</v>
      </c>
      <c r="S21" s="440">
        <v>123.7</v>
      </c>
      <c r="T21" s="440">
        <v>123.57</v>
      </c>
      <c r="U21" s="441">
        <v>123.73</v>
      </c>
    </row>
    <row r="22" spans="1:23" x14ac:dyDescent="0.35">
      <c r="A22" s="50" t="s">
        <v>92</v>
      </c>
      <c r="B22" s="47">
        <v>6.0000000000000001E-3</v>
      </c>
      <c r="C22" s="47">
        <v>6.0000000000000001E-3</v>
      </c>
      <c r="D22" s="47">
        <v>6.0000000000000001E-3</v>
      </c>
      <c r="E22" s="47">
        <v>6.0000000000000001E-3</v>
      </c>
      <c r="H22" s="284">
        <v>2020</v>
      </c>
      <c r="I22" s="286">
        <f t="shared" si="0"/>
        <v>123.48333333333333</v>
      </c>
      <c r="J22" s="439">
        <v>123.34</v>
      </c>
      <c r="K22" s="440">
        <v>123.75</v>
      </c>
      <c r="L22" s="440">
        <v>123.54</v>
      </c>
      <c r="M22" s="440">
        <v>123.12</v>
      </c>
      <c r="N22" s="440">
        <v>123.09</v>
      </c>
      <c r="O22" s="440">
        <v>123.33</v>
      </c>
      <c r="P22" s="440">
        <v>123.77</v>
      </c>
      <c r="Q22" s="440">
        <v>123.8</v>
      </c>
      <c r="R22" s="440">
        <v>123.79</v>
      </c>
      <c r="S22" s="440">
        <v>123.92</v>
      </c>
      <c r="T22" s="440">
        <v>123.83</v>
      </c>
      <c r="U22" s="441">
        <v>124.01</v>
      </c>
    </row>
    <row r="23" spans="1:23" x14ac:dyDescent="0.35">
      <c r="A23" s="56" t="s">
        <v>207</v>
      </c>
      <c r="B23" s="547">
        <f>1-B21</f>
        <v>0.54</v>
      </c>
      <c r="C23" s="547">
        <f t="shared" ref="C23:E23" si="2">1-C21</f>
        <v>0.54</v>
      </c>
      <c r="D23" s="559">
        <f t="shared" si="2"/>
        <v>1</v>
      </c>
      <c r="E23" s="559">
        <f t="shared" si="2"/>
        <v>1</v>
      </c>
      <c r="H23" s="284">
        <v>2021</v>
      </c>
      <c r="I23" s="286">
        <f>AVERAGE(M23:R23)</f>
        <v>126.13333333333333</v>
      </c>
      <c r="J23" s="439">
        <v>124.43</v>
      </c>
      <c r="K23" s="440">
        <v>124.88</v>
      </c>
      <c r="L23" s="440">
        <v>125.18</v>
      </c>
      <c r="M23" s="440">
        <v>125.65</v>
      </c>
      <c r="N23" s="440">
        <v>125.84</v>
      </c>
      <c r="O23" s="440">
        <v>125.76</v>
      </c>
      <c r="P23" s="440">
        <v>126.18</v>
      </c>
      <c r="Q23" s="440">
        <v>126.49</v>
      </c>
      <c r="R23" s="440">
        <v>126.88</v>
      </c>
      <c r="S23" s="440">
        <v>127.83</v>
      </c>
      <c r="T23" s="440">
        <v>128.41</v>
      </c>
      <c r="U23" s="441">
        <v>128.32</v>
      </c>
    </row>
    <row r="24" spans="1:23" x14ac:dyDescent="0.35">
      <c r="A24" s="53" t="s">
        <v>209</v>
      </c>
      <c r="B24" s="548">
        <f>B18+B14+B16</f>
        <v>5.1700000000000003E-2</v>
      </c>
      <c r="C24" s="37">
        <f>C18+C14+C16</f>
        <v>2.1000000000000001E-2</v>
      </c>
      <c r="D24" s="37">
        <f>D18+D14+D16</f>
        <v>0</v>
      </c>
      <c r="E24" s="37">
        <f>E18+E14+E16</f>
        <v>0</v>
      </c>
      <c r="H24" s="284">
        <v>2022</v>
      </c>
      <c r="I24" s="442">
        <f>AVERAGE(M24:R24)</f>
        <v>135.38833333333332</v>
      </c>
      <c r="J24" s="439">
        <v>129.87</v>
      </c>
      <c r="K24" s="440">
        <v>130.55000000000001</v>
      </c>
      <c r="L24" s="440">
        <v>132.44</v>
      </c>
      <c r="M24" s="440">
        <v>132.86000000000001</v>
      </c>
      <c r="N24" s="440">
        <v>134.6</v>
      </c>
      <c r="O24" s="440">
        <v>135.57</v>
      </c>
      <c r="P24" s="440">
        <v>136.01</v>
      </c>
      <c r="Q24" s="440">
        <v>136.11000000000001</v>
      </c>
      <c r="R24" s="440">
        <v>137.18</v>
      </c>
      <c r="S24" s="440">
        <v>138.44999999999999</v>
      </c>
      <c r="T24" s="440">
        <v>140.13999999999999</v>
      </c>
      <c r="U24" s="441">
        <v>140.05000000000001</v>
      </c>
    </row>
    <row r="25" spans="1:23" x14ac:dyDescent="0.35">
      <c r="A25" s="53" t="s">
        <v>210</v>
      </c>
      <c r="B25" s="549">
        <f>B14+(B20*B17)+B22+B16</f>
        <v>7.9609078260869576E-2</v>
      </c>
      <c r="C25" s="558">
        <f>C14+(C20*C17)+C22+C16</f>
        <v>4.8815999999999991E-2</v>
      </c>
      <c r="D25" s="558" t="e">
        <f>D14+(D20*D17)+D22+D16</f>
        <v>#DIV/0!</v>
      </c>
      <c r="E25" s="558" t="e">
        <f>E14+(E20*E17)+E22+E16</f>
        <v>#DIV/0!</v>
      </c>
      <c r="H25" s="284">
        <v>2023</v>
      </c>
      <c r="I25" s="442">
        <f>AVERAGE(M25:R25)</f>
        <v>144.09333333333333</v>
      </c>
      <c r="J25" s="439">
        <v>140.84</v>
      </c>
      <c r="K25" s="440">
        <v>142.02000000000001</v>
      </c>
      <c r="L25" s="440">
        <v>142.94999999999999</v>
      </c>
      <c r="M25" s="440">
        <v>143.38999999999999</v>
      </c>
      <c r="N25" s="440">
        <v>143.78</v>
      </c>
      <c r="O25" s="440">
        <v>144.07</v>
      </c>
      <c r="P25" s="440">
        <v>144.79</v>
      </c>
      <c r="Q25" s="440">
        <v>143.76</v>
      </c>
      <c r="R25" s="440">
        <v>144.77000000000001</v>
      </c>
      <c r="S25" s="440">
        <v>145.16999999999999</v>
      </c>
      <c r="T25" s="440">
        <v>144.69999999999999</v>
      </c>
      <c r="U25" s="441">
        <v>145.08000000000001</v>
      </c>
    </row>
    <row r="26" spans="1:23" x14ac:dyDescent="0.35">
      <c r="A26" s="53"/>
      <c r="B26" s="275"/>
      <c r="C26" s="275"/>
      <c r="D26" s="275"/>
      <c r="E26" s="275"/>
      <c r="H26" s="284">
        <v>2024</v>
      </c>
      <c r="I26" s="288" t="e">
        <f>AVERAGE(M26:R26)</f>
        <v>#DIV/0!</v>
      </c>
      <c r="J26" s="552"/>
      <c r="K26" s="553"/>
      <c r="L26" s="553"/>
      <c r="M26" s="553"/>
      <c r="N26" s="553"/>
      <c r="O26" s="553"/>
      <c r="P26" s="553"/>
      <c r="Q26" s="553"/>
      <c r="R26" s="553"/>
      <c r="S26" s="553"/>
      <c r="T26" s="553"/>
      <c r="U26" s="554"/>
    </row>
    <row r="27" spans="1:23" x14ac:dyDescent="0.35">
      <c r="A27" s="56" t="s">
        <v>204</v>
      </c>
      <c r="B27" s="550">
        <f>B25*(B21/(B23+B21))+B24*(1-B8)*(B23/(B23+B21))</f>
        <v>5.8954576000000009E-2</v>
      </c>
      <c r="C27" s="561">
        <f>C25*(C21/(C23+C21))+C24*(1-C8)*(C23/(C23+C21))</f>
        <v>3.1527359999999997E-2</v>
      </c>
      <c r="D27" s="561" t="e">
        <f>D25*(D21/(D23+D21))+D24*(1-D8)*(D23/(D23+D21))</f>
        <v>#DIV/0!</v>
      </c>
      <c r="E27" s="561" t="e">
        <f>E25*(E21/(E23+E21))+E24*(1-E8)*(E23/(E23+E21))</f>
        <v>#DIV/0!</v>
      </c>
      <c r="H27" s="284">
        <v>2025</v>
      </c>
      <c r="I27" s="288" t="e">
        <f t="shared" ref="I27:I29" si="3">AVERAGE(M27:R27)</f>
        <v>#DIV/0!</v>
      </c>
      <c r="J27" s="552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4"/>
    </row>
    <row r="28" spans="1:23" x14ac:dyDescent="0.35">
      <c r="A28" s="55" t="s">
        <v>208</v>
      </c>
      <c r="B28" s="551">
        <f>B27/(1-B8)</f>
        <v>7.3693220000000004E-2</v>
      </c>
      <c r="C28" s="562">
        <f>C27/(1-C8)</f>
        <v>3.9409199999999991E-2</v>
      </c>
      <c r="D28" s="562" t="e">
        <f>D27/(1-D8)</f>
        <v>#DIV/0!</v>
      </c>
      <c r="E28" s="562" t="e">
        <f>E27/(1-E8)</f>
        <v>#DIV/0!</v>
      </c>
      <c r="H28" s="284">
        <v>2026</v>
      </c>
      <c r="I28" s="288" t="e">
        <f t="shared" si="3"/>
        <v>#DIV/0!</v>
      </c>
      <c r="J28" s="552"/>
      <c r="K28" s="553"/>
      <c r="L28" s="553"/>
      <c r="M28" s="553"/>
      <c r="N28" s="553"/>
      <c r="O28" s="553"/>
      <c r="P28" s="553"/>
      <c r="Q28" s="553"/>
      <c r="R28" s="553"/>
      <c r="S28" s="553"/>
      <c r="T28" s="553"/>
      <c r="U28" s="554"/>
    </row>
    <row r="29" spans="1:23" x14ac:dyDescent="0.35">
      <c r="A29" s="129"/>
      <c r="B29" s="48"/>
      <c r="C29" s="48"/>
      <c r="D29" s="48"/>
      <c r="E29" s="133"/>
      <c r="H29" s="284">
        <v>2027</v>
      </c>
      <c r="I29" s="288" t="e">
        <f t="shared" si="3"/>
        <v>#DIV/0!</v>
      </c>
      <c r="J29" s="555"/>
      <c r="K29" s="556"/>
      <c r="L29" s="556"/>
      <c r="M29" s="556"/>
      <c r="N29" s="556"/>
      <c r="O29" s="556"/>
      <c r="P29" s="556"/>
      <c r="Q29" s="556"/>
      <c r="R29" s="556"/>
      <c r="S29" s="556"/>
      <c r="T29" s="556"/>
      <c r="U29" s="557"/>
    </row>
    <row r="30" spans="1:23" x14ac:dyDescent="0.35">
      <c r="A30" s="564" t="s">
        <v>211</v>
      </c>
      <c r="B30" s="242">
        <f>0.1*Tuloslaskelma!F13</f>
        <v>0</v>
      </c>
      <c r="C30" s="242">
        <f>0.1*Tuloslaskelma!G13</f>
        <v>0</v>
      </c>
      <c r="D30" s="242">
        <f>0.1*Tuloslaskelma!H13</f>
        <v>0</v>
      </c>
      <c r="E30" s="242">
        <f>0.1*Tuloslaskelma!I13</f>
        <v>0</v>
      </c>
      <c r="F30" s="276"/>
      <c r="H30" s="285"/>
      <c r="N30" s="4"/>
      <c r="O30" s="4"/>
      <c r="P30" s="4"/>
      <c r="Q30" s="4"/>
      <c r="R30" s="4"/>
      <c r="S30" s="4"/>
      <c r="T30" s="4"/>
      <c r="U30" s="4"/>
    </row>
    <row r="31" spans="1:23" x14ac:dyDescent="0.35">
      <c r="A31" s="564" t="s">
        <v>125</v>
      </c>
      <c r="B31" s="242">
        <f>Vastaavaa!F29+Vastaavaa!F30+Vastaavaa!F33+Vastaavaa!F34+Vastaavaa!F35+Vastaavaa!F36-SUMIF(Vastaavaa!F29:F30,"&lt;0")-SUMIF(Vastaavaa!F33:F36,"&lt;0")+(-Tuloslaskelma!F73)-Tuloslaskelma!F70-Tuloslaskelma!F71-IF((Vastattavaa!F23)&gt;Tuloslaskelma!F75,Tuloslaskelma!F75,(Vastattavaa!F23))</f>
        <v>0</v>
      </c>
      <c r="C31" s="242">
        <f>Vastaavaa!G29+Vastaavaa!G30+Vastaavaa!G33+Vastaavaa!G34+Vastaavaa!G35+Vastaavaa!G36-SUMIF(Vastaavaa!G29:G30,"&lt;0")-SUMIF(Vastaavaa!G33:G36,"&lt;0")+(-Tuloslaskelma!G73)-Tuloslaskelma!G70-Tuloslaskelma!G71-IF((Vastattavaa!G23)&gt;Tuloslaskelma!G75,Tuloslaskelma!G75,(Vastattavaa!G23))</f>
        <v>0</v>
      </c>
      <c r="D31" s="242">
        <f>Vastaavaa!H29+Vastaavaa!H30+Vastaavaa!H33+Vastaavaa!H34+Vastaavaa!H35+Vastaavaa!H36-SUMIF(Vastaavaa!H29:H30,"&lt;0")-SUMIF(Vastaavaa!H33:H36,"&lt;0")+(-Tuloslaskelma!H73)-Tuloslaskelma!H70-Tuloslaskelma!H71-IF((Vastattavaa!H23)&gt;Tuloslaskelma!H75,Tuloslaskelma!H75,(Vastattavaa!H23))</f>
        <v>0</v>
      </c>
      <c r="E31" s="242">
        <f>Vastaavaa!I29+Vastaavaa!I30+Vastaavaa!I33+Vastaavaa!I34+Vastaavaa!I35+Vastaavaa!I36-SUMIF(Vastaavaa!I29:I30,"&lt;0")-SUMIF(Vastaavaa!I33:I36,"&lt;0")+(-Tuloslaskelma!I73)-Tuloslaskelma!I70-Tuloslaskelma!I71-IF((Vastattavaa!I23)&gt;Tuloslaskelma!I75,Tuloslaskelma!I75,(Vastattavaa!I23))</f>
        <v>0</v>
      </c>
      <c r="H31" s="285"/>
      <c r="V31" s="4"/>
      <c r="W31" s="4"/>
    </row>
    <row r="32" spans="1:23" ht="29" x14ac:dyDescent="0.35">
      <c r="A32" s="564" t="s">
        <v>195</v>
      </c>
      <c r="B32" s="399">
        <f>IF(B30&gt;B31,(B31),(B30))</f>
        <v>0</v>
      </c>
      <c r="C32" s="65">
        <f>IF(C30&gt;C31,(C31),(C30))</f>
        <v>0</v>
      </c>
      <c r="D32" s="65">
        <f>IF(D30&gt;D31,(D31),(D30))</f>
        <v>0</v>
      </c>
      <c r="E32" s="65">
        <f>IF(E30&gt;E31,(E31),(E30))</f>
        <v>0</v>
      </c>
      <c r="G32" s="567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6" ht="29" x14ac:dyDescent="0.35">
      <c r="A33" s="565" t="s">
        <v>114</v>
      </c>
      <c r="B33" s="400">
        <f>-Parametrit!B24*Parametrit!B32</f>
        <v>0</v>
      </c>
      <c r="C33" s="49">
        <f>-Parametrit!C24*Parametrit!C32</f>
        <v>0</v>
      </c>
      <c r="D33" s="49">
        <f>-Parametrit!D24*Parametrit!D32</f>
        <v>0</v>
      </c>
      <c r="E33" s="49">
        <f>-Parametrit!E24*Parametrit!E32</f>
        <v>0</v>
      </c>
    </row>
    <row r="35" spans="1:6" x14ac:dyDescent="0.35">
      <c r="A35" s="140"/>
      <c r="B35" s="278"/>
      <c r="C35" s="278"/>
      <c r="D35" s="278"/>
      <c r="E35" s="278"/>
      <c r="F35" s="281"/>
    </row>
    <row r="36" spans="1:6" x14ac:dyDescent="0.35">
      <c r="A36" s="122" t="s">
        <v>62</v>
      </c>
      <c r="B36" s="139"/>
      <c r="C36" s="126"/>
      <c r="D36" s="126"/>
      <c r="E36" s="126"/>
      <c r="F36" s="281"/>
    </row>
    <row r="37" spans="1:6" x14ac:dyDescent="0.35">
      <c r="A37" s="130" t="s">
        <v>56</v>
      </c>
      <c r="B37" s="28"/>
      <c r="C37" s="28"/>
      <c r="D37" s="126"/>
      <c r="E37" s="126"/>
    </row>
    <row r="38" spans="1:6" ht="29" x14ac:dyDescent="0.35">
      <c r="A38" s="45" t="s">
        <v>72</v>
      </c>
      <c r="B38" s="54"/>
      <c r="C38" s="54"/>
      <c r="D38" s="54"/>
      <c r="E38" s="134"/>
    </row>
    <row r="39" spans="1:6" ht="29.5" thickBot="1" x14ac:dyDescent="0.4">
      <c r="A39" s="131" t="s">
        <v>73</v>
      </c>
      <c r="B39" s="132"/>
      <c r="C39" s="132"/>
      <c r="D39" s="132"/>
      <c r="E39" s="135"/>
    </row>
    <row r="40" spans="1:6" x14ac:dyDescent="0.35">
      <c r="A40" s="22"/>
      <c r="B40" s="22"/>
      <c r="C40" s="22"/>
      <c r="D40" s="22"/>
      <c r="E40" s="22"/>
    </row>
    <row r="41" spans="1:6" x14ac:dyDescent="0.35">
      <c r="A41" s="22"/>
      <c r="B41" s="22"/>
      <c r="C41" s="22"/>
      <c r="D41" s="22"/>
      <c r="E41" s="22"/>
    </row>
    <row r="42" spans="1:6" x14ac:dyDescent="0.35">
      <c r="C42" s="126"/>
    </row>
    <row r="43" spans="1:6" x14ac:dyDescent="0.35">
      <c r="A43" s="128"/>
      <c r="B43" s="126"/>
      <c r="C43" s="235"/>
      <c r="D43" s="127"/>
      <c r="E43" s="280"/>
    </row>
  </sheetData>
  <customSheetViews>
    <customSheetView guid="{C44CE6ED-446D-4E43-AC42-1BADDBA87353}" showGridLines="0">
      <pane ySplit="5" topLeftCell="A27" activePane="bottomLeft" state="frozen"/>
      <selection pane="bottomLeft" activeCell="H47" sqref="H47"/>
      <pageMargins left="0.5" right="0.59" top="0.66" bottom="0.64" header="0.4921259845" footer="0.4921259845"/>
      <pageSetup paperSize="9" scale="80" orientation="landscape" r:id="rId1"/>
      <headerFooter alignWithMargins="0"/>
    </customSheetView>
    <customSheetView guid="{8386F830-B269-4ACC-A789-9E42C0FB51D1}" showGridLines="0" topLeftCell="B1">
      <pane ySplit="5" topLeftCell="A33" activePane="bottomLeft" state="frozen"/>
      <selection pane="bottomLeft" activeCell="D52" sqref="D52"/>
      <pageMargins left="0.5" right="0.59" top="0.66" bottom="0.64" header="0.4921259845" footer="0.4921259845"/>
      <pageSetup paperSize="9" scale="80" orientation="landscape" r:id="rId2"/>
      <headerFooter alignWithMargins="0"/>
    </customSheetView>
  </customSheetViews>
  <phoneticPr fontId="5" type="noConversion"/>
  <pageMargins left="0.5" right="0.59" top="0.66" bottom="0.64" header="0.4921259845" footer="0.4921259845"/>
  <pageSetup paperSize="9" scale="80" orientation="landscape" r:id="rId3"/>
  <headerFooter alignWithMargins="0"/>
  <ignoredErrors>
    <ignoredError sqref="I16:I23 I7:I14" formulaRange="1"/>
    <ignoredError sqref="I24:I25" formulaRange="1" unlockedFormula="1"/>
    <ignoredError sqref="B16:E1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5"/>
  <dimension ref="A1:IR110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6953125" defaultRowHeight="12.5" x14ac:dyDescent="0.25"/>
  <cols>
    <col min="1" max="1" width="69.26953125" style="2" customWidth="1"/>
    <col min="2" max="2" width="17.7265625" style="2" customWidth="1"/>
    <col min="3" max="3" width="19.453125" style="2" customWidth="1"/>
    <col min="4" max="4" width="18.54296875" style="2" customWidth="1"/>
    <col min="5" max="5" width="18.26953125" style="2" customWidth="1"/>
    <col min="6" max="7" width="9.26953125" style="2"/>
    <col min="8" max="8" width="9.26953125" style="2" customWidth="1"/>
    <col min="9" max="21" width="9.26953125" style="2"/>
    <col min="22" max="16384" width="9.26953125" style="5"/>
  </cols>
  <sheetData>
    <row r="1" spans="1:252" s="262" customFormat="1" ht="15" customHeight="1" x14ac:dyDescent="0.3">
      <c r="A1" s="245" t="s">
        <v>200</v>
      </c>
      <c r="B1" s="263" t="s">
        <v>193</v>
      </c>
    </row>
    <row r="2" spans="1:252" s="263" customFormat="1" ht="15" customHeight="1" x14ac:dyDescent="0.3">
      <c r="A2" s="264" t="s">
        <v>201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  <c r="IR2" s="262"/>
    </row>
    <row r="3" spans="1:252" s="262" customFormat="1" ht="15" customHeight="1" x14ac:dyDescent="0.3">
      <c r="A3" s="267"/>
    </row>
    <row r="4" spans="1:252" s="262" customFormat="1" ht="15" customHeight="1" x14ac:dyDescent="0.3">
      <c r="A4" s="270"/>
      <c r="B4" s="272"/>
    </row>
    <row r="5" spans="1:252" s="262" customFormat="1" ht="15" customHeight="1" x14ac:dyDescent="0.3">
      <c r="A5" s="245" t="s">
        <v>41</v>
      </c>
      <c r="B5" s="260">
        <v>2024</v>
      </c>
      <c r="C5" s="261">
        <v>2025</v>
      </c>
      <c r="D5" s="261">
        <v>2026</v>
      </c>
      <c r="E5" s="261">
        <v>2027</v>
      </c>
      <c r="F5" s="261"/>
    </row>
    <row r="6" spans="1:252" ht="14.5" x14ac:dyDescent="0.35">
      <c r="A6" s="13" t="s">
        <v>22</v>
      </c>
      <c r="B6" s="14"/>
      <c r="C6" s="14"/>
      <c r="D6" s="14"/>
      <c r="E6" s="14"/>
      <c r="F6" s="14"/>
    </row>
    <row r="7" spans="1:252" ht="14.5" x14ac:dyDescent="0.35">
      <c r="A7" s="14"/>
      <c r="B7" s="13"/>
      <c r="C7" s="13"/>
      <c r="D7" s="13"/>
      <c r="E7" s="13"/>
      <c r="F7" s="14"/>
    </row>
    <row r="8" spans="1:252" ht="14.5" x14ac:dyDescent="0.35">
      <c r="A8" s="13" t="s">
        <v>26</v>
      </c>
      <c r="B8" s="13"/>
      <c r="C8" s="13"/>
      <c r="D8" s="13"/>
      <c r="E8" s="13"/>
      <c r="F8" s="14"/>
    </row>
    <row r="9" spans="1:252" ht="14.5" x14ac:dyDescent="0.35">
      <c r="A9" s="14"/>
      <c r="B9" s="14"/>
      <c r="C9" s="14"/>
      <c r="D9" s="14"/>
      <c r="E9" s="14"/>
      <c r="F9" s="14"/>
    </row>
    <row r="10" spans="1:252" ht="14.5" x14ac:dyDescent="0.35">
      <c r="A10" s="13" t="s">
        <v>23</v>
      </c>
      <c r="B10" s="15"/>
      <c r="C10" s="14"/>
      <c r="D10" s="14"/>
      <c r="E10" s="14"/>
      <c r="F10" s="14"/>
    </row>
    <row r="11" spans="1:252" ht="14.5" x14ac:dyDescent="0.35">
      <c r="A11" s="29" t="s">
        <v>214</v>
      </c>
      <c r="B11" s="16">
        <f>Investointikannustin!B9</f>
        <v>0</v>
      </c>
      <c r="C11" s="16">
        <f>Investointikannustin!C9</f>
        <v>0</v>
      </c>
      <c r="D11" s="16">
        <f>Investointikannustin!D9</f>
        <v>0</v>
      </c>
      <c r="E11" s="16">
        <f>Investointikannustin!E9</f>
        <v>0</v>
      </c>
      <c r="F11" s="14"/>
    </row>
    <row r="12" spans="1:252" ht="14.5" x14ac:dyDescent="0.35">
      <c r="A12" s="29" t="s">
        <v>212</v>
      </c>
      <c r="B12" s="16">
        <f>(Vastaavaa!F14+Vastaavaa!F16+Vastaavaa!F19+Vastaavaa!F21)-Vastaavaa!F15-Vastaavaa!F20</f>
        <v>0</v>
      </c>
      <c r="C12" s="16">
        <f>(Vastaavaa!G14+Vastaavaa!G16+Vastaavaa!G19+Vastaavaa!G21)-Vastaavaa!G15-Vastaavaa!G20</f>
        <v>0</v>
      </c>
      <c r="D12" s="16">
        <f>(Vastaavaa!H14+Vastaavaa!H16+Vastaavaa!H19+Vastaavaa!H21)-Vastaavaa!H15-Vastaavaa!H20</f>
        <v>0</v>
      </c>
      <c r="E12" s="16">
        <f>(Vastaavaa!I14+Vastaavaa!I16+Vastaavaa!I19+Vastaavaa!I21)-Vastaavaa!I15-Vastaavaa!I20</f>
        <v>0</v>
      </c>
      <c r="F12" s="14"/>
    </row>
    <row r="13" spans="1:252" ht="14.5" x14ac:dyDescent="0.35">
      <c r="A13" s="14"/>
      <c r="B13" s="17"/>
      <c r="C13" s="17"/>
      <c r="D13" s="17"/>
      <c r="E13" s="17"/>
      <c r="F13" s="14"/>
    </row>
    <row r="14" spans="1:252" ht="14.5" x14ac:dyDescent="0.35">
      <c r="A14" s="18" t="s">
        <v>24</v>
      </c>
      <c r="B14" s="17"/>
      <c r="C14" s="17"/>
      <c r="D14" s="17"/>
      <c r="E14" s="17"/>
      <c r="F14" s="14"/>
    </row>
    <row r="15" spans="1:252" ht="29" x14ac:dyDescent="0.35">
      <c r="A15" s="29" t="s">
        <v>371</v>
      </c>
      <c r="B15" s="16">
        <f>Vastaavaa!F25</f>
        <v>0</v>
      </c>
      <c r="C15" s="16">
        <f>Vastaavaa!G25</f>
        <v>0</v>
      </c>
      <c r="D15" s="16">
        <f>Vastaavaa!H25</f>
        <v>0</v>
      </c>
      <c r="E15" s="16">
        <f>Vastaavaa!I25</f>
        <v>0</v>
      </c>
      <c r="F15" s="14"/>
    </row>
    <row r="16" spans="1:252" ht="14.5" x14ac:dyDescent="0.35">
      <c r="A16" s="29" t="s">
        <v>213</v>
      </c>
      <c r="B16" s="16">
        <f>Vastaavaa!F28+Vastaavaa!F32</f>
        <v>0</v>
      </c>
      <c r="C16" s="16">
        <f>Vastaavaa!G28+Vastaavaa!G32</f>
        <v>0</v>
      </c>
      <c r="D16" s="16">
        <f>Vastaavaa!H28+Vastaavaa!H32</f>
        <v>0</v>
      </c>
      <c r="E16" s="16">
        <f>Vastaavaa!I28+Vastaavaa!I32</f>
        <v>0</v>
      </c>
      <c r="F16" s="14"/>
    </row>
    <row r="17" spans="1:8" ht="14.5" x14ac:dyDescent="0.35">
      <c r="A17" s="20"/>
      <c r="B17" s="19"/>
      <c r="C17" s="19"/>
      <c r="D17" s="19"/>
      <c r="E17" s="19"/>
      <c r="F17" s="14"/>
    </row>
    <row r="18" spans="1:8" ht="14.5" x14ac:dyDescent="0.35">
      <c r="A18" s="13" t="s">
        <v>25</v>
      </c>
      <c r="B18" s="227">
        <f>B11+B12+B15+B16</f>
        <v>0</v>
      </c>
      <c r="C18" s="227">
        <f>C11+C12+C15+C16</f>
        <v>0</v>
      </c>
      <c r="D18" s="227">
        <f>D11+D12+D15+D16</f>
        <v>0</v>
      </c>
      <c r="E18" s="227">
        <f>E11+E12+E15+E16</f>
        <v>0</v>
      </c>
      <c r="F18" s="14"/>
    </row>
    <row r="19" spans="1:8" ht="14.5" x14ac:dyDescent="0.35">
      <c r="A19" s="14"/>
      <c r="B19" s="26"/>
      <c r="C19" s="26"/>
      <c r="D19" s="26"/>
      <c r="E19" s="26"/>
      <c r="F19" s="14"/>
    </row>
    <row r="20" spans="1:8" ht="14.5" x14ac:dyDescent="0.35">
      <c r="A20" s="14"/>
      <c r="B20" s="26"/>
      <c r="C20" s="26"/>
      <c r="D20" s="26"/>
      <c r="E20" s="26"/>
      <c r="F20" s="14"/>
    </row>
    <row r="21" spans="1:8" ht="21.75" customHeight="1" thickBot="1" x14ac:dyDescent="0.4">
      <c r="A21" s="21" t="s">
        <v>33</v>
      </c>
      <c r="B21" s="228">
        <f>B18</f>
        <v>0</v>
      </c>
      <c r="C21" s="228">
        <f>C18</f>
        <v>0</v>
      </c>
      <c r="D21" s="228">
        <f>D18</f>
        <v>0</v>
      </c>
      <c r="E21" s="89">
        <f>E18</f>
        <v>0</v>
      </c>
      <c r="F21" s="22"/>
      <c r="G21" s="5"/>
    </row>
    <row r="22" spans="1:8" ht="14.5" x14ac:dyDescent="0.35">
      <c r="A22" s="23"/>
      <c r="B22" s="229"/>
      <c r="C22" s="229"/>
      <c r="D22" s="229"/>
      <c r="E22" s="229"/>
      <c r="F22" s="14"/>
    </row>
    <row r="23" spans="1:8" ht="14.5" x14ac:dyDescent="0.35">
      <c r="A23" s="23"/>
      <c r="B23" s="229"/>
      <c r="C23" s="229"/>
      <c r="D23" s="229"/>
      <c r="E23" s="229"/>
      <c r="F23" s="14"/>
    </row>
    <row r="24" spans="1:8" ht="14.5" x14ac:dyDescent="0.35">
      <c r="A24" s="13" t="s">
        <v>27</v>
      </c>
      <c r="B24" s="25">
        <v>2024</v>
      </c>
      <c r="C24" s="25">
        <v>2025</v>
      </c>
      <c r="D24" s="25">
        <v>2026</v>
      </c>
      <c r="E24" s="25">
        <v>2027</v>
      </c>
      <c r="F24" s="14"/>
    </row>
    <row r="25" spans="1:8" ht="14.5" x14ac:dyDescent="0.35">
      <c r="A25" s="14"/>
      <c r="B25" s="26"/>
      <c r="C25" s="26"/>
      <c r="D25" s="26"/>
      <c r="E25" s="229"/>
      <c r="F25" s="14"/>
    </row>
    <row r="26" spans="1:8" ht="14.5" x14ac:dyDescent="0.35">
      <c r="A26" s="13" t="s">
        <v>28</v>
      </c>
      <c r="B26" s="26"/>
      <c r="C26" s="26"/>
      <c r="D26" s="26"/>
      <c r="E26" s="229"/>
      <c r="F26" s="14"/>
    </row>
    <row r="27" spans="1:8" ht="14.5" x14ac:dyDescent="0.35">
      <c r="A27" s="29" t="s">
        <v>215</v>
      </c>
      <c r="B27" s="227">
        <f>Vastattavaa!F9-Vastattavaa!F17</f>
        <v>0</v>
      </c>
      <c r="C27" s="227">
        <f>Vastattavaa!G9-Vastattavaa!G17</f>
        <v>0</v>
      </c>
      <c r="D27" s="227">
        <f>Vastattavaa!H9-Vastattavaa!H17</f>
        <v>0</v>
      </c>
      <c r="E27" s="227">
        <f>Vastattavaa!I9-Vastattavaa!I17</f>
        <v>0</v>
      </c>
      <c r="F27" s="14"/>
      <c r="G27"/>
    </row>
    <row r="28" spans="1:8" ht="14.5" x14ac:dyDescent="0.35">
      <c r="A28" s="29" t="s">
        <v>282</v>
      </c>
      <c r="B28" s="227">
        <f>((-Tuloslaskelma!F73)+(-Tuloslaskelma!F74))*(1-Parametrit!B8)</f>
        <v>0</v>
      </c>
      <c r="C28" s="227">
        <f>((-Tuloslaskelma!G73)+(-Tuloslaskelma!G74))*(1-Parametrit!C8)</f>
        <v>0</v>
      </c>
      <c r="D28" s="227">
        <f>((-Tuloslaskelma!H73)+(-Tuloslaskelma!H74))*(1-Parametrit!D8)</f>
        <v>0</v>
      </c>
      <c r="E28" s="227">
        <f>((-Tuloslaskelma!I73)+(-Tuloslaskelma!I74))*(1-Parametrit!E8)</f>
        <v>0</v>
      </c>
      <c r="F28" s="277"/>
      <c r="G28"/>
      <c r="H28" s="279"/>
    </row>
    <row r="29" spans="1:8" ht="14.5" x14ac:dyDescent="0.35">
      <c r="A29" s="29" t="s">
        <v>373</v>
      </c>
      <c r="B29" s="227">
        <f>(1-Parametrit!B8)*Vastattavaa!F19+Vastattavaa!F22</f>
        <v>0</v>
      </c>
      <c r="C29" s="227">
        <f>(1-Parametrit!C8)*Vastattavaa!G19+Vastattavaa!G22</f>
        <v>0</v>
      </c>
      <c r="D29" s="227">
        <f>(1-Parametrit!D8)*Vastattavaa!H19+Vastattavaa!H22</f>
        <v>0</v>
      </c>
      <c r="E29" s="227">
        <f>(1-Parametrit!E8)*Vastattavaa!I19+Vastattavaa!I22</f>
        <v>0</v>
      </c>
      <c r="F29" s="277"/>
      <c r="G29"/>
      <c r="H29" s="279"/>
    </row>
    <row r="30" spans="1:8" ht="14.5" x14ac:dyDescent="0.35">
      <c r="A30" s="29"/>
      <c r="B30" s="26"/>
      <c r="C30" s="26"/>
      <c r="D30" s="26"/>
      <c r="E30" s="26"/>
      <c r="F30" s="14"/>
      <c r="G30"/>
      <c r="H30" s="279"/>
    </row>
    <row r="31" spans="1:8" ht="14.5" x14ac:dyDescent="0.35">
      <c r="A31" s="29" t="s">
        <v>283</v>
      </c>
      <c r="B31" s="227">
        <f>(-Tuloslaskelma!F70+(-Tuloslaskelma!F71))*(1-Parametrit!B8)</f>
        <v>0</v>
      </c>
      <c r="C31" s="227">
        <f>(-Tuloslaskelma!G70+(-Tuloslaskelma!G71))*(1-Parametrit!C8)</f>
        <v>0</v>
      </c>
      <c r="D31" s="227">
        <f>(-Tuloslaskelma!H70+(-Tuloslaskelma!H71))*(1-Parametrit!D8)</f>
        <v>0</v>
      </c>
      <c r="E31" s="227">
        <f>(-Tuloslaskelma!I70+(-Tuloslaskelma!I71))*(1-Parametrit!E8)</f>
        <v>0</v>
      </c>
      <c r="F31" s="14"/>
      <c r="G31"/>
    </row>
    <row r="32" spans="1:8" ht="14.5" x14ac:dyDescent="0.35">
      <c r="A32" s="29" t="s">
        <v>29</v>
      </c>
      <c r="B32" s="227">
        <f>B18-(B27+B28+B29+B31+B36+B37+B38+B41+B42+B43+B44+B45)</f>
        <v>0</v>
      </c>
      <c r="C32" s="227">
        <f>C18-(C27+C28+C29+C31+C36+C37+C38+C41+C42+C43+C44+C45)</f>
        <v>0</v>
      </c>
      <c r="D32" s="227">
        <f>D18-(D27+D28+D29+D31+D36+D37+D38+D41+D42+D43+D44+D45)</f>
        <v>0</v>
      </c>
      <c r="E32" s="227">
        <f>E18-(E27+E28+E29+E31+E36+E37+E38+E41+E42+E43+E44+E45)</f>
        <v>0</v>
      </c>
      <c r="F32" s="14"/>
      <c r="G32"/>
    </row>
    <row r="33" spans="1:8" ht="14.5" x14ac:dyDescent="0.35">
      <c r="A33" s="56"/>
      <c r="B33" s="26"/>
      <c r="C33" s="26"/>
      <c r="D33" s="26"/>
      <c r="E33" s="26"/>
      <c r="F33" s="14"/>
    </row>
    <row r="34" spans="1:8" ht="14.5" x14ac:dyDescent="0.35">
      <c r="A34" s="13" t="s">
        <v>30</v>
      </c>
      <c r="B34" s="26"/>
      <c r="C34" s="26"/>
      <c r="D34" s="26"/>
      <c r="E34" s="26"/>
      <c r="F34" s="14"/>
    </row>
    <row r="35" spans="1:8" ht="14.5" x14ac:dyDescent="0.35">
      <c r="A35" s="55" t="s">
        <v>31</v>
      </c>
      <c r="B35" s="26"/>
      <c r="C35" s="26"/>
      <c r="D35" s="26"/>
      <c r="E35" s="26"/>
      <c r="F35" s="14"/>
    </row>
    <row r="36" spans="1:8" ht="14.5" x14ac:dyDescent="0.35">
      <c r="A36" s="29" t="s">
        <v>216</v>
      </c>
      <c r="B36" s="227">
        <f>Vastattavaa!F26+Vastattavaa!F36</f>
        <v>0</v>
      </c>
      <c r="C36" s="227">
        <f>Vastattavaa!G26+Vastattavaa!G36</f>
        <v>0</v>
      </c>
      <c r="D36" s="227">
        <f>Vastattavaa!H26+Vastattavaa!H36</f>
        <v>0</v>
      </c>
      <c r="E36" s="227">
        <f>Vastattavaa!I26+Vastattavaa!I36</f>
        <v>0</v>
      </c>
      <c r="F36" s="14"/>
    </row>
    <row r="37" spans="1:8" ht="14.5" x14ac:dyDescent="0.35">
      <c r="A37" s="29" t="s">
        <v>217</v>
      </c>
      <c r="B37" s="227">
        <f>Vastattavaa!F17</f>
        <v>0</v>
      </c>
      <c r="C37" s="227">
        <f>Vastattavaa!G17</f>
        <v>0</v>
      </c>
      <c r="D37" s="227">
        <f>Vastattavaa!H17</f>
        <v>0</v>
      </c>
      <c r="E37" s="227">
        <f>Vastattavaa!I17</f>
        <v>0</v>
      </c>
      <c r="F37" s="14"/>
    </row>
    <row r="38" spans="1:8" ht="29" x14ac:dyDescent="0.35">
      <c r="A38" s="29" t="s">
        <v>284</v>
      </c>
      <c r="B38" s="227">
        <f>-(Vastattavaa!F28+Vastattavaa!F39)*(1-Parametrit!B8)</f>
        <v>0</v>
      </c>
      <c r="C38" s="227">
        <f>-(Vastattavaa!G28+Vastattavaa!G39)*(1-Parametrit!C8)</f>
        <v>0</v>
      </c>
      <c r="D38" s="227">
        <f>-(Vastattavaa!H28+Vastattavaa!H39)*(1-Parametrit!D8)</f>
        <v>0</v>
      </c>
      <c r="E38" s="227">
        <f>-(Vastattavaa!I28+Vastattavaa!I39)*(1-Parametrit!E8)</f>
        <v>0</v>
      </c>
      <c r="F38" s="277"/>
      <c r="H38" s="279"/>
    </row>
    <row r="39" spans="1:8" ht="14.5" x14ac:dyDescent="0.35">
      <c r="A39" s="14"/>
      <c r="B39" s="26"/>
      <c r="C39" s="26"/>
      <c r="D39" s="26"/>
      <c r="E39" s="26"/>
      <c r="F39" s="14"/>
    </row>
    <row r="40" spans="1:8" ht="14.5" x14ac:dyDescent="0.35">
      <c r="A40" s="13" t="s">
        <v>32</v>
      </c>
      <c r="B40" s="26"/>
      <c r="C40" s="26"/>
      <c r="D40" s="26"/>
      <c r="E40" s="26"/>
      <c r="F40" s="14"/>
    </row>
    <row r="41" spans="1:8" ht="14.5" x14ac:dyDescent="0.35">
      <c r="A41" s="29" t="s">
        <v>55</v>
      </c>
      <c r="B41" s="227">
        <f>Parametrit!B10</f>
        <v>0</v>
      </c>
      <c r="C41" s="227">
        <f>Parametrit!B10</f>
        <v>0</v>
      </c>
      <c r="D41" s="227">
        <f>Parametrit!B10</f>
        <v>0</v>
      </c>
      <c r="E41" s="227">
        <f>Parametrit!B10</f>
        <v>0</v>
      </c>
      <c r="F41" s="14"/>
    </row>
    <row r="42" spans="1:8" ht="14.5" x14ac:dyDescent="0.35">
      <c r="A42" s="29" t="s">
        <v>88</v>
      </c>
      <c r="B42" s="227">
        <f>Vastattavaa!F30-Vastattavaa!F33+Vastattavaa!F42-SUMIF(Vastaavaa!F29:F30,"&lt;0")-SUMIF(Vastaavaa!F33:F36,"&lt;0")</f>
        <v>0</v>
      </c>
      <c r="C42" s="227">
        <f>Vastattavaa!G30-Vastattavaa!G33+Vastattavaa!G42-SUMIF(Vastaavaa!G29:G30,"&lt;0")-SUMIF(Vastaavaa!G33:G36,"&lt;0")</f>
        <v>0</v>
      </c>
      <c r="D42" s="227">
        <f>Vastattavaa!H30-Vastattavaa!H33+Vastattavaa!H42-SUMIF(Vastaavaa!H29:H30,"&lt;0")-SUMIF(Vastaavaa!H33:H36,"&lt;0")</f>
        <v>0</v>
      </c>
      <c r="E42" s="227">
        <f>Vastattavaa!I30-Vastattavaa!I33+Vastattavaa!I42-SUMIF(Vastaavaa!I29:I30,"&lt;0")-SUMIF(Vastaavaa!I33:I36,"&lt;0")</f>
        <v>0</v>
      </c>
      <c r="F42" s="14"/>
    </row>
    <row r="43" spans="1:8" ht="29" x14ac:dyDescent="0.35">
      <c r="A43" s="29" t="s">
        <v>285</v>
      </c>
      <c r="B43" s="227">
        <f>-(Vastattavaa!F31+Vastattavaa!F45)*(1-Parametrit!B8)</f>
        <v>0</v>
      </c>
      <c r="C43" s="227">
        <f>-(Vastattavaa!G31+Vastattavaa!G45)*(1-Parametrit!C8)</f>
        <v>0</v>
      </c>
      <c r="D43" s="227">
        <f>-(Vastattavaa!H31+Vastattavaa!H45)*(1-Parametrit!D8)</f>
        <v>0</v>
      </c>
      <c r="E43" s="227">
        <f>-(Vastattavaa!I31+Vastattavaa!I45)*(1-Parametrit!E8)</f>
        <v>0</v>
      </c>
      <c r="F43" s="277"/>
      <c r="H43" s="279"/>
    </row>
    <row r="44" spans="1:8" ht="14.5" x14ac:dyDescent="0.35">
      <c r="A44" s="29" t="s">
        <v>218</v>
      </c>
      <c r="B44" s="227">
        <f>Vastattavaa!F23</f>
        <v>0</v>
      </c>
      <c r="C44" s="227">
        <f>Vastattavaa!G23</f>
        <v>0</v>
      </c>
      <c r="D44" s="227">
        <f>Vastattavaa!H23</f>
        <v>0</v>
      </c>
      <c r="E44" s="227">
        <f>Vastattavaa!I23</f>
        <v>0</v>
      </c>
      <c r="F44" s="14"/>
    </row>
    <row r="45" spans="1:8" ht="14.5" x14ac:dyDescent="0.35">
      <c r="A45" s="29" t="s">
        <v>369</v>
      </c>
      <c r="B45" s="227">
        <f>Parametrit!B8*(Vastattavaa!F19)</f>
        <v>0</v>
      </c>
      <c r="C45" s="227">
        <f>Parametrit!C8*(Vastattavaa!G19)</f>
        <v>0</v>
      </c>
      <c r="D45" s="227">
        <f>Parametrit!D8*(Vastattavaa!H19)</f>
        <v>0</v>
      </c>
      <c r="E45" s="227">
        <f>Parametrit!E8*(Vastattavaa!I19)</f>
        <v>0</v>
      </c>
      <c r="F45" s="14"/>
    </row>
    <row r="46" spans="1:8" ht="14.5" x14ac:dyDescent="0.35">
      <c r="A46" s="14"/>
      <c r="B46" s="26"/>
      <c r="C46" s="26"/>
      <c r="D46" s="26"/>
      <c r="E46" s="26"/>
      <c r="F46" s="14"/>
      <c r="H46" s="279"/>
    </row>
    <row r="47" spans="1:8" ht="14.5" x14ac:dyDescent="0.35">
      <c r="A47" s="13" t="s">
        <v>25</v>
      </c>
      <c r="B47" s="227">
        <f>B27+B28+B29+B31+B32+B36+B37+B38+B41+B42+B43+B44+B45</f>
        <v>0</v>
      </c>
      <c r="C47" s="227">
        <f t="shared" ref="C47:E47" si="0">C27+C28+C29+C31+C32+C36+C37+C38+C41+C42+C43+C44+C45</f>
        <v>0</v>
      </c>
      <c r="D47" s="227">
        <f t="shared" si="0"/>
        <v>0</v>
      </c>
      <c r="E47" s="227">
        <f t="shared" si="0"/>
        <v>0</v>
      </c>
      <c r="F47" s="14"/>
      <c r="H47" s="279"/>
    </row>
    <row r="48" spans="1:8" ht="14.5" x14ac:dyDescent="0.35">
      <c r="A48" s="14"/>
      <c r="B48" s="26"/>
      <c r="C48" s="26"/>
      <c r="D48" s="26"/>
      <c r="E48" s="26"/>
      <c r="F48" s="14"/>
    </row>
    <row r="49" spans="1:12" ht="15" thickBot="1" x14ac:dyDescent="0.4">
      <c r="A49" s="563" t="s">
        <v>34</v>
      </c>
      <c r="B49" s="89">
        <f>B47</f>
        <v>0</v>
      </c>
      <c r="C49" s="89">
        <f>C47</f>
        <v>0</v>
      </c>
      <c r="D49" s="89">
        <f>D47</f>
        <v>0</v>
      </c>
      <c r="E49" s="89">
        <f>E47</f>
        <v>0</v>
      </c>
      <c r="F49" s="14"/>
    </row>
    <row r="50" spans="1:12" ht="14.5" x14ac:dyDescent="0.35">
      <c r="A50" s="23"/>
      <c r="B50" s="229"/>
      <c r="C50" s="229"/>
      <c r="D50" s="229"/>
      <c r="E50" s="26"/>
      <c r="F50" s="14"/>
    </row>
    <row r="51" spans="1:12" ht="14.5" x14ac:dyDescent="0.35">
      <c r="A51" s="23"/>
      <c r="B51" s="229"/>
      <c r="C51" s="229"/>
      <c r="D51" s="229"/>
      <c r="E51" s="26"/>
      <c r="F51" s="14"/>
    </row>
    <row r="52" spans="1:12" ht="14.5" x14ac:dyDescent="0.35">
      <c r="A52" s="13" t="s">
        <v>118</v>
      </c>
      <c r="B52" s="25">
        <v>2024</v>
      </c>
      <c r="C52" s="25">
        <v>2025</v>
      </c>
      <c r="D52" s="25">
        <v>2026</v>
      </c>
      <c r="E52" s="25">
        <v>2027</v>
      </c>
      <c r="F52" s="14"/>
    </row>
    <row r="53" spans="1:12" ht="14.5" x14ac:dyDescent="0.35">
      <c r="A53" s="14"/>
      <c r="B53" s="26"/>
      <c r="C53" s="26"/>
      <c r="D53" s="26"/>
      <c r="E53" s="26"/>
      <c r="F53" s="14"/>
    </row>
    <row r="54" spans="1:12" ht="14.5" x14ac:dyDescent="0.35">
      <c r="A54" s="13" t="s">
        <v>91</v>
      </c>
      <c r="B54" s="227">
        <f>Tuloslaskelma!F53+Tuloslaskelma!F50</f>
        <v>0</v>
      </c>
      <c r="C54" s="227">
        <f>Tuloslaskelma!G53+Tuloslaskelma!G50</f>
        <v>0</v>
      </c>
      <c r="D54" s="227">
        <f>Tuloslaskelma!H53+Tuloslaskelma!H50</f>
        <v>0</v>
      </c>
      <c r="E54" s="227">
        <f>Tuloslaskelma!I53+Tuloslaskelma!I50</f>
        <v>0</v>
      </c>
      <c r="F54" s="14"/>
      <c r="G54" s="11"/>
    </row>
    <row r="55" spans="1:12" ht="14.5" x14ac:dyDescent="0.35">
      <c r="A55" s="27"/>
      <c r="B55" s="230"/>
      <c r="C55" s="230"/>
      <c r="D55" s="230"/>
      <c r="E55" s="230"/>
      <c r="F55" s="14"/>
      <c r="G55" s="11"/>
    </row>
    <row r="56" spans="1:12" ht="14.5" x14ac:dyDescent="0.35">
      <c r="A56" s="23" t="s">
        <v>124</v>
      </c>
      <c r="B56" s="230"/>
      <c r="C56" s="230"/>
      <c r="D56" s="230"/>
      <c r="E56" s="230"/>
      <c r="F56" s="14"/>
      <c r="H56"/>
    </row>
    <row r="57" spans="1:12" ht="14.5" x14ac:dyDescent="0.35">
      <c r="A57" s="29" t="s">
        <v>302</v>
      </c>
      <c r="B57" s="227">
        <f>Vastattavaa!F33-Parametrit!B11+(Parametrit!B39-Parametrit!B38)</f>
        <v>0</v>
      </c>
      <c r="C57" s="227">
        <f>Vastattavaa!G33-Parametrit!C11+(Parametrit!C39-Parametrit!C38)</f>
        <v>0</v>
      </c>
      <c r="D57" s="227">
        <f>Vastattavaa!H33-Parametrit!D11+(Parametrit!D39-Parametrit!D38)</f>
        <v>0</v>
      </c>
      <c r="E57" s="227">
        <f>Vastattavaa!I33-Parametrit!E11+(Parametrit!E39-Parametrit!E38)</f>
        <v>0</v>
      </c>
      <c r="F57" s="28"/>
      <c r="G57" s="8"/>
      <c r="H57"/>
      <c r="I57" s="8"/>
    </row>
    <row r="58" spans="1:12" ht="14.5" x14ac:dyDescent="0.35">
      <c r="A58" s="29" t="s">
        <v>301</v>
      </c>
      <c r="B58" s="227">
        <f>-(Tuloslaskelma!F47)+Tuloslaskelma!F48</f>
        <v>0</v>
      </c>
      <c r="C58" s="227">
        <f>-(Tuloslaskelma!G47)+Tuloslaskelma!G48</f>
        <v>0</v>
      </c>
      <c r="D58" s="227">
        <f>-(Tuloslaskelma!H47)+Tuloslaskelma!H48</f>
        <v>0</v>
      </c>
      <c r="E58" s="227">
        <f>-(Tuloslaskelma!I47)+Tuloslaskelma!I48</f>
        <v>0</v>
      </c>
      <c r="F58" s="28"/>
      <c r="H58"/>
      <c r="I58" s="8"/>
    </row>
    <row r="59" spans="1:12" ht="14.5" x14ac:dyDescent="0.35">
      <c r="A59" s="29" t="s">
        <v>300</v>
      </c>
      <c r="B59" s="227">
        <f>-Tuloslaskelma!F38</f>
        <v>0</v>
      </c>
      <c r="C59" s="227">
        <f>-Tuloslaskelma!G38</f>
        <v>0</v>
      </c>
      <c r="D59" s="227">
        <f>-Tuloslaskelma!H38</f>
        <v>0</v>
      </c>
      <c r="E59" s="227">
        <f>-Tuloslaskelma!I38</f>
        <v>0</v>
      </c>
      <c r="F59" s="28"/>
      <c r="G59" s="8"/>
      <c r="H59"/>
      <c r="I59" s="8"/>
    </row>
    <row r="60" spans="1:12" ht="14.5" x14ac:dyDescent="0.35">
      <c r="A60" s="29" t="s">
        <v>231</v>
      </c>
      <c r="B60" s="227">
        <f>-Tuloslaskelma!F52</f>
        <v>0</v>
      </c>
      <c r="C60" s="227">
        <f>-Tuloslaskelma!G52</f>
        <v>0</v>
      </c>
      <c r="D60" s="227">
        <f>-Tuloslaskelma!H52</f>
        <v>0</v>
      </c>
      <c r="E60" s="227">
        <f>-Tuloslaskelma!I52</f>
        <v>0</v>
      </c>
      <c r="F60" s="5"/>
      <c r="G60" s="289"/>
      <c r="H60"/>
      <c r="I60" s="8"/>
    </row>
    <row r="61" spans="1:12" ht="14.5" x14ac:dyDescent="0.35">
      <c r="A61" s="29" t="s">
        <v>232</v>
      </c>
      <c r="B61" s="227">
        <f>-Tuloslaskelma!F20</f>
        <v>0</v>
      </c>
      <c r="C61" s="227">
        <f>-Tuloslaskelma!G20</f>
        <v>0</v>
      </c>
      <c r="D61" s="227">
        <f>-Tuloslaskelma!H20</f>
        <v>0</v>
      </c>
      <c r="E61" s="227">
        <f>-Tuloslaskelma!I20</f>
        <v>0</v>
      </c>
      <c r="F61" s="5"/>
      <c r="G61" s="289"/>
      <c r="H61"/>
      <c r="I61" s="8"/>
    </row>
    <row r="62" spans="1:12" ht="29" x14ac:dyDescent="0.35">
      <c r="A62" s="29" t="s">
        <v>286</v>
      </c>
      <c r="B62" s="227">
        <f>-(Tuloslaskelma!F39+Tuloslaskelma!F41+Tuloslaskelma!F42)</f>
        <v>0</v>
      </c>
      <c r="C62" s="227">
        <f>-(Tuloslaskelma!G39+Tuloslaskelma!G41+Tuloslaskelma!G42)</f>
        <v>0</v>
      </c>
      <c r="D62" s="227">
        <f>-(Tuloslaskelma!H39+Tuloslaskelma!H41+Tuloslaskelma!H42)</f>
        <v>0</v>
      </c>
      <c r="E62" s="227">
        <f>-(Tuloslaskelma!I39+Tuloslaskelma!I41+Tuloslaskelma!I42)</f>
        <v>0</v>
      </c>
      <c r="F62" s="28"/>
      <c r="G62" s="5"/>
      <c r="H62"/>
      <c r="I62" s="8"/>
      <c r="L62"/>
    </row>
    <row r="63" spans="1:12" ht="14.5" x14ac:dyDescent="0.35">
      <c r="A63" s="29"/>
      <c r="B63" s="230"/>
      <c r="C63" s="230"/>
      <c r="D63" s="230"/>
      <c r="E63" s="230"/>
      <c r="F63" s="289"/>
      <c r="G63" s="8"/>
      <c r="H63"/>
      <c r="I63" s="8"/>
    </row>
    <row r="64" spans="1:12" ht="14.5" x14ac:dyDescent="0.35">
      <c r="A64" s="13" t="s">
        <v>233</v>
      </c>
      <c r="B64" s="230"/>
      <c r="C64" s="230"/>
      <c r="D64" s="230"/>
      <c r="E64" s="230"/>
      <c r="F64" s="14"/>
      <c r="G64" s="12"/>
      <c r="H64"/>
    </row>
    <row r="65" spans="1:12" ht="14.5" x14ac:dyDescent="0.35">
      <c r="A65" s="566" t="s">
        <v>234</v>
      </c>
      <c r="B65" s="227">
        <f>Parametrit!B33</f>
        <v>0</v>
      </c>
      <c r="C65" s="227">
        <f>Parametrit!C33</f>
        <v>0</v>
      </c>
      <c r="D65" s="227">
        <f>Parametrit!D33</f>
        <v>0</v>
      </c>
      <c r="E65" s="227">
        <f>Parametrit!E33</f>
        <v>0</v>
      </c>
      <c r="F65" s="14"/>
      <c r="G65"/>
      <c r="H65"/>
    </row>
    <row r="66" spans="1:12" ht="14.5" x14ac:dyDescent="0.35">
      <c r="A66" s="30"/>
      <c r="B66" s="230"/>
      <c r="C66" s="230"/>
      <c r="D66" s="230"/>
      <c r="E66" s="230"/>
      <c r="F66" s="28"/>
      <c r="G66" s="8"/>
      <c r="H66"/>
      <c r="I66" s="8"/>
    </row>
    <row r="67" spans="1:12" ht="14.5" x14ac:dyDescent="0.35">
      <c r="A67" s="23" t="s">
        <v>119</v>
      </c>
      <c r="B67" s="230"/>
      <c r="C67" s="230"/>
      <c r="D67" s="230"/>
      <c r="E67" s="230"/>
      <c r="F67" s="28"/>
      <c r="G67" s="8"/>
      <c r="H67"/>
      <c r="I67" s="8"/>
    </row>
    <row r="68" spans="1:12" ht="14.5" x14ac:dyDescent="0.35">
      <c r="A68" s="29" t="s">
        <v>235</v>
      </c>
      <c r="B68" s="227">
        <f>-Investointikannustin!B16</f>
        <v>0</v>
      </c>
      <c r="C68" s="227">
        <f>-Investointikannustin!C16</f>
        <v>0</v>
      </c>
      <c r="D68" s="227">
        <f>-Investointikannustin!D16</f>
        <v>0</v>
      </c>
      <c r="E68" s="227">
        <f>-Investointikannustin!E16</f>
        <v>0</v>
      </c>
      <c r="F68" s="28"/>
      <c r="G68" s="8"/>
      <c r="H68"/>
      <c r="I68" s="8"/>
      <c r="L68"/>
    </row>
    <row r="69" spans="1:12" ht="14.5" x14ac:dyDescent="0.35">
      <c r="A69" s="31"/>
      <c r="B69" s="230"/>
      <c r="C69" s="230"/>
      <c r="D69" s="230"/>
      <c r="E69" s="230"/>
      <c r="F69" s="28"/>
      <c r="G69" s="8"/>
      <c r="H69"/>
      <c r="I69" s="8"/>
      <c r="L69"/>
    </row>
    <row r="70" spans="1:12" ht="14.5" x14ac:dyDescent="0.35">
      <c r="A70" s="13" t="s">
        <v>120</v>
      </c>
      <c r="B70" s="230"/>
      <c r="C70" s="230"/>
      <c r="D70" s="230"/>
      <c r="E70" s="230"/>
      <c r="F70" s="28"/>
      <c r="G70" s="8"/>
      <c r="H70"/>
      <c r="I70" s="8"/>
    </row>
    <row r="71" spans="1:12" ht="14.5" x14ac:dyDescent="0.35">
      <c r="A71" s="29" t="s">
        <v>236</v>
      </c>
      <c r="B71" s="231" t="e">
        <f>Laatukannustin!K6/1000</f>
        <v>#DIV/0!</v>
      </c>
      <c r="C71" s="231" t="e">
        <f>Laatukannustin!L6/1000</f>
        <v>#DIV/0!</v>
      </c>
      <c r="D71" s="231" t="e">
        <f>Laatukannustin!M6/1000</f>
        <v>#DIV/0!</v>
      </c>
      <c r="E71" s="231" t="e">
        <f>Laatukannustin!N6/1000</f>
        <v>#DIV/0!</v>
      </c>
      <c r="F71" s="28"/>
      <c r="G71" s="8"/>
      <c r="H71" s="8"/>
      <c r="I71" s="8"/>
    </row>
    <row r="72" spans="1:12" ht="14.5" x14ac:dyDescent="0.35">
      <c r="A72" s="29" t="s">
        <v>237</v>
      </c>
      <c r="B72" s="403" t="e">
        <f>Laatukannustin!K37/1000</f>
        <v>#DIV/0!</v>
      </c>
      <c r="C72" s="403" t="e">
        <f>Laatukannustin!L37/1000</f>
        <v>#DIV/0!</v>
      </c>
      <c r="D72" s="403" t="e">
        <f>Laatukannustin!M37/1000</f>
        <v>#DIV/0!</v>
      </c>
      <c r="E72" s="403" t="e">
        <f>Laatukannustin!N37/1000</f>
        <v>#DIV/0!</v>
      </c>
      <c r="F72" s="14"/>
      <c r="G72" s="5"/>
    </row>
    <row r="73" spans="1:12" ht="14.5" x14ac:dyDescent="0.35">
      <c r="A73" s="29" t="s">
        <v>281</v>
      </c>
      <c r="B73" s="243" t="e">
        <f>IF((((B71)-(B72))+IF((((B71)-(B72)))&lt;=(-0.15*B93),((((B71)-(B72)))*-1-0.15*B93),0)+IF((((B71)-(B72)))&gt;=(0.15*B93),(((B71)-(B72)))*-1+0.15*B93,0))&gt;=((B72)),(B72),(((B71)-(B72))+IF(((B71)-(B72))&lt;=(-0.15*B93),(((B71)-(B72))*-1-0.15*B93),0)+IF(((B71)-B72)&gt;=0.15*B93,((B71)-(B72))*-1+0.15*B93,0)))</f>
        <v>#DIV/0!</v>
      </c>
      <c r="C73" s="243" t="e">
        <f>IF((((C71)-(C72))+IF((((C71)-(C72)))&lt;=(-0.15*C93),((((C71)-(C72)))*-1-0.15*C93),0)+IF((((C71)-(C72)))&gt;=(0.15*C93),(((C71)-(C72)))*-1+0.15*C93,0))&gt;=((C72)),(C72),(((C71)-(C72))+IF(((C71)-(C72))&lt;=(-0.15*C93),(((C71)-(C72))*-1-0.15*C93),0)+IF(((C71)-C72)&gt;=0.15*C93,((C71)-(C72))*-1+0.15*C93,0)))</f>
        <v>#DIV/0!</v>
      </c>
      <c r="D73" s="243" t="e">
        <f>IF((((D71)-(D72))+IF((((D71)-(D72)))&lt;=(-0.15*D93),((((D71)-(D72)))*-1-0.15*D93),0)+IF((((D71)-(D72)))&gt;=(0.15*D93),(((D71)-(D72)))*-1+0.15*D93,0))&gt;=((D72)),(D72),(((D71)-(D72))+IF(((D71)-(D72))&lt;=(-0.15*D93),(((D71)-(D72))*-1-0.15*D93),0)+IF(((D71)-D72)&gt;=0.15*D93,((D71)-(D72))*-1+0.15*D93,0)))</f>
        <v>#DIV/0!</v>
      </c>
      <c r="E73" s="243" t="e">
        <f>IF((((E71)-(E72))+IF((((E71)-(E72)))&lt;=(-0.15*E93),((((E71)-(E72)))*-1-0.15*E93),0)+IF((((E71)-(E72)))&gt;=(0.15*E93),(((E71)-(E72)))*-1+0.15*E93,0))&gt;=((E72)),(E72),(((E71)-(E72))+IF(((E71)-(E72))&lt;=(-0.15*E93),(((E71)-(E72))*-1-0.15*E93),0)+IF(((E71)-E72)&gt;=0.15*E93,((E71)-(E72))*-1+0.15*E93,0)))</f>
        <v>#DIV/0!</v>
      </c>
    </row>
    <row r="74" spans="1:12" ht="14.5" x14ac:dyDescent="0.35">
      <c r="A74" s="31"/>
      <c r="B74" s="232"/>
      <c r="C74" s="232"/>
      <c r="D74" s="232"/>
      <c r="E74" s="232"/>
      <c r="F74" s="14"/>
      <c r="G74"/>
      <c r="H74"/>
    </row>
    <row r="75" spans="1:12" ht="14.5" x14ac:dyDescent="0.35">
      <c r="A75" s="13" t="s">
        <v>121</v>
      </c>
      <c r="B75" s="232"/>
      <c r="C75" s="232"/>
      <c r="D75" s="232"/>
      <c r="E75" s="232"/>
      <c r="F75" s="14"/>
      <c r="H75"/>
    </row>
    <row r="76" spans="1:12" ht="14.5" x14ac:dyDescent="0.35">
      <c r="A76" s="29" t="s">
        <v>299</v>
      </c>
      <c r="B76" s="227">
        <f>Tehostamiskannustin!B42</f>
        <v>0</v>
      </c>
      <c r="C76" s="227">
        <f>Tehostamiskannustin!C42</f>
        <v>0</v>
      </c>
      <c r="D76" s="227">
        <f>Tehostamiskannustin!D42</f>
        <v>0</v>
      </c>
      <c r="E76" s="227">
        <f>Tehostamiskannustin!E42</f>
        <v>0</v>
      </c>
      <c r="F76" s="14"/>
      <c r="G76" s="5"/>
      <c r="H76"/>
    </row>
    <row r="77" spans="1:12" ht="17.25" customHeight="1" x14ac:dyDescent="0.35">
      <c r="A77" s="29" t="s">
        <v>298</v>
      </c>
      <c r="B77" s="227">
        <f>(Tehostamiskannustin!B15)</f>
        <v>0</v>
      </c>
      <c r="C77" s="227">
        <f>(Tehostamiskannustin!B16)</f>
        <v>0</v>
      </c>
      <c r="D77" s="227">
        <f>(Tehostamiskannustin!B17)</f>
        <v>0</v>
      </c>
      <c r="E77" s="227">
        <f>(Tehostamiskannustin!B18)</f>
        <v>0</v>
      </c>
      <c r="F77" s="14"/>
      <c r="H77"/>
    </row>
    <row r="78" spans="1:12" ht="14.5" x14ac:dyDescent="0.35">
      <c r="A78" s="32" t="s">
        <v>280</v>
      </c>
      <c r="B78" s="227">
        <f>IF(ABS(B76-B77)&gt;20%*B93,IF((B76-B77&lt;0),(-20%*B93),(20%*B93)),B76-B77)</f>
        <v>0</v>
      </c>
      <c r="C78" s="227">
        <f t="shared" ref="C78:D78" si="1">IF(ABS(C76-C77)&gt;20%*C93,IF((C76-C77&lt;0),(-20%*C93),(20%*C93)),C76-C77)</f>
        <v>0</v>
      </c>
      <c r="D78" s="227" t="e">
        <f t="shared" si="1"/>
        <v>#DIV/0!</v>
      </c>
      <c r="E78" s="227" t="e">
        <f>IF(ABS(E76-E77)&gt;20%*E93,IF((E76-E77&lt;0),(-20%*E93),(20%*E93)),E76-E77)</f>
        <v>#DIV/0!</v>
      </c>
      <c r="F78" s="14"/>
      <c r="G78" s="230"/>
      <c r="H78"/>
    </row>
    <row r="79" spans="1:12" ht="14.5" x14ac:dyDescent="0.35">
      <c r="A79" s="31"/>
      <c r="B79" s="230"/>
      <c r="C79" s="230"/>
      <c r="D79" s="230"/>
      <c r="E79" s="230"/>
      <c r="F79" s="14"/>
      <c r="G79" s="12"/>
      <c r="H79"/>
    </row>
    <row r="80" spans="1:12" ht="14.5" x14ac:dyDescent="0.35">
      <c r="A80" s="33" t="s">
        <v>117</v>
      </c>
      <c r="B80" s="227">
        <f>-(Innovaatiokannustin!C12)</f>
        <v>0</v>
      </c>
      <c r="C80" s="227">
        <f>-(Innovaatiokannustin!D12)</f>
        <v>0</v>
      </c>
      <c r="D80" s="227">
        <f>-(Innovaatiokannustin!E12)</f>
        <v>0</v>
      </c>
      <c r="E80" s="227">
        <f>-(Innovaatiokannustin!F12)</f>
        <v>0</v>
      </c>
      <c r="F80" s="14"/>
      <c r="G80"/>
      <c r="H80"/>
    </row>
    <row r="81" spans="1:8" ht="14.5" x14ac:dyDescent="0.35">
      <c r="A81" s="33"/>
      <c r="B81" s="230"/>
      <c r="C81" s="230"/>
      <c r="D81" s="230"/>
      <c r="E81" s="230"/>
      <c r="F81" s="14"/>
      <c r="G81"/>
      <c r="H81"/>
    </row>
    <row r="82" spans="1:8" ht="14.5" x14ac:dyDescent="0.35">
      <c r="A82" s="33" t="s">
        <v>320</v>
      </c>
      <c r="B82" s="227">
        <f>-(Joustokannustin!C12)</f>
        <v>0</v>
      </c>
      <c r="C82" s="227">
        <f>-(Joustokannustin!D12)</f>
        <v>0</v>
      </c>
      <c r="D82" s="227">
        <f>-(Joustokannustin!E12)</f>
        <v>0</v>
      </c>
      <c r="E82" s="227">
        <f>-(Joustokannustin!F12)</f>
        <v>0</v>
      </c>
      <c r="F82" s="14"/>
      <c r="G82"/>
      <c r="H82"/>
    </row>
    <row r="83" spans="1:8" ht="14.5" x14ac:dyDescent="0.35">
      <c r="A83" s="33"/>
      <c r="B83" s="230"/>
      <c r="C83" s="230"/>
      <c r="D83" s="230"/>
      <c r="E83" s="230"/>
      <c r="F83" s="14"/>
      <c r="G83"/>
      <c r="H83"/>
    </row>
    <row r="84" spans="1:8" ht="14.5" x14ac:dyDescent="0.35">
      <c r="A84" s="35"/>
      <c r="B84" s="19"/>
      <c r="C84" s="19"/>
      <c r="D84" s="19"/>
      <c r="E84" s="19"/>
      <c r="F84" s="14"/>
      <c r="G84"/>
      <c r="H84"/>
    </row>
    <row r="85" spans="1:8" ht="15" thickBot="1" x14ac:dyDescent="0.4">
      <c r="A85" s="36" t="s">
        <v>44</v>
      </c>
      <c r="B85" s="24" t="e">
        <f>B54+B73+B78+B58+B59+B60-B61+B65+B62+B57+B68+B80+B82</f>
        <v>#DIV/0!</v>
      </c>
      <c r="C85" s="24" t="e">
        <f>C54+C73+C78+C58+C59+C60-C61+C65+C62+C57+C68+C80+C82</f>
        <v>#DIV/0!</v>
      </c>
      <c r="D85" s="24" t="e">
        <f>D54+D73+D78+D58+D59+D60-D61+D65+D62+D57+D68+D80+D82</f>
        <v>#DIV/0!</v>
      </c>
      <c r="E85" s="24" t="e">
        <f>E54+E73+E78+E58+E59+E60-E61+E65+E62+E57+E68+E80+E82</f>
        <v>#DIV/0!</v>
      </c>
      <c r="F85" s="14"/>
      <c r="G85"/>
      <c r="H85"/>
    </row>
    <row r="86" spans="1:8" ht="14.5" x14ac:dyDescent="0.35">
      <c r="A86" s="14"/>
      <c r="B86" s="14"/>
      <c r="C86" s="14"/>
      <c r="D86" s="14"/>
      <c r="E86" s="14"/>
      <c r="F86" s="14"/>
      <c r="G86"/>
      <c r="H86"/>
    </row>
    <row r="87" spans="1:8" ht="14.5" x14ac:dyDescent="0.35">
      <c r="A87" s="14"/>
      <c r="B87" s="14"/>
      <c r="C87" s="14"/>
      <c r="D87" s="14"/>
      <c r="E87" s="14"/>
      <c r="F87" s="14"/>
      <c r="G87"/>
      <c r="H87"/>
    </row>
    <row r="88" spans="1:8" ht="14.5" x14ac:dyDescent="0.35">
      <c r="A88" s="13" t="s">
        <v>35</v>
      </c>
      <c r="B88" s="25">
        <v>2024</v>
      </c>
      <c r="C88" s="23">
        <v>2025</v>
      </c>
      <c r="D88" s="23">
        <v>2026</v>
      </c>
      <c r="E88" s="23">
        <v>2027</v>
      </c>
      <c r="F88" s="14"/>
      <c r="G88"/>
      <c r="H88"/>
    </row>
    <row r="89" spans="1:8" ht="14.5" x14ac:dyDescent="0.35">
      <c r="A89" s="14"/>
      <c r="B89" s="14"/>
      <c r="C89" s="14"/>
      <c r="D89" s="14"/>
      <c r="E89" s="14"/>
      <c r="F89" s="14"/>
      <c r="G89"/>
      <c r="H89"/>
    </row>
    <row r="90" spans="1:8" ht="14.5" x14ac:dyDescent="0.35">
      <c r="A90" s="29" t="s">
        <v>36</v>
      </c>
      <c r="B90" s="37">
        <f>Parametrit!B28</f>
        <v>7.3693220000000004E-2</v>
      </c>
      <c r="C90" s="37">
        <f>Parametrit!C28</f>
        <v>3.9409199999999991E-2</v>
      </c>
      <c r="D90" s="37" t="e">
        <f>Parametrit!D28</f>
        <v>#DIV/0!</v>
      </c>
      <c r="E90" s="37" t="e">
        <f>Parametrit!E28</f>
        <v>#DIV/0!</v>
      </c>
      <c r="F90" s="14"/>
      <c r="G90"/>
      <c r="H90"/>
    </row>
    <row r="91" spans="1:8" ht="14.5" x14ac:dyDescent="0.35">
      <c r="A91" s="29" t="s">
        <v>37</v>
      </c>
      <c r="B91" s="227">
        <f>B36+B37+B38</f>
        <v>0</v>
      </c>
      <c r="C91" s="227">
        <f>C36+C37+C38</f>
        <v>0</v>
      </c>
      <c r="D91" s="227">
        <f>D36+D37+D38</f>
        <v>0</v>
      </c>
      <c r="E91" s="227">
        <f>E36+E37+E38</f>
        <v>0</v>
      </c>
      <c r="F91" s="14"/>
      <c r="G91"/>
      <c r="H91"/>
    </row>
    <row r="92" spans="1:8" ht="14.5" x14ac:dyDescent="0.35">
      <c r="A92" s="29" t="s">
        <v>38</v>
      </c>
      <c r="B92" s="227">
        <f>B27+B28+B29+B31+B32</f>
        <v>0</v>
      </c>
      <c r="C92" s="227">
        <f>C27+C28+C29+C31+C32</f>
        <v>0</v>
      </c>
      <c r="D92" s="227">
        <f>D27+D28+D29+D31+D32</f>
        <v>0</v>
      </c>
      <c r="E92" s="227">
        <f>E27+E28+E29+E31+E32</f>
        <v>0</v>
      </c>
      <c r="F92" s="14"/>
      <c r="G92"/>
      <c r="H92"/>
    </row>
    <row r="93" spans="1:8" ht="15" thickBot="1" x14ac:dyDescent="0.4">
      <c r="A93" s="21" t="s">
        <v>42</v>
      </c>
      <c r="B93" s="89">
        <f>B90*(B91+B92)</f>
        <v>0</v>
      </c>
      <c r="C93" s="89">
        <f>C90*(C91+C92)</f>
        <v>0</v>
      </c>
      <c r="D93" s="89" t="e">
        <f>D90*(D91+D92)</f>
        <v>#DIV/0!</v>
      </c>
      <c r="E93" s="89" t="e">
        <f>E90*(E91+E92)</f>
        <v>#DIV/0!</v>
      </c>
      <c r="F93" s="14"/>
      <c r="G93"/>
      <c r="H93"/>
    </row>
    <row r="94" spans="1:8" ht="14.5" x14ac:dyDescent="0.35">
      <c r="A94" s="14"/>
      <c r="B94" s="14"/>
      <c r="C94" s="14"/>
      <c r="D94" s="14"/>
      <c r="E94" s="14"/>
      <c r="F94" s="14"/>
      <c r="G94"/>
      <c r="H94"/>
    </row>
    <row r="95" spans="1:8" ht="15" thickBot="1" x14ac:dyDescent="0.4">
      <c r="A95" s="14"/>
      <c r="B95" s="14"/>
      <c r="C95" s="14"/>
      <c r="D95" s="14"/>
      <c r="E95" s="14"/>
      <c r="F95" s="14"/>
      <c r="G95"/>
      <c r="H95"/>
    </row>
    <row r="96" spans="1:8" ht="15" thickBot="1" x14ac:dyDescent="0.4">
      <c r="A96" s="21" t="s">
        <v>80</v>
      </c>
      <c r="B96" s="38" t="e">
        <f>B85-B93</f>
        <v>#DIV/0!</v>
      </c>
      <c r="C96" s="38" t="e">
        <f>C85-C93</f>
        <v>#DIV/0!</v>
      </c>
      <c r="D96" s="38" t="e">
        <f>D85-D93</f>
        <v>#DIV/0!</v>
      </c>
      <c r="E96" s="38" t="e">
        <f>E85-E93</f>
        <v>#DIV/0!</v>
      </c>
      <c r="F96" s="14"/>
      <c r="G96"/>
      <c r="H96"/>
    </row>
    <row r="97" spans="1:8" ht="14.5" x14ac:dyDescent="0.35">
      <c r="A97" s="14"/>
      <c r="B97" s="14"/>
      <c r="C97" s="14"/>
      <c r="D97" s="14"/>
      <c r="E97" s="14"/>
      <c r="F97" s="14"/>
      <c r="G97"/>
      <c r="H97"/>
    </row>
    <row r="98" spans="1:8" ht="14.5" x14ac:dyDescent="0.35">
      <c r="A98" s="14"/>
      <c r="B98" s="14"/>
      <c r="C98" s="14"/>
      <c r="D98" s="14"/>
      <c r="E98" s="14"/>
      <c r="F98" s="14"/>
      <c r="G98"/>
      <c r="H98"/>
    </row>
    <row r="99" spans="1:8" ht="14.5" x14ac:dyDescent="0.35">
      <c r="A99" s="14"/>
      <c r="B99" s="14"/>
      <c r="C99" s="14"/>
      <c r="D99" s="14"/>
      <c r="E99" s="14"/>
      <c r="F99" s="14"/>
      <c r="G99"/>
      <c r="H99"/>
    </row>
    <row r="100" spans="1:8" ht="14.5" x14ac:dyDescent="0.35">
      <c r="A100" s="14"/>
      <c r="B100" s="14"/>
      <c r="C100" s="14"/>
      <c r="D100" s="14"/>
      <c r="E100" s="14"/>
      <c r="F100" s="14"/>
      <c r="G100"/>
      <c r="H100"/>
    </row>
    <row r="101" spans="1:8" ht="14.5" x14ac:dyDescent="0.35">
      <c r="A101" s="14"/>
      <c r="B101" s="14"/>
      <c r="C101" s="14"/>
      <c r="D101" s="14"/>
      <c r="E101" s="14"/>
      <c r="F101" s="14"/>
      <c r="G101"/>
      <c r="H101"/>
    </row>
    <row r="102" spans="1:8" ht="14.5" x14ac:dyDescent="0.35">
      <c r="A102" s="14"/>
      <c r="B102" s="14"/>
      <c r="C102" s="14"/>
      <c r="D102" s="14"/>
      <c r="E102" s="14"/>
      <c r="F102" s="14"/>
      <c r="G102"/>
      <c r="H102"/>
    </row>
    <row r="103" spans="1:8" x14ac:dyDescent="0.25">
      <c r="G103"/>
      <c r="H103"/>
    </row>
    <row r="104" spans="1:8" x14ac:dyDescent="0.25">
      <c r="G104"/>
      <c r="H104"/>
    </row>
    <row r="105" spans="1:8" x14ac:dyDescent="0.25">
      <c r="G105"/>
      <c r="H105"/>
    </row>
    <row r="106" spans="1:8" x14ac:dyDescent="0.25">
      <c r="G106"/>
      <c r="H106"/>
    </row>
    <row r="107" spans="1:8" x14ac:dyDescent="0.25">
      <c r="G107"/>
      <c r="H107"/>
    </row>
    <row r="108" spans="1:8" x14ac:dyDescent="0.25">
      <c r="G108"/>
      <c r="H108"/>
    </row>
    <row r="109" spans="1:8" x14ac:dyDescent="0.25">
      <c r="G109"/>
    </row>
    <row r="110" spans="1:8" x14ac:dyDescent="0.25">
      <c r="G110"/>
    </row>
  </sheetData>
  <customSheetViews>
    <customSheetView guid="{C44CE6ED-446D-4E43-AC42-1BADDBA87353}" showGridLines="0">
      <pane ySplit="5" topLeftCell="A6" activePane="bottomLeft" state="frozen"/>
      <selection pane="bottomLeft" activeCell="G22" sqref="G22"/>
      <pageMargins left="0.25" right="0.25" top="0.75" bottom="0.75" header="0.3" footer="0.3"/>
      <pageSetup paperSize="9" scale="80" orientation="portrait" r:id="rId1"/>
      <headerFooter alignWithMargins="0"/>
    </customSheetView>
    <customSheetView guid="{8386F830-B269-4ACC-A789-9E42C0FB51D1}" showGridLines="0">
      <pane ySplit="5" topLeftCell="A72" activePane="bottomLeft" state="frozen"/>
      <selection pane="bottomLeft" activeCell="A49" sqref="A49"/>
      <pageMargins left="0.25" right="0.25" top="0.75" bottom="0.75" header="0.3" footer="0.3"/>
      <pageSetup paperSize="9" scale="80" orientation="portrait" r:id="rId2"/>
      <headerFooter alignWithMargins="0"/>
    </customSheetView>
  </customSheetViews>
  <phoneticPr fontId="5" type="noConversion"/>
  <hyperlinks>
    <hyperlink ref="A64" location="Täyttöohje!A624" display="Muut tuloslaskelman oikaisut" xr:uid="{00000000-0004-0000-0600-000000000000}"/>
  </hyperlinks>
  <pageMargins left="0.25" right="0.25" top="0.75" bottom="0.75" header="0.3" footer="0.3"/>
  <pageSetup paperSize="9" scale="80" orientation="portrait" r:id="rId3"/>
  <headerFooter alignWithMargins="0"/>
  <cellWatches>
    <cellWatch r="B27"/>
  </cellWatches>
  <ignoredErrors>
    <ignoredError sqref="B73:E73 B78:E78 B96:E96 C85:E85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W56"/>
  <sheetViews>
    <sheetView zoomScaleNormal="100" workbookViewId="0"/>
  </sheetViews>
  <sheetFormatPr defaultColWidth="8.7265625" defaultRowHeight="12.5" x14ac:dyDescent="0.25"/>
  <cols>
    <col min="1" max="1" width="8.7265625" style="533"/>
    <col min="2" max="2" width="75.26953125" style="533" customWidth="1"/>
    <col min="3" max="3" width="13.54296875" style="533" customWidth="1"/>
    <col min="4" max="4" width="14" style="533" bestFit="1" customWidth="1"/>
    <col min="5" max="5" width="13.7265625" style="533" customWidth="1"/>
    <col min="6" max="9" width="14" style="533" bestFit="1" customWidth="1"/>
    <col min="10" max="14" width="12.26953125" style="533" customWidth="1"/>
    <col min="15" max="16384" width="8.7265625" style="533"/>
  </cols>
  <sheetData>
    <row r="1" spans="1:257" s="529" customFormat="1" ht="12.65" customHeight="1" x14ac:dyDescent="0.3">
      <c r="A1" s="518"/>
      <c r="B1" s="519" t="s">
        <v>41</v>
      </c>
      <c r="C1" s="541">
        <v>2016</v>
      </c>
      <c r="D1" s="541">
        <v>2017</v>
      </c>
      <c r="E1" s="541">
        <v>2018</v>
      </c>
      <c r="F1" s="541">
        <v>2019</v>
      </c>
      <c r="G1" s="520">
        <v>2020</v>
      </c>
      <c r="H1" s="520">
        <v>2021</v>
      </c>
      <c r="I1" s="520">
        <v>2022</v>
      </c>
      <c r="J1" s="520">
        <v>2023</v>
      </c>
      <c r="K1" s="520">
        <v>2024</v>
      </c>
      <c r="L1" s="520">
        <v>2025</v>
      </c>
      <c r="M1" s="520">
        <v>2026</v>
      </c>
      <c r="N1" s="520">
        <v>2027</v>
      </c>
      <c r="O1" s="518"/>
    </row>
    <row r="2" spans="1:257" s="530" customFormat="1" ht="12.65" customHeight="1" x14ac:dyDescent="0.35">
      <c r="A2"/>
      <c r="B2" s="71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  <c r="DJ2" s="529"/>
      <c r="DK2" s="529"/>
      <c r="DL2" s="529"/>
      <c r="DM2" s="529"/>
      <c r="DN2" s="529"/>
      <c r="DO2" s="529"/>
      <c r="DP2" s="529"/>
      <c r="DQ2" s="529"/>
      <c r="DR2" s="529"/>
      <c r="DS2" s="529"/>
      <c r="DT2" s="529"/>
      <c r="DU2" s="529"/>
      <c r="DV2" s="529"/>
      <c r="DW2" s="529"/>
      <c r="DX2" s="529"/>
      <c r="DY2" s="529"/>
      <c r="DZ2" s="529"/>
      <c r="EA2" s="529"/>
      <c r="EB2" s="529"/>
      <c r="EC2" s="529"/>
      <c r="ED2" s="529"/>
      <c r="EE2" s="529"/>
      <c r="EF2" s="529"/>
      <c r="EG2" s="529"/>
      <c r="EH2" s="529"/>
      <c r="EI2" s="529"/>
      <c r="EJ2" s="529"/>
      <c r="EK2" s="529"/>
      <c r="EL2" s="529"/>
      <c r="EM2" s="529"/>
      <c r="EN2" s="529"/>
      <c r="EO2" s="529"/>
      <c r="EP2" s="529"/>
      <c r="EQ2" s="529"/>
      <c r="ER2" s="529"/>
      <c r="ES2" s="529"/>
      <c r="ET2" s="529"/>
      <c r="EU2" s="529"/>
      <c r="EV2" s="529"/>
      <c r="EW2" s="529"/>
      <c r="EX2" s="529"/>
      <c r="EY2" s="529"/>
      <c r="EZ2" s="529"/>
      <c r="FA2" s="529"/>
      <c r="FB2" s="529"/>
      <c r="FC2" s="529"/>
      <c r="FD2" s="529"/>
      <c r="FE2" s="529"/>
      <c r="FF2" s="529"/>
      <c r="FG2" s="529"/>
      <c r="FH2" s="529"/>
      <c r="FI2" s="529"/>
      <c r="FJ2" s="529"/>
      <c r="FK2" s="529"/>
      <c r="FL2" s="529"/>
      <c r="FM2" s="529"/>
      <c r="FN2" s="529"/>
      <c r="FO2" s="529"/>
      <c r="FP2" s="529"/>
      <c r="FQ2" s="529"/>
      <c r="FR2" s="529"/>
      <c r="FS2" s="529"/>
      <c r="FT2" s="529"/>
      <c r="FU2" s="529"/>
      <c r="FV2" s="529"/>
      <c r="FW2" s="529"/>
      <c r="FX2" s="529"/>
      <c r="FY2" s="529"/>
      <c r="FZ2" s="529"/>
      <c r="GA2" s="529"/>
      <c r="GB2" s="529"/>
      <c r="GC2" s="529"/>
      <c r="GD2" s="529"/>
      <c r="GE2" s="529"/>
      <c r="GF2" s="529"/>
      <c r="GG2" s="529"/>
      <c r="GH2" s="529"/>
      <c r="GI2" s="529"/>
      <c r="GJ2" s="529"/>
      <c r="GK2" s="529"/>
      <c r="GL2" s="529"/>
      <c r="GM2" s="529"/>
      <c r="GN2" s="529"/>
      <c r="GO2" s="529"/>
      <c r="GP2" s="529"/>
      <c r="GQ2" s="529"/>
      <c r="GR2" s="529"/>
      <c r="GS2" s="529"/>
      <c r="GT2" s="529"/>
      <c r="GU2" s="529"/>
      <c r="GV2" s="529"/>
      <c r="GW2" s="529"/>
      <c r="GX2" s="529"/>
      <c r="GY2" s="529"/>
      <c r="GZ2" s="529"/>
      <c r="HA2" s="529"/>
      <c r="HB2" s="529"/>
      <c r="HC2" s="529"/>
      <c r="HD2" s="529"/>
      <c r="HE2" s="529"/>
      <c r="HF2" s="529"/>
      <c r="HG2" s="529"/>
      <c r="HH2" s="529"/>
      <c r="HI2" s="529"/>
      <c r="HJ2" s="529"/>
      <c r="HK2" s="529"/>
      <c r="HL2" s="529"/>
      <c r="HM2" s="529"/>
      <c r="HN2" s="529"/>
      <c r="HO2" s="529"/>
      <c r="HP2" s="529"/>
      <c r="HQ2" s="529"/>
      <c r="HR2" s="529"/>
      <c r="HS2" s="529"/>
      <c r="HT2" s="529"/>
      <c r="HU2" s="529"/>
      <c r="HV2" s="529"/>
      <c r="HW2" s="529"/>
      <c r="HX2" s="529"/>
      <c r="HY2" s="529"/>
      <c r="HZ2" s="529"/>
      <c r="IA2" s="529"/>
      <c r="IB2" s="529"/>
      <c r="IC2" s="529"/>
      <c r="ID2" s="529"/>
      <c r="IE2" s="529"/>
      <c r="IF2" s="529"/>
      <c r="IG2" s="529"/>
      <c r="IH2" s="529"/>
      <c r="II2" s="529"/>
      <c r="IJ2" s="529"/>
      <c r="IK2" s="529"/>
      <c r="IL2" s="529"/>
      <c r="IM2" s="529"/>
      <c r="IN2" s="529"/>
      <c r="IO2" s="529"/>
      <c r="IP2" s="529"/>
      <c r="IQ2" s="529"/>
      <c r="IR2" s="529"/>
      <c r="IS2" s="529"/>
      <c r="IT2" s="529"/>
      <c r="IU2" s="529"/>
      <c r="IV2" s="529"/>
      <c r="IW2" s="529"/>
    </row>
    <row r="3" spans="1:257" s="529" customFormat="1" ht="12.65" customHeight="1" x14ac:dyDescent="0.35">
      <c r="A3"/>
      <c r="B3" s="68"/>
      <c r="C3" s="290"/>
      <c r="D3" s="290"/>
      <c r="E3" s="56"/>
      <c r="F3" s="56"/>
      <c r="G3" s="56"/>
      <c r="H3" s="56"/>
      <c r="I3" s="56"/>
      <c r="J3" s="56"/>
      <c r="K3" s="56"/>
      <c r="L3" s="56"/>
      <c r="M3" s="56"/>
      <c r="N3" s="56"/>
      <c r="O3"/>
    </row>
    <row r="4" spans="1:257" s="529" customFormat="1" ht="12.65" customHeight="1" x14ac:dyDescent="0.35">
      <c r="A4"/>
      <c r="B4" s="74" t="s">
        <v>349</v>
      </c>
      <c r="C4" s="61">
        <f>C21+C27+C13</f>
        <v>0</v>
      </c>
      <c r="D4" s="61">
        <f>D21+D27+D13</f>
        <v>0</v>
      </c>
      <c r="E4" s="61">
        <f t="shared" ref="E4:N4" si="0">E21+E27+E13</f>
        <v>0</v>
      </c>
      <c r="F4" s="61">
        <f t="shared" si="0"/>
        <v>0</v>
      </c>
      <c r="G4" s="61">
        <f t="shared" si="0"/>
        <v>0</v>
      </c>
      <c r="H4" s="61">
        <f t="shared" si="0"/>
        <v>0</v>
      </c>
      <c r="I4" s="61">
        <f t="shared" si="0"/>
        <v>0</v>
      </c>
      <c r="J4" s="61">
        <f t="shared" si="0"/>
        <v>0</v>
      </c>
      <c r="K4" s="61">
        <f t="shared" si="0"/>
        <v>0</v>
      </c>
      <c r="L4" s="61">
        <f t="shared" si="0"/>
        <v>0</v>
      </c>
      <c r="M4" s="61">
        <f t="shared" si="0"/>
        <v>0</v>
      </c>
      <c r="N4" s="61">
        <f t="shared" si="0"/>
        <v>0</v>
      </c>
      <c r="O4"/>
    </row>
    <row r="5" spans="1:257" s="531" customFormat="1" ht="12.65" customHeight="1" x14ac:dyDescent="0.35">
      <c r="A5"/>
      <c r="B5" s="7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/>
    </row>
    <row r="6" spans="1:257" ht="12.65" customHeight="1" x14ac:dyDescent="0.35">
      <c r="A6"/>
      <c r="B6" s="74" t="s">
        <v>123</v>
      </c>
      <c r="C6" s="61">
        <f>C4*(Parametrit!$I18/Parametrit!$I23)</f>
        <v>0</v>
      </c>
      <c r="D6" s="61">
        <f>D4*(Parametrit!$I19/Parametrit!$I23)</f>
        <v>0</v>
      </c>
      <c r="E6" s="61">
        <f>E4*(Parametrit!$I20/Parametrit!$I23)</f>
        <v>0</v>
      </c>
      <c r="F6" s="61">
        <f>F4*(Parametrit!$I21/Parametrit!$I23)</f>
        <v>0</v>
      </c>
      <c r="G6" s="61">
        <f>G4*(Parametrit!$I22/Parametrit!$I23)</f>
        <v>0</v>
      </c>
      <c r="H6" s="61">
        <f>H4*(Parametrit!$I23/Parametrit!$I23)</f>
        <v>0</v>
      </c>
      <c r="I6" s="61">
        <f>I4*(Parametrit!$I24/Parametrit!$I23)</f>
        <v>0</v>
      </c>
      <c r="J6" s="61">
        <f>J4*(Parametrit!$I25/Parametrit!$I23)</f>
        <v>0</v>
      </c>
      <c r="K6" s="61" t="e">
        <f>K4*(Parametrit!$I26/Parametrit!$I23)</f>
        <v>#DIV/0!</v>
      </c>
      <c r="L6" s="61" t="e">
        <f>L4*(Parametrit!$I27/Parametrit!$I23)</f>
        <v>#DIV/0!</v>
      </c>
      <c r="M6" s="61" t="e">
        <f>M4*(Parametrit!$I28/Parametrit!$I23)</f>
        <v>#DIV/0!</v>
      </c>
      <c r="N6" s="61" t="e">
        <f>N4*(Parametrit!$I29/Parametrit!$I23)</f>
        <v>#DIV/0!</v>
      </c>
      <c r="O6"/>
    </row>
    <row r="7" spans="1:257" ht="12.65" customHeight="1" x14ac:dyDescent="0.35">
      <c r="A7"/>
      <c r="B7" s="7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/>
    </row>
    <row r="8" spans="1:257" ht="29.15" customHeight="1" x14ac:dyDescent="0.35">
      <c r="A8" s="522"/>
      <c r="B8" s="429" t="s">
        <v>350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/>
    </row>
    <row r="9" spans="1:257" ht="29.15" customHeight="1" x14ac:dyDescent="0.35">
      <c r="A9" s="522"/>
      <c r="B9" s="429" t="s">
        <v>351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/>
    </row>
    <row r="10" spans="1:257" ht="29.15" customHeight="1" x14ac:dyDescent="0.35">
      <c r="A10" s="522"/>
      <c r="B10" s="429" t="s">
        <v>352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/>
    </row>
    <row r="11" spans="1:257" ht="29.15" customHeight="1" x14ac:dyDescent="0.35">
      <c r="A11" s="522"/>
      <c r="B11" s="429" t="s">
        <v>353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/>
    </row>
    <row r="12" spans="1:257" ht="29.15" customHeight="1" thickBot="1" x14ac:dyDescent="0.4">
      <c r="A12" s="522"/>
      <c r="B12" s="430" t="s">
        <v>354</v>
      </c>
      <c r="C12" s="523"/>
      <c r="D12" s="523"/>
      <c r="E12" s="523"/>
      <c r="F12" s="523"/>
      <c r="G12" s="523"/>
      <c r="H12" s="523"/>
      <c r="I12" s="523"/>
      <c r="J12" s="523"/>
      <c r="K12" s="523"/>
      <c r="L12" s="523"/>
      <c r="M12" s="523"/>
      <c r="N12" s="523"/>
      <c r="O12"/>
    </row>
    <row r="13" spans="1:257" ht="12.65" customHeight="1" thickTop="1" thickBot="1" x14ac:dyDescent="0.4">
      <c r="A13" s="522"/>
      <c r="B13" s="429" t="s">
        <v>355</v>
      </c>
      <c r="C13" s="542">
        <f>((C8*C29+C9*C30+C10*C31+C11*C32)*(C12*1000000/C35))</f>
        <v>0</v>
      </c>
      <c r="D13" s="542">
        <f t="shared" ref="D13:N13" si="1">((D8*D29+D9*D30+D10*D31+D11*D32)*(D12*1000000/D35))</f>
        <v>0</v>
      </c>
      <c r="E13" s="542">
        <f t="shared" si="1"/>
        <v>0</v>
      </c>
      <c r="F13" s="542">
        <f t="shared" si="1"/>
        <v>0</v>
      </c>
      <c r="G13" s="542">
        <f t="shared" si="1"/>
        <v>0</v>
      </c>
      <c r="H13" s="542">
        <f t="shared" si="1"/>
        <v>0</v>
      </c>
      <c r="I13" s="542">
        <f t="shared" si="1"/>
        <v>0</v>
      </c>
      <c r="J13" s="542">
        <f t="shared" si="1"/>
        <v>0</v>
      </c>
      <c r="K13" s="542">
        <f t="shared" si="1"/>
        <v>0</v>
      </c>
      <c r="L13" s="542">
        <f t="shared" si="1"/>
        <v>0</v>
      </c>
      <c r="M13" s="542">
        <f t="shared" si="1"/>
        <v>0</v>
      </c>
      <c r="N13" s="542">
        <f t="shared" si="1"/>
        <v>0</v>
      </c>
      <c r="O13"/>
    </row>
    <row r="14" spans="1:257" ht="29.15" customHeight="1" thickTop="1" x14ac:dyDescent="0.35">
      <c r="A14" s="425"/>
      <c r="B14" s="429" t="s">
        <v>65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/>
    </row>
    <row r="15" spans="1:257" ht="29.15" customHeight="1" x14ac:dyDescent="0.35">
      <c r="A15" s="425"/>
      <c r="B15" s="429" t="s">
        <v>67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/>
    </row>
    <row r="16" spans="1:257" ht="29.15" customHeight="1" x14ac:dyDescent="0.35">
      <c r="A16" s="425"/>
      <c r="B16" s="429" t="s">
        <v>66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/>
    </row>
    <row r="17" spans="1:15" ht="29.15" customHeight="1" x14ac:dyDescent="0.35">
      <c r="A17" s="425"/>
      <c r="B17" s="429" t="s">
        <v>68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/>
    </row>
    <row r="18" spans="1:15" ht="29.15" customHeight="1" x14ac:dyDescent="0.35">
      <c r="A18" s="425"/>
      <c r="B18" s="429" t="s">
        <v>69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/>
    </row>
    <row r="19" spans="1:15" ht="29.15" customHeight="1" x14ac:dyDescent="0.35">
      <c r="A19" s="425"/>
      <c r="B19" s="429" t="s">
        <v>70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/>
    </row>
    <row r="20" spans="1:15" ht="29.15" customHeight="1" thickBot="1" x14ac:dyDescent="0.4">
      <c r="A20" s="425"/>
      <c r="B20" s="430" t="s">
        <v>315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/>
    </row>
    <row r="21" spans="1:15" ht="12.65" customHeight="1" thickTop="1" thickBot="1" x14ac:dyDescent="0.4">
      <c r="A21" s="425"/>
      <c r="B21" s="429" t="s">
        <v>313</v>
      </c>
      <c r="C21" s="542">
        <f>((C14*C29+C15*C30+C16*C31+C17*C32+C18*C33+C19*C34)*(C20*1000000/C35))</f>
        <v>0</v>
      </c>
      <c r="D21" s="542">
        <f>((D14*D29+D15*D30+D16*D31+D17*D32+D18*D33+D19*D34)*(D20*1000000/D35))</f>
        <v>0</v>
      </c>
      <c r="E21" s="542">
        <f t="shared" ref="E21:N21" si="2">((E14*E29+E15*E30+E16*E31+E17*E32+E18*E33+E19*E34)*(E20*1000000/E35))</f>
        <v>0</v>
      </c>
      <c r="F21" s="542">
        <f t="shared" si="2"/>
        <v>0</v>
      </c>
      <c r="G21" s="542">
        <f t="shared" si="2"/>
        <v>0</v>
      </c>
      <c r="H21" s="542">
        <f t="shared" si="2"/>
        <v>0</v>
      </c>
      <c r="I21" s="542">
        <f t="shared" si="2"/>
        <v>0</v>
      </c>
      <c r="J21" s="542">
        <f t="shared" si="2"/>
        <v>0</v>
      </c>
      <c r="K21" s="542">
        <f t="shared" si="2"/>
        <v>0</v>
      </c>
      <c r="L21" s="542">
        <f t="shared" si="2"/>
        <v>0</v>
      </c>
      <c r="M21" s="542">
        <f t="shared" si="2"/>
        <v>0</v>
      </c>
      <c r="N21" s="542">
        <f t="shared" si="2"/>
        <v>0</v>
      </c>
      <c r="O21"/>
    </row>
    <row r="22" spans="1:15" ht="29.15" customHeight="1" thickTop="1" x14ac:dyDescent="0.35">
      <c r="A22" s="426"/>
      <c r="B22" s="429" t="s">
        <v>356</v>
      </c>
      <c r="C22" s="524"/>
      <c r="D22" s="524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/>
    </row>
    <row r="23" spans="1:15" ht="29.15" customHeight="1" x14ac:dyDescent="0.35">
      <c r="A23" s="426"/>
      <c r="B23" s="429" t="s">
        <v>357</v>
      </c>
      <c r="C23" s="525"/>
      <c r="D23" s="525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/>
    </row>
    <row r="24" spans="1:15" ht="29.15" customHeight="1" x14ac:dyDescent="0.35">
      <c r="A24" s="426"/>
      <c r="B24" s="429" t="s">
        <v>358</v>
      </c>
      <c r="C24" s="525"/>
      <c r="D24" s="525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/>
    </row>
    <row r="25" spans="1:15" ht="29.15" customHeight="1" x14ac:dyDescent="0.35">
      <c r="A25" s="426"/>
      <c r="B25" s="429" t="s">
        <v>359</v>
      </c>
      <c r="C25" s="525"/>
      <c r="D25" s="525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/>
    </row>
    <row r="26" spans="1:15" ht="29.15" customHeight="1" thickBot="1" x14ac:dyDescent="0.4">
      <c r="A26" s="426"/>
      <c r="B26" s="429" t="s">
        <v>360</v>
      </c>
      <c r="C26" s="526"/>
      <c r="D26" s="526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/>
    </row>
    <row r="27" spans="1:15" ht="12.65" customHeight="1" thickTop="1" thickBot="1" x14ac:dyDescent="0.4">
      <c r="A27" s="426"/>
      <c r="B27" s="429" t="s">
        <v>312</v>
      </c>
      <c r="C27" s="527">
        <v>0</v>
      </c>
      <c r="D27" s="527">
        <v>0</v>
      </c>
      <c r="E27" s="542">
        <f>((E22*E$29+E23*E$30+E24*E$33+E25*E$34)*((1-0.04)*E26*1000000/E$35))</f>
        <v>0</v>
      </c>
      <c r="F27" s="542">
        <f t="shared" ref="F27:M27" si="3">((F22*F$29+F23*F$30+F24*F$33+F25*F$34)*((1-0.04)*F26*1000000/F$35))</f>
        <v>0</v>
      </c>
      <c r="G27" s="542">
        <f t="shared" si="3"/>
        <v>0</v>
      </c>
      <c r="H27" s="542">
        <f t="shared" si="3"/>
        <v>0</v>
      </c>
      <c r="I27" s="542">
        <f t="shared" si="3"/>
        <v>0</v>
      </c>
      <c r="J27" s="542">
        <f t="shared" si="3"/>
        <v>0</v>
      </c>
      <c r="K27" s="542">
        <f t="shared" si="3"/>
        <v>0</v>
      </c>
      <c r="L27" s="542">
        <f t="shared" si="3"/>
        <v>0</v>
      </c>
      <c r="M27" s="542">
        <f t="shared" si="3"/>
        <v>0</v>
      </c>
      <c r="N27" s="542">
        <f>((N22*N$29+N23*N$30+N24*N$33+N25*N$34)*((1-0.04)*N26*1000000/N$35))</f>
        <v>0</v>
      </c>
      <c r="O27"/>
    </row>
    <row r="28" spans="1:15" ht="12.65" customHeight="1" thickTop="1" x14ac:dyDescent="0.35">
      <c r="A28"/>
      <c r="B28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/>
    </row>
    <row r="29" spans="1:15" ht="12.65" customHeight="1" x14ac:dyDescent="0.35">
      <c r="A29" s="528"/>
      <c r="B29" s="429" t="s">
        <v>362</v>
      </c>
      <c r="C29" s="63">
        <v>11.16</v>
      </c>
      <c r="D29" s="63">
        <v>11.16</v>
      </c>
      <c r="E29" s="63">
        <v>11.16</v>
      </c>
      <c r="F29" s="63">
        <v>11.16</v>
      </c>
      <c r="G29" s="63">
        <v>11.16</v>
      </c>
      <c r="H29" s="63">
        <v>11.16</v>
      </c>
      <c r="I29" s="63">
        <v>11.16</v>
      </c>
      <c r="J29" s="63">
        <v>11.16</v>
      </c>
      <c r="K29" s="63">
        <v>11.16</v>
      </c>
      <c r="L29" s="63">
        <v>11.16</v>
      </c>
      <c r="M29" s="63">
        <v>11.16</v>
      </c>
      <c r="N29" s="63">
        <v>11.16</v>
      </c>
      <c r="O29"/>
    </row>
    <row r="30" spans="1:15" ht="12.65" customHeight="1" x14ac:dyDescent="0.35">
      <c r="A30" s="528"/>
      <c r="B30" s="429" t="s">
        <v>363</v>
      </c>
      <c r="C30" s="64">
        <v>1.05</v>
      </c>
      <c r="D30" s="64">
        <v>1.05</v>
      </c>
      <c r="E30" s="64">
        <v>1.05</v>
      </c>
      <c r="F30" s="64">
        <v>1.05</v>
      </c>
      <c r="G30" s="64">
        <v>1.05</v>
      </c>
      <c r="H30" s="64">
        <v>1.05</v>
      </c>
      <c r="I30" s="64">
        <v>1.05</v>
      </c>
      <c r="J30" s="64">
        <v>1.05</v>
      </c>
      <c r="K30" s="64">
        <v>1.05</v>
      </c>
      <c r="L30" s="64">
        <v>1.05</v>
      </c>
      <c r="M30" s="64">
        <v>1.05</v>
      </c>
      <c r="N30" s="64">
        <v>1.05</v>
      </c>
      <c r="O30"/>
    </row>
    <row r="31" spans="1:15" ht="12.65" customHeight="1" x14ac:dyDescent="0.35">
      <c r="A31" s="528"/>
      <c r="B31" s="429" t="s">
        <v>364</v>
      </c>
      <c r="C31" s="64">
        <v>6.14</v>
      </c>
      <c r="D31" s="64">
        <v>6.14</v>
      </c>
      <c r="E31" s="64">
        <v>6.14</v>
      </c>
      <c r="F31" s="64">
        <v>6.14</v>
      </c>
      <c r="G31" s="64">
        <v>6.14</v>
      </c>
      <c r="H31" s="64">
        <v>6.14</v>
      </c>
      <c r="I31" s="64">
        <v>6.14</v>
      </c>
      <c r="J31" s="64">
        <v>6.14</v>
      </c>
      <c r="K31" s="64">
        <v>6.14</v>
      </c>
      <c r="L31" s="64">
        <v>6.14</v>
      </c>
      <c r="M31" s="64">
        <v>6.14</v>
      </c>
      <c r="N31" s="64">
        <v>6.14</v>
      </c>
      <c r="O31"/>
    </row>
    <row r="32" spans="1:15" ht="12.65" customHeight="1" x14ac:dyDescent="0.35">
      <c r="A32" s="528"/>
      <c r="B32" s="429" t="s">
        <v>365</v>
      </c>
      <c r="C32" s="64">
        <v>0.57999999999999996</v>
      </c>
      <c r="D32" s="64">
        <v>0.57999999999999996</v>
      </c>
      <c r="E32" s="64">
        <v>0.57999999999999996</v>
      </c>
      <c r="F32" s="64">
        <v>0.57999999999999996</v>
      </c>
      <c r="G32" s="64">
        <v>0.57999999999999996</v>
      </c>
      <c r="H32" s="64">
        <v>0.57999999999999996</v>
      </c>
      <c r="I32" s="64">
        <v>0.57999999999999996</v>
      </c>
      <c r="J32" s="64">
        <v>0.57999999999999996</v>
      </c>
      <c r="K32" s="64">
        <v>0.57999999999999996</v>
      </c>
      <c r="L32" s="64">
        <v>0.57999999999999996</v>
      </c>
      <c r="M32" s="64">
        <v>0.57999999999999996</v>
      </c>
      <c r="N32" s="64">
        <v>0.57999999999999996</v>
      </c>
      <c r="O32"/>
    </row>
    <row r="33" spans="1:15" ht="12.65" customHeight="1" x14ac:dyDescent="0.35">
      <c r="A33" s="528"/>
      <c r="B33" s="429" t="s">
        <v>366</v>
      </c>
      <c r="C33" s="64">
        <v>1.05</v>
      </c>
      <c r="D33" s="64">
        <v>1.05</v>
      </c>
      <c r="E33" s="64">
        <v>1.05</v>
      </c>
      <c r="F33" s="64">
        <v>1.05</v>
      </c>
      <c r="G33" s="64">
        <v>1.05</v>
      </c>
      <c r="H33" s="64">
        <v>1.05</v>
      </c>
      <c r="I33" s="64">
        <v>1.05</v>
      </c>
      <c r="J33" s="64">
        <v>1.05</v>
      </c>
      <c r="K33" s="64">
        <v>1.05</v>
      </c>
      <c r="L33" s="64">
        <v>1.05</v>
      </c>
      <c r="M33" s="64">
        <v>1.05</v>
      </c>
      <c r="N33" s="64">
        <v>1.05</v>
      </c>
      <c r="O33"/>
    </row>
    <row r="34" spans="1:15" ht="12.65" customHeight="1" x14ac:dyDescent="0.35">
      <c r="A34" s="528"/>
      <c r="B34" s="429" t="s">
        <v>367</v>
      </c>
      <c r="C34" s="64">
        <v>0.53</v>
      </c>
      <c r="D34" s="64">
        <v>0.53</v>
      </c>
      <c r="E34" s="64">
        <v>0.53</v>
      </c>
      <c r="F34" s="64">
        <v>0.53</v>
      </c>
      <c r="G34" s="64">
        <v>0.53</v>
      </c>
      <c r="H34" s="64">
        <v>0.53</v>
      </c>
      <c r="I34" s="64">
        <v>0.53</v>
      </c>
      <c r="J34" s="64">
        <v>0.53</v>
      </c>
      <c r="K34" s="64">
        <v>0.53</v>
      </c>
      <c r="L34" s="64">
        <v>0.53</v>
      </c>
      <c r="M34" s="64">
        <v>0.53</v>
      </c>
      <c r="N34" s="64">
        <v>0.53</v>
      </c>
      <c r="O34"/>
    </row>
    <row r="35" spans="1:15" ht="12.65" customHeight="1" x14ac:dyDescent="0.35">
      <c r="A35"/>
      <c r="B35" s="429" t="s">
        <v>71</v>
      </c>
      <c r="C35" s="65">
        <v>8784</v>
      </c>
      <c r="D35" s="65">
        <v>8760</v>
      </c>
      <c r="E35" s="65">
        <v>8760</v>
      </c>
      <c r="F35" s="65">
        <v>8760</v>
      </c>
      <c r="G35" s="65">
        <v>8784</v>
      </c>
      <c r="H35" s="65">
        <v>8760</v>
      </c>
      <c r="I35" s="65">
        <v>8760</v>
      </c>
      <c r="J35" s="65">
        <v>8760</v>
      </c>
      <c r="K35" s="65">
        <v>8784</v>
      </c>
      <c r="L35" s="65">
        <v>8760</v>
      </c>
      <c r="M35" s="65">
        <v>8760</v>
      </c>
      <c r="N35" s="65">
        <v>8760</v>
      </c>
      <c r="O35"/>
    </row>
    <row r="36" spans="1:15" ht="12.6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ht="12.65" customHeight="1" x14ac:dyDescent="0.35">
      <c r="A37"/>
      <c r="B37" s="73" t="s">
        <v>314</v>
      </c>
      <c r="C37" s="67"/>
      <c r="D37" s="67"/>
      <c r="E37" s="67"/>
      <c r="F37" s="67"/>
      <c r="G37" s="67"/>
      <c r="H37" s="67"/>
      <c r="I37" s="67"/>
      <c r="J37" s="67"/>
      <c r="K37" s="67" t="e">
        <f>(((C21*K20/C20)*(Parametrit!$I26/Parametrit!$I23)+(D21*K20/D20)*(Parametrit!$I26/Parametrit!$I23)+(E21*K20/E20)*(Parametrit!$I26/Parametrit!$I23)+(F21*K20/F20)*(Parametrit!$I26/Parametrit!$I23)+(G21*K20/G20)*(Parametrit!$I26/Parametrit!$I23)+(H21*K20/H20)*(Parametrit!$I26/Parametrit!$I23)+(I21*K20/I20)*(Parametrit!$I26/Parametrit!$I23)+(J21*K20/J20)*(Parametrit!$I26/Parametrit!$I23))/8)+(((E27*K26/E26)*(Parametrit!$I26/Parametrit!$I23)+(F27*K26/F26)*(Parametrit!$I26/Parametrit!$I23)+(G27*K26/G26)*(Parametrit!$I26/Parametrit!$I23)+(H27*K26/H26)*(Parametrit!$I26/Parametrit!$I23)+(I27*K26/I26)*(Parametrit!$I26/Parametrit!$I23)+(J27*K26/J26)*(Parametrit!$I26/Parametrit!$I23))/6)+(((C13*K12/C12)*(Parametrit!$I26/Parametrit!$I23)+(D13*K12/D12)*(Parametrit!$I26/Parametrit!$I23)+(E13*K12/E12)*(Parametrit!$I26/Parametrit!$I23)+(F13*K12/F12)*(Parametrit!$I26/Parametrit!$I23)+(G13*K12/G12)*(Parametrit!$I26/Parametrit!$I23)+(H13*K12/H12)*(Parametrit!$I26/Parametrit!$I23)+(I13*K12/I12)*(Parametrit!$I26/Parametrit!$I23)+(J13*K12/J12)*(Parametrit!$I26/Parametrit!$I23))/8)</f>
        <v>#DIV/0!</v>
      </c>
      <c r="L37" s="67" t="e">
        <f>(((C21*L20/C20)*(Parametrit!$I27/Parametrit!$I23)+(D21*L20/D20)*(Parametrit!$I27/Parametrit!$I23)+(E21*L20/E20)*(Parametrit!$I27/Parametrit!$I23)+(F21*L20/F20)*(Parametrit!$I27/Parametrit!$I23)+(G21*L20/G20)*(Parametrit!$I27/Parametrit!$I23)+(H21*L20/H20)*(Parametrit!$I27/Parametrit!$I23)+(I21*L20/I20)*(Parametrit!$I27/Parametrit!$I23)+(J21*L20/J20)*(Parametrit!$I27/Parametrit!$I23))/8)+(((E27*L26/E26)*(Parametrit!$I27/Parametrit!$I23)+(F27*L26/F26)*(Parametrit!$I27/Parametrit!$I23)+(G27*L26/G26)*(Parametrit!$I27/Parametrit!$I23)+(H27*L26/H26)*(Parametrit!$I27/Parametrit!$I23)+(I27*L26/I26)*(Parametrit!$I27/Parametrit!$I23)+(J27*L26/J26)*(Parametrit!$I27/Parametrit!$I23))/6)+(((C13*L12/C12)*(Parametrit!$I27/Parametrit!$I23)+(D13*L12/D12)*(Parametrit!$I27/Parametrit!$I23)+(E13*L12/E12)*(Parametrit!$I27/Parametrit!$I23)+(F13*L12/F12)*(Parametrit!$I27/Parametrit!$I23)+(G13*L12/G12)*(Parametrit!$I27/Parametrit!$I23)+(H13*L12/H12)*(Parametrit!$I27/Parametrit!$I23)+(I13*L12/I12)*(Parametrit!$I27/Parametrit!$I23)+(J13*L12/J12)*(Parametrit!$I27/Parametrit!$I23))/8)</f>
        <v>#DIV/0!</v>
      </c>
      <c r="M37" s="67" t="e">
        <f>(((C21*M20/C20)*(Parametrit!$I28/Parametrit!$I23)+(D21*M20/D20)*(Parametrit!$I28/Parametrit!$I23)+(E21*M20/E20)*(Parametrit!$I28/Parametrit!$I23)+(F21*M20/F20)*(Parametrit!$I28/Parametrit!$I23)+(G21*M20/G20)*(Parametrit!$I28/Parametrit!$I23)+(H21*M20/H20)*(Parametrit!$I28/Parametrit!$I23)+(I21*M20/I20)*(Parametrit!$I28/Parametrit!$I23)+(J21*M20/J20)*(Parametrit!$I28/Parametrit!$I23))/8)+(((E27*M26/E26)*(Parametrit!$I28/Parametrit!$I23)+(F27*M26/F26)*(Parametrit!$I28/Parametrit!$I23)+(G27*M26/G26)*(Parametrit!$I28/Parametrit!$I23)+(H27*M26/H26)*(Parametrit!$I28/Parametrit!$I23)+(I27*M26/I26)*(Parametrit!$I28/Parametrit!$I23)+(J27*M26/J26)*(Parametrit!$I28/Parametrit!$I23))/6)+(((C13*M12/C12)*(Parametrit!$I28/Parametrit!$I23)+(D13*M12/D12)*(Parametrit!$I28/Parametrit!$I23)+(E13*M12/E12)*(Parametrit!$I28/Parametrit!$I23)+(F13*M12/F12)*(Parametrit!$I28/Parametrit!$I23)+(G13*M12/G12)*(Parametrit!$I28/Parametrit!$I23)+(H13*M12/H12)*(Parametrit!$I28/Parametrit!$I23)+(I13*M12/I12)*(Parametrit!$I28/Parametrit!$I23)+(J13*M12/J12)*(Parametrit!$I28/Parametrit!$I23))/8)</f>
        <v>#DIV/0!</v>
      </c>
      <c r="N37" s="67" t="e">
        <f>(((C21*N20/C20)*(Parametrit!$I29/Parametrit!$I23)+(D21*N20/D20)*(Parametrit!$I29/Parametrit!$I23)+(E21*N20/E20)*(Parametrit!$I29/Parametrit!$I23)+(F21*N20/F20)*(Parametrit!$I29/Parametrit!$I23)+(G21*N20/G20)*(Parametrit!$I29/Parametrit!$I23)+(H21*N20/H20)*(Parametrit!$I29/Parametrit!$I23)+(I21*N20/I20)*(Parametrit!$I29/Parametrit!$I23)+(J21*N20/J20)*(Parametrit!$I29/Parametrit!$I23))/8)+(((E27*N26/E26)*(Parametrit!$I29/Parametrit!$I23)+(F27*N26/F26)*(Parametrit!$I29/Parametrit!$I23)+(G27*N26/G26)*(Parametrit!$I29/Parametrit!$I23)+(H27*N26/H26)*(Parametrit!$I29/Parametrit!$I23)+(I27*N26/I26)*(Parametrit!$I29/Parametrit!$I23)+(J27*N26/J26)*(Parametrit!$I29/Parametrit!$I23))/6)+(((C13*N12/C12)*(Parametrit!$I29/Parametrit!$I23)+(D13*N12/D12)*(Parametrit!$I29/Parametrit!$I23)+(E13*N12/E12)*(Parametrit!$I29/Parametrit!$I23)+(F13*N12/F12)*(Parametrit!$I29/Parametrit!$I23)+(G13*N12/G12)*(Parametrit!$I29/Parametrit!$I23)+(H13*N12/H12)*(Parametrit!$I29/Parametrit!$I23)+(I13*N12/I12)*(Parametrit!$I29/Parametrit!$I23)+(J13*N12/J12)*(Parametrit!$I29/Parametrit!$I23))/8)</f>
        <v>#DIV/0!</v>
      </c>
      <c r="O37"/>
    </row>
    <row r="38" spans="1:15" ht="12.6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ht="12.65" customHeight="1" x14ac:dyDescent="0.35">
      <c r="A39"/>
      <c r="B39" s="55" t="s">
        <v>316</v>
      </c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43.5" x14ac:dyDescent="0.35">
      <c r="A40"/>
      <c r="B40" s="45" t="s">
        <v>122</v>
      </c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2.6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.65" customHeight="1" x14ac:dyDescent="0.35">
      <c r="A42"/>
      <c r="B42" s="55" t="s">
        <v>317</v>
      </c>
      <c r="C42" s="428"/>
      <c r="D42"/>
      <c r="E42"/>
      <c r="F42"/>
      <c r="G42"/>
      <c r="H42"/>
      <c r="I42"/>
      <c r="J42"/>
      <c r="K42"/>
      <c r="L42"/>
      <c r="M42"/>
      <c r="N42"/>
      <c r="O42"/>
    </row>
    <row r="43" spans="1:15" ht="29" x14ac:dyDescent="0.35">
      <c r="A43"/>
      <c r="B43" s="45" t="s">
        <v>361</v>
      </c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5" x14ac:dyDescent="0.35">
      <c r="A44" s="532"/>
      <c r="B44" s="535"/>
      <c r="C44" s="536"/>
      <c r="D44" s="536"/>
      <c r="E44" s="536"/>
      <c r="F44" s="536"/>
      <c r="G44" s="536"/>
      <c r="H44" s="536"/>
      <c r="I44" s="536"/>
      <c r="J44" s="536"/>
      <c r="K44" s="536"/>
      <c r="L44" s="536"/>
      <c r="M44" s="536"/>
      <c r="N44" s="536"/>
    </row>
    <row r="45" spans="1:15" ht="15" x14ac:dyDescent="0.35">
      <c r="A45" s="532"/>
      <c r="B45" s="535"/>
      <c r="C45" s="536"/>
      <c r="D45" s="536"/>
      <c r="E45" s="536"/>
      <c r="F45" s="536"/>
      <c r="G45" s="536"/>
      <c r="H45" s="536"/>
      <c r="I45" s="536"/>
      <c r="J45" s="536"/>
      <c r="K45" s="536"/>
      <c r="L45" s="536"/>
      <c r="M45" s="536"/>
      <c r="N45" s="536"/>
    </row>
    <row r="46" spans="1:15" ht="15" x14ac:dyDescent="0.35">
      <c r="A46" s="532"/>
      <c r="B46" s="535"/>
      <c r="C46" s="536"/>
      <c r="D46" s="536"/>
      <c r="E46" s="536"/>
      <c r="F46" s="536"/>
      <c r="G46" s="536"/>
      <c r="H46" s="536"/>
      <c r="I46" s="536"/>
      <c r="J46" s="536"/>
      <c r="K46" s="536"/>
      <c r="L46" s="536"/>
      <c r="M46" s="536"/>
      <c r="N46" s="536"/>
    </row>
    <row r="47" spans="1:15" ht="15" x14ac:dyDescent="0.35">
      <c r="A47" s="532"/>
      <c r="B47" s="535"/>
      <c r="C47" s="536"/>
      <c r="D47" s="536"/>
      <c r="E47" s="536"/>
      <c r="F47" s="536"/>
      <c r="G47" s="536"/>
      <c r="H47" s="536"/>
      <c r="I47" s="536"/>
      <c r="J47" s="536"/>
      <c r="K47" s="536"/>
      <c r="L47" s="536"/>
      <c r="M47" s="536"/>
      <c r="N47" s="536"/>
    </row>
    <row r="48" spans="1:15" ht="15" x14ac:dyDescent="0.35">
      <c r="A48" s="532"/>
      <c r="B48" s="535"/>
      <c r="C48" s="536"/>
      <c r="D48" s="536"/>
      <c r="E48" s="536"/>
      <c r="F48" s="536"/>
      <c r="G48" s="536"/>
      <c r="H48" s="536"/>
      <c r="I48" s="536"/>
      <c r="J48" s="536"/>
      <c r="K48" s="536"/>
      <c r="L48" s="536"/>
      <c r="M48" s="536"/>
      <c r="N48" s="536"/>
    </row>
    <row r="49" spans="2:14" ht="14.5" x14ac:dyDescent="0.35">
      <c r="B49" s="535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</row>
    <row r="51" spans="2:14" ht="14.5" x14ac:dyDescent="0.35">
      <c r="B51" s="66"/>
      <c r="C51" s="537"/>
      <c r="D51" s="537"/>
      <c r="E51" s="537"/>
      <c r="F51" s="537"/>
      <c r="G51" s="537"/>
      <c r="H51" s="537"/>
      <c r="I51" s="537"/>
      <c r="J51" s="537"/>
      <c r="K51" s="537"/>
      <c r="L51" s="537"/>
      <c r="M51" s="537"/>
      <c r="N51" s="537"/>
    </row>
    <row r="53" spans="2:14" ht="14.5" x14ac:dyDescent="0.35">
      <c r="B53" s="534"/>
    </row>
    <row r="54" spans="2:14" ht="14.5" x14ac:dyDescent="0.35">
      <c r="B54" s="538"/>
    </row>
    <row r="55" spans="2:14" ht="13" x14ac:dyDescent="0.3">
      <c r="B55" s="540"/>
    </row>
    <row r="56" spans="2:14" x14ac:dyDescent="0.25">
      <c r="B56" s="539"/>
      <c r="C56" s="539"/>
    </row>
  </sheetData>
  <customSheetViews>
    <customSheetView guid="{C44CE6ED-446D-4E43-AC42-1BADDBA87353}" showPageBreaks="1" printArea="1">
      <pane ySplit="5" topLeftCell="A6" activePane="bottomLeft" state="frozen"/>
      <selection pane="bottomLeft" activeCell="D10" sqref="D10"/>
      <pageMargins left="0.17" right="0.16" top="0.98425196850393704" bottom="0.98425196850393704" header="0.51181102362204722" footer="0.51181102362204722"/>
      <pageSetup paperSize="9" scale="65" orientation="landscape" r:id="rId1"/>
      <headerFooter alignWithMargins="0"/>
    </customSheetView>
    <customSheetView guid="{8386F830-B269-4ACC-A789-9E42C0FB51D1}" showPageBreaks="1" printArea="1">
      <pane ySplit="5" topLeftCell="A6" activePane="bottomLeft" state="frozen"/>
      <selection pane="bottomLeft" activeCell="B12" sqref="B12"/>
      <pageMargins left="0.17" right="0.16" top="0.98425196850393704" bottom="0.98425196850393704" header="0.51181102362204722" footer="0.51181102362204722"/>
      <pageSetup paperSize="9" scale="65" orientation="landscape" r:id="rId2"/>
      <headerFooter alignWithMargins="0"/>
    </customSheetView>
  </customSheetViews>
  <phoneticPr fontId="5" type="noConversion"/>
  <pageMargins left="0.17" right="0.16" top="0.98425196850393704" bottom="0.98425196850393704" header="0.51181102362204722" footer="0.51181102362204722"/>
  <pageSetup paperSize="9" scale="65" orientation="landscape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631"/>
  <sheetViews>
    <sheetView zoomScaleNormal="100" workbookViewId="0"/>
  </sheetViews>
  <sheetFormatPr defaultColWidth="9.26953125" defaultRowHeight="14.5" x14ac:dyDescent="0.35"/>
  <cols>
    <col min="1" max="1" width="49.26953125" style="66" customWidth="1"/>
    <col min="2" max="2" width="27.26953125" style="66" customWidth="1"/>
    <col min="3" max="3" width="18.7265625" style="66" customWidth="1"/>
    <col min="4" max="4" width="18.26953125" style="66" customWidth="1"/>
    <col min="5" max="5" width="20.453125" style="66" customWidth="1"/>
    <col min="6" max="6" width="21.54296875" style="66" customWidth="1"/>
    <col min="7" max="7" width="15.453125" style="66" customWidth="1"/>
    <col min="8" max="8" width="17.26953125" style="66" customWidth="1"/>
    <col min="9" max="9" width="16" style="66" customWidth="1"/>
    <col min="10" max="10" width="15.453125" style="66" customWidth="1"/>
    <col min="11" max="11" width="14.7265625" style="66" customWidth="1"/>
    <col min="12" max="12" width="16.7265625" style="66" customWidth="1"/>
    <col min="13" max="13" width="13" style="66" customWidth="1"/>
    <col min="14" max="14" width="16.7265625" style="66" bestFit="1" customWidth="1"/>
    <col min="15" max="15" width="18.54296875" style="66" bestFit="1" customWidth="1"/>
    <col min="16" max="16" width="9.26953125" style="66"/>
    <col min="17" max="17" width="24.7265625" style="66" customWidth="1"/>
    <col min="18" max="18" width="17.7265625" style="66" customWidth="1"/>
    <col min="19" max="20" width="16.54296875" style="66" bestFit="1" customWidth="1"/>
    <col min="21" max="25" width="16.54296875" style="66" customWidth="1"/>
    <col min="26" max="16384" width="9.26953125" style="66"/>
  </cols>
  <sheetData>
    <row r="1" spans="1:28" ht="32.65" customHeight="1" x14ac:dyDescent="0.35">
      <c r="A1" s="397" t="s">
        <v>279</v>
      </c>
      <c r="B1" s="396"/>
      <c r="C1" s="396"/>
      <c r="D1" s="327"/>
      <c r="E1" s="327"/>
      <c r="F1" s="327"/>
      <c r="G1" s="327"/>
      <c r="H1" s="327"/>
      <c r="I1" s="327"/>
      <c r="J1" s="327"/>
      <c r="K1" s="298"/>
      <c r="L1" s="327"/>
      <c r="M1" s="298"/>
      <c r="N1" s="298"/>
      <c r="O1" s="1"/>
      <c r="P1" s="1"/>
      <c r="Q1" s="1"/>
      <c r="R1" s="1"/>
      <c r="S1" s="1"/>
      <c r="T1" s="1"/>
      <c r="U1" s="1"/>
      <c r="V1"/>
      <c r="W1"/>
      <c r="X1"/>
      <c r="Y1"/>
      <c r="Z1"/>
      <c r="AA1"/>
      <c r="AB1"/>
    </row>
    <row r="2" spans="1:28" ht="55" x14ac:dyDescent="0.35">
      <c r="A2" s="443" t="s">
        <v>327</v>
      </c>
      <c r="B2" s="395"/>
      <c r="C2" s="389" t="s">
        <v>275</v>
      </c>
      <c r="D2" s="389" t="s">
        <v>274</v>
      </c>
      <c r="E2" s="389" t="s">
        <v>273</v>
      </c>
      <c r="F2" s="394" t="s">
        <v>272</v>
      </c>
      <c r="G2" s="393"/>
      <c r="H2" s="392"/>
      <c r="I2" s="391"/>
      <c r="J2" s="390"/>
      <c r="K2" s="389" t="s">
        <v>271</v>
      </c>
      <c r="L2" s="327"/>
      <c r="M2" s="298"/>
      <c r="N2" s="298"/>
      <c r="O2" s="1"/>
      <c r="P2" s="1"/>
      <c r="Q2" s="1"/>
      <c r="R2" s="1"/>
      <c r="S2" s="1"/>
      <c r="T2" s="1"/>
      <c r="U2" s="1"/>
      <c r="V2"/>
      <c r="W2"/>
      <c r="X2"/>
      <c r="Y2"/>
      <c r="Z2"/>
      <c r="AA2"/>
      <c r="AB2"/>
    </row>
    <row r="3" spans="1:28" ht="46.5" customHeight="1" x14ac:dyDescent="0.35">
      <c r="A3" s="388"/>
      <c r="B3" s="358"/>
      <c r="C3" s="387"/>
      <c r="D3" s="358"/>
      <c r="E3" s="387"/>
      <c r="F3" s="358"/>
      <c r="G3" s="386"/>
      <c r="H3" s="385" t="s">
        <v>95</v>
      </c>
      <c r="I3" s="384"/>
      <c r="J3" s="384"/>
      <c r="K3" s="357"/>
      <c r="L3" s="358"/>
      <c r="M3" s="298"/>
      <c r="N3" s="298"/>
      <c r="O3" s="1"/>
      <c r="P3" s="1"/>
      <c r="Q3" s="1"/>
      <c r="R3" s="1"/>
      <c r="S3" s="1"/>
      <c r="T3" s="1"/>
      <c r="U3" s="1"/>
      <c r="V3"/>
      <c r="W3"/>
      <c r="X3"/>
      <c r="Y3"/>
      <c r="Z3"/>
      <c r="AA3"/>
      <c r="AB3"/>
    </row>
    <row r="4" spans="1:28" ht="69.5" x14ac:dyDescent="0.45">
      <c r="A4" s="383" t="s">
        <v>96</v>
      </c>
      <c r="B4" s="351" t="s">
        <v>113</v>
      </c>
      <c r="C4" s="382" t="s">
        <v>335</v>
      </c>
      <c r="D4" s="351" t="s">
        <v>336</v>
      </c>
      <c r="E4" s="382" t="s">
        <v>337</v>
      </c>
      <c r="F4" s="351" t="s">
        <v>97</v>
      </c>
      <c r="G4" s="381" t="s">
        <v>267</v>
      </c>
      <c r="H4" s="380" t="s">
        <v>98</v>
      </c>
      <c r="I4" s="348" t="s">
        <v>99</v>
      </c>
      <c r="J4" s="379" t="s">
        <v>100</v>
      </c>
      <c r="K4" s="349" t="s">
        <v>270</v>
      </c>
      <c r="L4" s="351" t="s">
        <v>269</v>
      </c>
      <c r="M4" s="298"/>
      <c r="N4" s="377"/>
      <c r="O4" s="1"/>
      <c r="P4" s="1"/>
      <c r="Q4" s="1"/>
      <c r="R4" s="1"/>
      <c r="S4" s="1"/>
      <c r="T4" s="1"/>
      <c r="U4"/>
      <c r="V4"/>
      <c r="W4"/>
      <c r="X4"/>
      <c r="Y4"/>
      <c r="Z4"/>
      <c r="AA4"/>
      <c r="AB4"/>
    </row>
    <row r="5" spans="1:28" ht="16.5" x14ac:dyDescent="0.45">
      <c r="A5" s="469"/>
      <c r="B5" s="470"/>
      <c r="C5" s="471"/>
      <c r="D5" s="471"/>
      <c r="E5" s="471"/>
      <c r="F5" s="472"/>
      <c r="G5" s="472"/>
      <c r="H5" s="473"/>
      <c r="I5" s="473"/>
      <c r="J5" s="473"/>
      <c r="K5" s="474"/>
      <c r="L5" s="378">
        <f>SUMPRODUCT(H5:J5,H27:J27)</f>
        <v>0</v>
      </c>
      <c r="M5" s="298"/>
      <c r="N5" s="377"/>
      <c r="O5" s="1"/>
      <c r="P5" s="1"/>
      <c r="Q5" s="1"/>
      <c r="R5" s="1"/>
      <c r="S5" s="1"/>
      <c r="T5" s="1"/>
      <c r="U5"/>
      <c r="V5"/>
      <c r="W5"/>
      <c r="X5"/>
      <c r="Y5"/>
      <c r="Z5"/>
      <c r="AA5"/>
      <c r="AB5"/>
    </row>
    <row r="6" spans="1:28" x14ac:dyDescent="0.35">
      <c r="A6" s="376"/>
      <c r="B6" s="375"/>
      <c r="C6" s="374"/>
      <c r="D6" s="374"/>
      <c r="E6" s="373"/>
      <c r="F6" s="373"/>
      <c r="G6" s="373"/>
      <c r="H6" s="372"/>
      <c r="I6" s="327"/>
      <c r="J6" s="327"/>
      <c r="K6" s="327"/>
      <c r="L6" s="327"/>
      <c r="M6" s="327"/>
      <c r="N6" s="32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68.5" x14ac:dyDescent="0.35">
      <c r="A7" s="298"/>
      <c r="B7" s="371" t="s">
        <v>329</v>
      </c>
      <c r="C7" s="371" t="s">
        <v>268</v>
      </c>
      <c r="D7" s="371" t="s">
        <v>102</v>
      </c>
      <c r="E7" s="371" t="s">
        <v>103</v>
      </c>
      <c r="F7" s="298"/>
      <c r="G7" s="298"/>
      <c r="H7" s="298"/>
      <c r="I7" s="298"/>
      <c r="J7" s="298"/>
      <c r="K7" s="298"/>
      <c r="L7" s="298"/>
      <c r="M7" s="298"/>
      <c r="N7" s="298"/>
      <c r="O7" s="1"/>
      <c r="P7" s="1"/>
      <c r="Q7" s="1"/>
      <c r="R7" s="1"/>
      <c r="S7" s="1"/>
      <c r="T7" s="1"/>
      <c r="U7" s="1"/>
      <c r="V7"/>
      <c r="W7"/>
      <c r="X7"/>
      <c r="Y7"/>
      <c r="Z7"/>
      <c r="AA7"/>
      <c r="AB7"/>
    </row>
    <row r="8" spans="1:28" x14ac:dyDescent="0.35">
      <c r="A8" s="298"/>
      <c r="B8" s="346">
        <f>H60*EXP(K5*1.2134017931682-0.216702287813087)</f>
        <v>0</v>
      </c>
      <c r="C8" s="369" t="e">
        <f>B8/C5</f>
        <v>#DIV/0!</v>
      </c>
      <c r="D8" s="370">
        <f>C5-B8</f>
        <v>0</v>
      </c>
      <c r="E8" s="369" t="e">
        <f>D8/C5</f>
        <v>#DIV/0!</v>
      </c>
      <c r="F8" s="298"/>
      <c r="G8" s="298"/>
      <c r="H8" s="298"/>
      <c r="I8" s="364"/>
      <c r="J8" s="368"/>
      <c r="K8" s="298"/>
      <c r="L8" s="298"/>
      <c r="M8" s="298"/>
      <c r="N8" s="298"/>
      <c r="O8" s="1"/>
      <c r="P8" s="1"/>
      <c r="Q8" s="1"/>
      <c r="R8" s="1"/>
      <c r="S8" s="1"/>
      <c r="T8" s="1"/>
      <c r="U8" s="1"/>
      <c r="V8"/>
      <c r="W8"/>
      <c r="X8"/>
      <c r="Y8"/>
      <c r="Z8"/>
      <c r="AA8"/>
      <c r="AB8"/>
    </row>
    <row r="9" spans="1:28" x14ac:dyDescent="0.35">
      <c r="A9" s="298"/>
      <c r="B9" s="366"/>
      <c r="C9" s="367"/>
      <c r="D9" s="366"/>
      <c r="E9" s="365"/>
      <c r="F9" s="365"/>
      <c r="G9" s="298"/>
      <c r="H9" s="298"/>
      <c r="I9" s="364"/>
      <c r="J9" s="298"/>
      <c r="K9" s="298"/>
      <c r="L9" s="298"/>
      <c r="M9" s="298"/>
      <c r="N9" s="298"/>
      <c r="O9" s="1"/>
      <c r="P9" s="1"/>
      <c r="Q9" s="1"/>
      <c r="R9" s="1"/>
      <c r="S9" s="1"/>
      <c r="T9" s="1"/>
      <c r="U9" s="1"/>
      <c r="V9"/>
      <c r="W9"/>
      <c r="X9"/>
      <c r="Y9"/>
      <c r="Z9"/>
      <c r="AA9"/>
      <c r="AB9"/>
    </row>
    <row r="10" spans="1:28" x14ac:dyDescent="0.35">
      <c r="A10" s="298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1"/>
      <c r="P10" s="1"/>
      <c r="Q10" s="1"/>
      <c r="R10" s="1"/>
      <c r="S10" s="1"/>
      <c r="T10" s="1"/>
      <c r="U10" s="1"/>
      <c r="V10"/>
      <c r="W10"/>
      <c r="X10"/>
      <c r="Y10"/>
      <c r="Z10"/>
      <c r="AA10"/>
      <c r="AB10"/>
    </row>
    <row r="11" spans="1:28" ht="27" x14ac:dyDescent="0.35">
      <c r="A11" s="363" t="s">
        <v>328</v>
      </c>
      <c r="B11" s="362"/>
      <c r="C11" s="298"/>
      <c r="D11" s="298"/>
      <c r="E11" s="298"/>
      <c r="F11" s="361"/>
      <c r="G11" s="361"/>
      <c r="H11" s="298"/>
      <c r="I11" s="298"/>
      <c r="J11" s="360"/>
      <c r="K11" s="298"/>
      <c r="L11" s="298"/>
      <c r="M11" s="298"/>
      <c r="N11" s="298"/>
      <c r="O11" s="1"/>
      <c r="P11" s="1"/>
      <c r="Q11" s="1"/>
      <c r="R11" s="1"/>
      <c r="S11" s="1"/>
      <c r="T11" s="1"/>
      <c r="U11" s="1"/>
      <c r="V11"/>
      <c r="W11"/>
      <c r="X11"/>
      <c r="Y11"/>
      <c r="Z11"/>
      <c r="AA11"/>
      <c r="AB11"/>
    </row>
    <row r="12" spans="1:28" ht="28" x14ac:dyDescent="0.35">
      <c r="A12" s="359" t="s">
        <v>347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1"/>
      <c r="P12" s="1"/>
      <c r="Q12" s="1"/>
      <c r="R12" s="1"/>
      <c r="S12" s="1"/>
      <c r="T12" s="1"/>
      <c r="U12" s="1"/>
      <c r="V12"/>
      <c r="W12"/>
      <c r="X12"/>
      <c r="Y12"/>
      <c r="Z12"/>
      <c r="AA12"/>
      <c r="AB12"/>
    </row>
    <row r="13" spans="1:28" x14ac:dyDescent="0.35">
      <c r="A13" s="333"/>
      <c r="B13" s="352"/>
      <c r="C13" s="352"/>
      <c r="D13" s="358"/>
      <c r="E13" s="352"/>
      <c r="F13" s="352"/>
      <c r="G13" s="357"/>
      <c r="H13" s="357"/>
      <c r="I13" s="356" t="s">
        <v>95</v>
      </c>
      <c r="J13" s="355"/>
      <c r="K13" s="354"/>
      <c r="L13" s="353"/>
      <c r="M13" s="352"/>
      <c r="N13" s="298"/>
      <c r="O13" s="1"/>
      <c r="P13" s="1"/>
      <c r="Q13" s="1"/>
      <c r="R13" s="1"/>
      <c r="S13" s="1"/>
      <c r="T13" s="1"/>
      <c r="U13" s="1"/>
      <c r="V13"/>
      <c r="W13"/>
      <c r="X13"/>
      <c r="Y13"/>
      <c r="Z13"/>
      <c r="AA13"/>
      <c r="AB13"/>
    </row>
    <row r="14" spans="1:28" ht="95.5" x14ac:dyDescent="0.35">
      <c r="A14" s="351" t="s">
        <v>331</v>
      </c>
      <c r="B14" s="347" t="s">
        <v>332</v>
      </c>
      <c r="C14" s="347"/>
      <c r="D14" s="351" t="s">
        <v>333</v>
      </c>
      <c r="E14" s="350" t="s">
        <v>343</v>
      </c>
      <c r="F14" s="350" t="s">
        <v>334</v>
      </c>
      <c r="G14" s="349" t="s">
        <v>97</v>
      </c>
      <c r="H14" s="349" t="s">
        <v>267</v>
      </c>
      <c r="I14" s="348" t="s">
        <v>98</v>
      </c>
      <c r="J14" s="348" t="s">
        <v>99</v>
      </c>
      <c r="K14" s="348" t="s">
        <v>100</v>
      </c>
      <c r="L14" s="350" t="s">
        <v>101</v>
      </c>
      <c r="M14" s="347" t="s">
        <v>266</v>
      </c>
      <c r="N14" s="298"/>
      <c r="O14" s="1"/>
      <c r="P14" s="1"/>
      <c r="Q14" s="1"/>
      <c r="R14" s="1"/>
      <c r="S14" s="1"/>
      <c r="T14" s="1"/>
      <c r="U14" s="1"/>
      <c r="V14"/>
      <c r="W14"/>
      <c r="X14"/>
      <c r="Y14"/>
      <c r="Z14"/>
      <c r="AA14"/>
      <c r="AB14"/>
    </row>
    <row r="15" spans="1:28" x14ac:dyDescent="0.35">
      <c r="A15" s="343">
        <v>2024</v>
      </c>
      <c r="B15" s="345">
        <f>Q64*EXP(M15*1.2134017931682-0.216702287813087)*(D15/B$28)</f>
        <v>0</v>
      </c>
      <c r="C15" s="344"/>
      <c r="D15" s="475">
        <f>1.084416*B28</f>
        <v>146.81727487999999</v>
      </c>
      <c r="E15" s="476">
        <f>100%*D5</f>
        <v>0</v>
      </c>
      <c r="F15" s="476">
        <f>100%*E5</f>
        <v>0</v>
      </c>
      <c r="G15" s="477">
        <f>101%*F5</f>
        <v>0</v>
      </c>
      <c r="H15" s="478">
        <f>101%*G5</f>
        <v>0</v>
      </c>
      <c r="I15" s="479">
        <f>101%*H5</f>
        <v>0</v>
      </c>
      <c r="J15" s="480">
        <f>101%*I5</f>
        <v>0</v>
      </c>
      <c r="K15" s="481">
        <f>101%*J5</f>
        <v>0</v>
      </c>
      <c r="L15" s="340">
        <f>SUMPRODUCT(I15:K15,H$27:J$27)</f>
        <v>0</v>
      </c>
      <c r="M15" s="489">
        <f>K$5</f>
        <v>0</v>
      </c>
      <c r="N15" s="298"/>
      <c r="O15" s="1"/>
      <c r="P15" s="1"/>
      <c r="Q15" s="1"/>
      <c r="R15" s="1"/>
      <c r="S15" s="1"/>
      <c r="T15" s="1"/>
      <c r="U15" s="1"/>
      <c r="V15"/>
      <c r="W15"/>
      <c r="X15"/>
      <c r="Y15"/>
      <c r="Z15"/>
      <c r="AA15"/>
      <c r="AB15"/>
    </row>
    <row r="16" spans="1:28" x14ac:dyDescent="0.35">
      <c r="A16" s="343">
        <v>2025</v>
      </c>
      <c r="B16" s="342">
        <f>Q65*EXP(M16*1.2134017931682-0.216702287813087)*(D16/B$28)</f>
        <v>0</v>
      </c>
      <c r="C16" s="341"/>
      <c r="D16" s="475">
        <f>1.016*D15</f>
        <v>149.16635127807999</v>
      </c>
      <c r="E16" s="482">
        <f t="shared" ref="E16:F18" si="0">E15*100%</f>
        <v>0</v>
      </c>
      <c r="F16" s="482">
        <f t="shared" si="0"/>
        <v>0</v>
      </c>
      <c r="G16" s="477">
        <f>101%*G15</f>
        <v>0</v>
      </c>
      <c r="H16" s="478">
        <f>101%*H15</f>
        <v>0</v>
      </c>
      <c r="I16" s="479">
        <f>101%*I15</f>
        <v>0</v>
      </c>
      <c r="J16" s="480">
        <f>101%*J15</f>
        <v>0</v>
      </c>
      <c r="K16" s="481">
        <f>101%*K15</f>
        <v>0</v>
      </c>
      <c r="L16" s="340">
        <f>SUMPRODUCT(I16:K16,H$27:J$27)</f>
        <v>0</v>
      </c>
      <c r="M16" s="490">
        <f>K$5</f>
        <v>0</v>
      </c>
      <c r="N16" s="298"/>
      <c r="O16" s="1"/>
      <c r="P16" s="1"/>
      <c r="Q16" s="1"/>
      <c r="R16" s="1"/>
      <c r="S16" s="1"/>
      <c r="T16" s="1"/>
      <c r="U16" s="1"/>
      <c r="V16"/>
      <c r="W16"/>
      <c r="X16"/>
      <c r="Y16"/>
      <c r="Z16"/>
      <c r="AA16"/>
      <c r="AB16"/>
    </row>
    <row r="17" spans="1:54" x14ac:dyDescent="0.35">
      <c r="A17" s="343">
        <v>2026</v>
      </c>
      <c r="B17" s="342">
        <f>Q66*EXP(M17*1.2134017931682-0.216702287813087)*(D17/B$28)</f>
        <v>0</v>
      </c>
      <c r="C17" s="341"/>
      <c r="D17" s="475">
        <f>1.016*D16</f>
        <v>151.55301289852926</v>
      </c>
      <c r="E17" s="482">
        <f t="shared" si="0"/>
        <v>0</v>
      </c>
      <c r="F17" s="482">
        <f t="shared" si="0"/>
        <v>0</v>
      </c>
      <c r="G17" s="477">
        <f t="shared" ref="G17:I23" si="1">101%*G16</f>
        <v>0</v>
      </c>
      <c r="H17" s="478">
        <f t="shared" si="1"/>
        <v>0</v>
      </c>
      <c r="I17" s="479">
        <f t="shared" si="1"/>
        <v>0</v>
      </c>
      <c r="J17" s="480">
        <f t="shared" ref="J17:J18" si="2">101%*J16</f>
        <v>0</v>
      </c>
      <c r="K17" s="481">
        <f t="shared" ref="K17:K18" si="3">101%*K16</f>
        <v>0</v>
      </c>
      <c r="L17" s="340">
        <f>SUMPRODUCT(I17:K17,H$27:J$27)</f>
        <v>0</v>
      </c>
      <c r="M17" s="490">
        <f>K$5</f>
        <v>0</v>
      </c>
      <c r="N17" s="298"/>
      <c r="O17" s="1"/>
      <c r="P17" s="1"/>
      <c r="Q17" s="1"/>
      <c r="R17" s="1"/>
      <c r="S17" s="1"/>
      <c r="T17" s="1"/>
      <c r="U17" s="1"/>
      <c r="V17"/>
      <c r="W17"/>
      <c r="X17"/>
      <c r="Y17"/>
      <c r="Z17"/>
      <c r="AA17"/>
      <c r="AB17"/>
    </row>
    <row r="18" spans="1:54" x14ac:dyDescent="0.35">
      <c r="A18" s="339">
        <v>2027</v>
      </c>
      <c r="B18" s="338">
        <f>Q67*EXP(M18*1.2134017931682-0.216702287813087)*(D18/B$28)</f>
        <v>0</v>
      </c>
      <c r="C18" s="337"/>
      <c r="D18" s="483">
        <f>1.016*D17</f>
        <v>153.97786110490574</v>
      </c>
      <c r="E18" s="484">
        <f t="shared" si="0"/>
        <v>0</v>
      </c>
      <c r="F18" s="484">
        <f t="shared" si="0"/>
        <v>0</v>
      </c>
      <c r="G18" s="485">
        <f t="shared" si="1"/>
        <v>0</v>
      </c>
      <c r="H18" s="486">
        <f t="shared" si="1"/>
        <v>0</v>
      </c>
      <c r="I18" s="487">
        <f t="shared" si="1"/>
        <v>0</v>
      </c>
      <c r="J18" s="488">
        <f t="shared" si="2"/>
        <v>0</v>
      </c>
      <c r="K18" s="481">
        <f t="shared" si="3"/>
        <v>0</v>
      </c>
      <c r="L18" s="336">
        <f>SUMPRODUCT(I18:K18,H$27:J$27)</f>
        <v>0</v>
      </c>
      <c r="M18" s="491">
        <f>K$5</f>
        <v>0</v>
      </c>
      <c r="N18" s="298"/>
      <c r="O18" s="1"/>
      <c r="P18" s="1"/>
      <c r="Q18" s="1"/>
      <c r="R18" s="1"/>
      <c r="S18" s="1"/>
      <c r="T18" s="1"/>
      <c r="U18" s="1"/>
      <c r="V18"/>
      <c r="W18"/>
      <c r="X18"/>
      <c r="Y18"/>
      <c r="Z18"/>
      <c r="AA18"/>
      <c r="AB18"/>
    </row>
    <row r="19" spans="1:54" customFormat="1" ht="13.5" x14ac:dyDescent="0.25">
      <c r="A19" s="444" t="s">
        <v>330</v>
      </c>
      <c r="B19" s="449"/>
      <c r="C19" s="445"/>
      <c r="D19" s="446"/>
      <c r="E19" s="450"/>
      <c r="F19" s="447"/>
      <c r="G19" s="451"/>
      <c r="H19" s="453"/>
      <c r="I19" s="453"/>
      <c r="J19" s="454"/>
      <c r="K19" s="455"/>
      <c r="L19" s="448"/>
      <c r="M19" s="45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  <c r="AR19" s="362"/>
      <c r="AS19" s="362"/>
      <c r="AT19" s="362"/>
      <c r="AU19" s="362"/>
      <c r="AV19" s="362"/>
      <c r="AW19" s="362"/>
      <c r="AX19" s="362"/>
      <c r="AY19" s="362"/>
      <c r="AZ19" s="362"/>
      <c r="BA19" s="362"/>
      <c r="BB19" s="362"/>
    </row>
    <row r="20" spans="1:54" customFormat="1" ht="13.5" x14ac:dyDescent="0.25">
      <c r="A20" s="357">
        <v>2028</v>
      </c>
      <c r="B20" s="345">
        <f>Q68*EXP(M20*1.2134017931682-0.216702287813087)*(D20/B$28)*((1-B$27)^1)</f>
        <v>0</v>
      </c>
      <c r="C20" s="457"/>
      <c r="D20" s="492">
        <f>1.016*D18</f>
        <v>156.44150688258424</v>
      </c>
      <c r="E20" s="476">
        <f>E18*100%</f>
        <v>0</v>
      </c>
      <c r="F20" s="493">
        <f>F18*100%</f>
        <v>0</v>
      </c>
      <c r="G20" s="494">
        <f>101%*G18</f>
        <v>0</v>
      </c>
      <c r="H20" s="495">
        <f>101%*H18</f>
        <v>0</v>
      </c>
      <c r="I20" s="496">
        <f>101%*I18</f>
        <v>0</v>
      </c>
      <c r="J20" s="497">
        <f>101%*J18</f>
        <v>0</v>
      </c>
      <c r="K20" s="497">
        <f>101%*K18</f>
        <v>0</v>
      </c>
      <c r="L20" s="461">
        <f>SUMPRODUCT(I20:K20,H$27:J$27)</f>
        <v>0</v>
      </c>
      <c r="M20" s="506">
        <f>K$5</f>
        <v>0</v>
      </c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362"/>
      <c r="AP20" s="362"/>
      <c r="AQ20" s="362"/>
      <c r="AR20" s="362"/>
      <c r="AS20" s="362"/>
      <c r="AT20" s="362"/>
      <c r="AU20" s="362"/>
      <c r="AV20" s="362"/>
      <c r="AW20" s="362"/>
      <c r="AX20" s="362"/>
      <c r="AY20" s="362"/>
      <c r="AZ20" s="362"/>
      <c r="BA20" s="362"/>
      <c r="BB20" s="362"/>
    </row>
    <row r="21" spans="1:54" customFormat="1" ht="13.5" x14ac:dyDescent="0.25">
      <c r="A21" s="458">
        <v>2029</v>
      </c>
      <c r="B21" s="342">
        <f>Q69*EXP(M21*1.2134017931682-0.216702287813087)*(D21/B$28)*((1-B$27)^2)</f>
        <v>0</v>
      </c>
      <c r="C21" s="459"/>
      <c r="D21" s="498">
        <f>1.016*D20</f>
        <v>158.94457099270559</v>
      </c>
      <c r="E21" s="482">
        <f t="shared" ref="E21:F23" si="4">E20*100%</f>
        <v>0</v>
      </c>
      <c r="F21" s="499">
        <f t="shared" si="4"/>
        <v>0</v>
      </c>
      <c r="G21" s="500">
        <f t="shared" ref="G21:H23" si="5">101%*G20</f>
        <v>0</v>
      </c>
      <c r="H21" s="501">
        <f t="shared" si="5"/>
        <v>0</v>
      </c>
      <c r="I21" s="479">
        <f t="shared" si="1"/>
        <v>0</v>
      </c>
      <c r="J21" s="480">
        <f t="shared" ref="J21:K23" si="6">101%*J20</f>
        <v>0</v>
      </c>
      <c r="K21" s="480">
        <f t="shared" si="6"/>
        <v>0</v>
      </c>
      <c r="L21" s="462">
        <f t="shared" ref="L21:L23" si="7">SUMPRODUCT(I21:K21,H$27:J$27)</f>
        <v>0</v>
      </c>
      <c r="M21" s="507">
        <f t="shared" ref="M21:M23" si="8">K$5</f>
        <v>0</v>
      </c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2"/>
      <c r="AP21" s="362"/>
      <c r="AQ21" s="362"/>
      <c r="AR21" s="362"/>
      <c r="AS21" s="362"/>
      <c r="AT21" s="362"/>
      <c r="AU21" s="362"/>
      <c r="AV21" s="362"/>
      <c r="AW21" s="362"/>
      <c r="AX21" s="362"/>
      <c r="AY21" s="362"/>
      <c r="AZ21" s="362"/>
      <c r="BA21" s="362"/>
      <c r="BB21" s="362"/>
    </row>
    <row r="22" spans="1:54" customFormat="1" ht="13.5" x14ac:dyDescent="0.25">
      <c r="A22" s="458">
        <v>2030</v>
      </c>
      <c r="B22" s="342">
        <f>Q70*EXP(M22*1.2134017931682-0.216702287813087)*(D22/B$28)*((1-B$27)^3)</f>
        <v>0</v>
      </c>
      <c r="C22" s="459"/>
      <c r="D22" s="498">
        <f>1.016*D21</f>
        <v>161.48768412858888</v>
      </c>
      <c r="E22" s="482">
        <f t="shared" si="4"/>
        <v>0</v>
      </c>
      <c r="F22" s="499">
        <f t="shared" si="4"/>
        <v>0</v>
      </c>
      <c r="G22" s="500">
        <f t="shared" si="5"/>
        <v>0</v>
      </c>
      <c r="H22" s="501">
        <f t="shared" si="5"/>
        <v>0</v>
      </c>
      <c r="I22" s="479">
        <f t="shared" si="1"/>
        <v>0</v>
      </c>
      <c r="J22" s="480">
        <f t="shared" si="6"/>
        <v>0</v>
      </c>
      <c r="K22" s="480">
        <f t="shared" si="6"/>
        <v>0</v>
      </c>
      <c r="L22" s="462">
        <f t="shared" si="7"/>
        <v>0</v>
      </c>
      <c r="M22" s="507">
        <f t="shared" si="8"/>
        <v>0</v>
      </c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2"/>
      <c r="BA22" s="362"/>
      <c r="BB22" s="362"/>
    </row>
    <row r="23" spans="1:54" customFormat="1" ht="13.5" x14ac:dyDescent="0.25">
      <c r="A23" s="349">
        <v>2031</v>
      </c>
      <c r="B23" s="338">
        <f>Q71*EXP(M23*1.2134017931682-0.216702287813087)*(D23/B$28)*((1-B$27)^4)</f>
        <v>0</v>
      </c>
      <c r="C23" s="460"/>
      <c r="D23" s="502">
        <f>1.016*D22</f>
        <v>164.07148707464631</v>
      </c>
      <c r="E23" s="484">
        <f t="shared" si="4"/>
        <v>0</v>
      </c>
      <c r="F23" s="503">
        <f t="shared" si="4"/>
        <v>0</v>
      </c>
      <c r="G23" s="504">
        <f t="shared" si="5"/>
        <v>0</v>
      </c>
      <c r="H23" s="505">
        <f t="shared" si="5"/>
        <v>0</v>
      </c>
      <c r="I23" s="487">
        <f t="shared" si="1"/>
        <v>0</v>
      </c>
      <c r="J23" s="488">
        <f t="shared" si="6"/>
        <v>0</v>
      </c>
      <c r="K23" s="488">
        <f t="shared" si="6"/>
        <v>0</v>
      </c>
      <c r="L23" s="463">
        <f t="shared" si="7"/>
        <v>0</v>
      </c>
      <c r="M23" s="508">
        <f t="shared" si="8"/>
        <v>0</v>
      </c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62"/>
      <c r="AG23" s="362"/>
      <c r="AH23" s="362"/>
      <c r="AI23" s="362"/>
      <c r="AJ23" s="362"/>
      <c r="AK23" s="362"/>
      <c r="AL23" s="362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362"/>
      <c r="AY23" s="362"/>
      <c r="AZ23" s="362"/>
      <c r="BA23" s="362"/>
      <c r="BB23" s="362"/>
    </row>
    <row r="24" spans="1:54" x14ac:dyDescent="0.35">
      <c r="A24" s="298"/>
      <c r="B24" s="335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1"/>
      <c r="P24" s="1"/>
      <c r="Q24" s="1"/>
      <c r="R24" s="1"/>
      <c r="S24" s="1"/>
      <c r="T24" s="1"/>
      <c r="U24" s="1"/>
      <c r="V24"/>
      <c r="W24"/>
      <c r="X24"/>
      <c r="Y24"/>
      <c r="Z24"/>
      <c r="AA24"/>
      <c r="AB24"/>
    </row>
    <row r="25" spans="1:54" x14ac:dyDescent="0.35">
      <c r="A25" s="334" t="s">
        <v>104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298"/>
      <c r="M25" s="298"/>
      <c r="N25" s="298"/>
      <c r="O25" s="1"/>
      <c r="P25" s="1"/>
      <c r="Q25" s="1"/>
      <c r="R25" s="1"/>
      <c r="S25" s="1"/>
      <c r="T25" s="1"/>
      <c r="U25" s="1"/>
      <c r="V25"/>
      <c r="W25"/>
      <c r="X25"/>
      <c r="Y25"/>
      <c r="Z25"/>
      <c r="AA25"/>
      <c r="AB25"/>
    </row>
    <row r="26" spans="1:54" x14ac:dyDescent="0.35">
      <c r="A26" s="314" t="s">
        <v>338</v>
      </c>
      <c r="B26" s="509">
        <v>0</v>
      </c>
      <c r="C26" s="298"/>
      <c r="D26" s="298"/>
      <c r="E26" s="298"/>
      <c r="F26" s="298"/>
      <c r="G26" s="332" t="s">
        <v>105</v>
      </c>
      <c r="H26" s="331" t="s">
        <v>106</v>
      </c>
      <c r="I26" s="331" t="s">
        <v>107</v>
      </c>
      <c r="J26" s="330" t="s">
        <v>108</v>
      </c>
      <c r="K26" s="298"/>
      <c r="L26" s="298"/>
      <c r="M26" s="298"/>
      <c r="N26" s="298"/>
      <c r="O26" s="1"/>
      <c r="P26" s="1"/>
      <c r="Q26" s="1"/>
      <c r="R26" s="1"/>
      <c r="S26" s="1"/>
      <c r="T26" s="1"/>
      <c r="U26" s="1"/>
      <c r="V26"/>
      <c r="W26"/>
      <c r="X26"/>
      <c r="Y26"/>
      <c r="Z26"/>
      <c r="AA26"/>
      <c r="AB26"/>
    </row>
    <row r="27" spans="1:54" x14ac:dyDescent="0.35">
      <c r="A27" s="323" t="s">
        <v>339</v>
      </c>
      <c r="B27" s="510">
        <v>0.01</v>
      </c>
      <c r="C27" s="298"/>
      <c r="D27" s="298"/>
      <c r="E27" s="298"/>
      <c r="F27" s="298"/>
      <c r="G27" s="329" t="s">
        <v>109</v>
      </c>
      <c r="H27" s="512">
        <v>1</v>
      </c>
      <c r="I27" s="513">
        <v>0.43174000000000001</v>
      </c>
      <c r="J27" s="514">
        <v>0.27110000000000001</v>
      </c>
      <c r="K27" s="298"/>
      <c r="L27" s="298"/>
      <c r="M27" s="298"/>
      <c r="N27" s="298"/>
      <c r="O27" s="1"/>
      <c r="P27" s="1"/>
      <c r="Q27" s="1"/>
      <c r="R27" s="1"/>
      <c r="S27" s="1"/>
      <c r="T27" s="1"/>
      <c r="U27" s="1"/>
      <c r="V27"/>
      <c r="W27"/>
      <c r="X27"/>
      <c r="Y27"/>
      <c r="Z27"/>
      <c r="AA27"/>
      <c r="AB27"/>
    </row>
    <row r="28" spans="1:54" x14ac:dyDescent="0.35">
      <c r="A28" s="322" t="s">
        <v>340</v>
      </c>
      <c r="B28" s="511">
        <f>Parametrit!I24</f>
        <v>135.38833333333332</v>
      </c>
      <c r="C28" s="298"/>
      <c r="D28" s="298"/>
      <c r="E28" s="298"/>
      <c r="F28" s="298"/>
      <c r="G28" s="328"/>
      <c r="H28" s="298"/>
      <c r="I28" s="298"/>
      <c r="J28" s="298"/>
      <c r="K28" s="298"/>
      <c r="L28" s="298"/>
      <c r="M28" s="298"/>
      <c r="N28" s="298"/>
      <c r="O28" s="1"/>
      <c r="P28" s="1"/>
      <c r="Q28" s="1"/>
      <c r="R28" s="1"/>
      <c r="S28" s="1"/>
      <c r="T28" s="1"/>
      <c r="U28" s="1"/>
      <c r="V28"/>
      <c r="W28"/>
      <c r="X28"/>
      <c r="Y28"/>
      <c r="Z28"/>
      <c r="AA28"/>
      <c r="AB28"/>
    </row>
    <row r="29" spans="1:54" x14ac:dyDescent="0.35">
      <c r="A29" s="299"/>
      <c r="B29" s="299"/>
      <c r="C29" s="327"/>
      <c r="D29" s="327"/>
      <c r="E29" s="327"/>
      <c r="F29" s="327"/>
      <c r="G29" s="328"/>
      <c r="H29" s="298"/>
      <c r="I29" s="298"/>
      <c r="J29" s="298"/>
      <c r="K29" s="327"/>
      <c r="L29" s="327"/>
      <c r="M29" s="327"/>
      <c r="N29" s="32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54" x14ac:dyDescent="0.35">
      <c r="A30" s="298"/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1"/>
      <c r="P30" s="1"/>
      <c r="Q30" s="1"/>
      <c r="R30" s="1"/>
      <c r="S30" s="1"/>
      <c r="T30" s="1"/>
      <c r="U30" s="1"/>
      <c r="V30"/>
      <c r="W30"/>
      <c r="X30"/>
      <c r="Y30"/>
      <c r="Z30"/>
      <c r="AA30"/>
      <c r="AB30"/>
    </row>
    <row r="31" spans="1:54" x14ac:dyDescent="0.35">
      <c r="A31" s="298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1"/>
      <c r="P31" s="1"/>
      <c r="Q31" s="1"/>
      <c r="R31" s="1"/>
      <c r="S31" s="1"/>
      <c r="T31" s="1"/>
      <c r="U31" s="1"/>
      <c r="V31"/>
      <c r="W31"/>
      <c r="X31"/>
      <c r="Y31"/>
      <c r="Z31"/>
      <c r="AA31"/>
      <c r="AB31"/>
    </row>
    <row r="32" spans="1:54" ht="41.5" x14ac:dyDescent="0.35">
      <c r="A32" s="326" t="s">
        <v>265</v>
      </c>
      <c r="B32" s="464" t="s">
        <v>344</v>
      </c>
      <c r="C32" s="298"/>
      <c r="D32" s="298"/>
      <c r="E32" s="298"/>
      <c r="F32" s="298"/>
      <c r="G32" s="325"/>
      <c r="H32" s="298"/>
      <c r="I32" s="325"/>
      <c r="J32" s="298"/>
      <c r="K32" s="324"/>
      <c r="L32" s="298"/>
      <c r="M32" s="298"/>
      <c r="N32" s="298"/>
      <c r="O32" s="1"/>
      <c r="P32" s="1"/>
      <c r="Q32" s="1"/>
      <c r="R32" s="1"/>
      <c r="S32" s="1"/>
      <c r="T32" s="1"/>
      <c r="U32" s="1"/>
      <c r="V32"/>
      <c r="W32"/>
      <c r="X32"/>
      <c r="Y32"/>
      <c r="Z32"/>
      <c r="AA32"/>
      <c r="AB32"/>
    </row>
    <row r="33" spans="1:28" x14ac:dyDescent="0.35">
      <c r="A33" s="323" t="s">
        <v>264</v>
      </c>
      <c r="B33" s="465">
        <v>0.80241078353724182</v>
      </c>
      <c r="C33" s="321"/>
      <c r="D33" s="320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1"/>
      <c r="P33" s="1"/>
      <c r="Q33" s="1"/>
      <c r="R33" s="1"/>
      <c r="S33" s="1"/>
      <c r="T33" s="1"/>
      <c r="U33" s="1"/>
      <c r="V33"/>
      <c r="W33"/>
      <c r="X33"/>
      <c r="Y33"/>
      <c r="Z33"/>
      <c r="AA33"/>
      <c r="AB33"/>
    </row>
    <row r="34" spans="1:28" x14ac:dyDescent="0.35">
      <c r="A34" s="323" t="s">
        <v>263</v>
      </c>
      <c r="B34" s="466">
        <v>0.7986595207922933</v>
      </c>
      <c r="C34" s="321"/>
      <c r="D34" s="320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1"/>
      <c r="P34" s="1"/>
      <c r="Q34" s="1"/>
      <c r="R34" s="1"/>
      <c r="S34" s="1"/>
      <c r="T34" s="1"/>
      <c r="U34" s="1"/>
      <c r="V34"/>
      <c r="W34"/>
      <c r="X34"/>
      <c r="Y34"/>
      <c r="Z34"/>
      <c r="AA34"/>
      <c r="AB34"/>
    </row>
    <row r="35" spans="1:28" x14ac:dyDescent="0.35">
      <c r="A35" s="323" t="s">
        <v>262</v>
      </c>
      <c r="B35" s="467">
        <v>0.15891165858197623</v>
      </c>
      <c r="C35" s="321"/>
      <c r="D35" s="320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1"/>
      <c r="P35" s="1"/>
      <c r="Q35" s="1"/>
      <c r="R35" s="1"/>
      <c r="S35" s="1"/>
      <c r="T35" s="1"/>
      <c r="U35" s="1"/>
      <c r="V35"/>
      <c r="W35"/>
      <c r="X35"/>
      <c r="Y35"/>
      <c r="Z35"/>
      <c r="AA35"/>
      <c r="AB35"/>
    </row>
    <row r="36" spans="1:28" x14ac:dyDescent="0.35">
      <c r="A36" s="323" t="s">
        <v>261</v>
      </c>
      <c r="B36" s="466">
        <v>0.38024880083251672</v>
      </c>
      <c r="C36" s="321"/>
      <c r="D36" s="320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1"/>
      <c r="P36" s="1"/>
      <c r="Q36" s="1"/>
      <c r="R36" s="1"/>
      <c r="S36" s="1"/>
      <c r="T36" s="1"/>
      <c r="U36" s="1"/>
      <c r="V36"/>
      <c r="W36"/>
      <c r="X36"/>
      <c r="Y36"/>
      <c r="Z36"/>
      <c r="AA36"/>
      <c r="AB36"/>
    </row>
    <row r="37" spans="1:28" ht="18" customHeight="1" x14ac:dyDescent="0.35">
      <c r="A37" s="322" t="s">
        <v>110</v>
      </c>
      <c r="B37" s="468">
        <v>1.3147190805239422</v>
      </c>
      <c r="C37" s="321"/>
      <c r="D37" s="320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1"/>
      <c r="P37" s="1"/>
      <c r="Q37" s="1"/>
      <c r="R37" s="1"/>
      <c r="S37" s="1"/>
      <c r="T37" s="1"/>
      <c r="U37" s="1"/>
      <c r="V37"/>
      <c r="W37"/>
      <c r="X37"/>
      <c r="Y37"/>
      <c r="Z37"/>
      <c r="AA37"/>
      <c r="AB37"/>
    </row>
    <row r="38" spans="1:28" ht="33" customHeight="1" thickBot="1" x14ac:dyDescent="0.4">
      <c r="A38" s="298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1"/>
      <c r="P38" s="1"/>
      <c r="Q38" s="1"/>
      <c r="R38" s="1"/>
      <c r="S38" s="1"/>
      <c r="T38" s="1"/>
      <c r="U38" s="1"/>
      <c r="V38"/>
      <c r="W38"/>
      <c r="X38"/>
      <c r="Y38"/>
      <c r="Z38"/>
      <c r="AA38"/>
      <c r="AB38"/>
    </row>
    <row r="39" spans="1:28" ht="33" customHeight="1" x14ac:dyDescent="0.45">
      <c r="A39" s="136" t="s">
        <v>128</v>
      </c>
      <c r="B39" s="137"/>
      <c r="C39" s="137"/>
      <c r="D39" s="137"/>
      <c r="E39" s="138"/>
      <c r="F39" s="298"/>
      <c r="G39" s="298"/>
      <c r="H39" s="298"/>
      <c r="I39" s="298"/>
      <c r="J39" s="298"/>
      <c r="K39" s="298"/>
      <c r="L39" s="298"/>
      <c r="M39" s="298"/>
      <c r="N39" s="298"/>
      <c r="O39" s="1"/>
      <c r="P39" s="1"/>
      <c r="Q39" s="1"/>
      <c r="R39" s="1"/>
      <c r="S39" s="1"/>
      <c r="T39" s="1"/>
      <c r="U39" s="1"/>
      <c r="V39"/>
      <c r="W39"/>
      <c r="X39"/>
      <c r="Y39"/>
      <c r="Z39"/>
      <c r="AA39"/>
      <c r="AB39"/>
    </row>
    <row r="40" spans="1:28" ht="33" customHeight="1" x14ac:dyDescent="0.35">
      <c r="A40" s="236" t="s">
        <v>41</v>
      </c>
      <c r="B40" s="237">
        <v>2024</v>
      </c>
      <c r="C40" s="237">
        <v>2025</v>
      </c>
      <c r="D40" s="237">
        <v>2026</v>
      </c>
      <c r="E40" s="238">
        <v>2027</v>
      </c>
      <c r="F40" s="298"/>
      <c r="G40" s="298"/>
      <c r="H40" s="298"/>
      <c r="I40" s="298"/>
      <c r="J40" s="298"/>
      <c r="K40" s="298"/>
      <c r="L40" s="298"/>
      <c r="M40" s="298"/>
      <c r="N40" s="298"/>
      <c r="O40" s="1"/>
      <c r="P40" s="1"/>
      <c r="Q40" s="1"/>
      <c r="R40" s="1"/>
      <c r="S40" s="1"/>
      <c r="T40" s="1"/>
      <c r="U40" s="1"/>
      <c r="V40"/>
      <c r="W40"/>
      <c r="X40"/>
      <c r="Y40"/>
      <c r="Z40"/>
      <c r="AA40"/>
      <c r="AB40"/>
    </row>
    <row r="41" spans="1:28" x14ac:dyDescent="0.35">
      <c r="A41" s="239"/>
      <c r="B41" s="72"/>
      <c r="C41" s="72"/>
      <c r="D41" s="72"/>
      <c r="E41" s="123"/>
      <c r="F41" s="298"/>
      <c r="G41" s="298"/>
      <c r="H41" s="298"/>
      <c r="I41" s="298"/>
      <c r="J41" s="298"/>
      <c r="K41" s="298"/>
      <c r="L41" s="298"/>
      <c r="M41" s="298"/>
      <c r="N41" s="298"/>
      <c r="O41" s="1"/>
      <c r="P41" s="1"/>
      <c r="Q41" s="1"/>
      <c r="R41" s="1"/>
      <c r="S41" s="1"/>
      <c r="T41" s="1"/>
      <c r="U41" s="1"/>
      <c r="V41"/>
      <c r="W41"/>
      <c r="X41"/>
      <c r="Y41"/>
      <c r="Z41"/>
      <c r="AA41"/>
      <c r="AB41"/>
    </row>
    <row r="42" spans="1:28" ht="33" customHeight="1" x14ac:dyDescent="0.35">
      <c r="A42" s="239" t="s">
        <v>126</v>
      </c>
      <c r="B42" s="240">
        <f>-(SUM(B43:B55))</f>
        <v>0</v>
      </c>
      <c r="C42" s="240">
        <f>-(SUM(C43:C55))</f>
        <v>0</v>
      </c>
      <c r="D42" s="240">
        <f>-(SUM(D43:D55))</f>
        <v>0</v>
      </c>
      <c r="E42" s="240">
        <f>-(SUM(E43:E55))</f>
        <v>0</v>
      </c>
      <c r="F42" s="298"/>
      <c r="G42" s="298"/>
      <c r="H42" s="298"/>
      <c r="I42" s="298"/>
      <c r="J42" s="298"/>
      <c r="K42" s="298"/>
      <c r="L42" s="298"/>
      <c r="M42" s="298"/>
      <c r="N42" s="298"/>
      <c r="O42" s="1"/>
      <c r="P42" s="1"/>
      <c r="Q42" s="1"/>
      <c r="R42" s="1"/>
      <c r="S42" s="1"/>
      <c r="T42" s="1"/>
      <c r="U42" s="1"/>
      <c r="V42"/>
      <c r="W42"/>
      <c r="X42"/>
      <c r="Y42"/>
      <c r="Z42"/>
      <c r="AA42"/>
      <c r="AB42"/>
    </row>
    <row r="43" spans="1:28" ht="33" customHeight="1" x14ac:dyDescent="0.35">
      <c r="A43" s="404" t="s">
        <v>156</v>
      </c>
      <c r="B43" s="407">
        <f>Tuloslaskelma!F23</f>
        <v>0</v>
      </c>
      <c r="C43" s="407">
        <f>Tuloslaskelma!G23</f>
        <v>0</v>
      </c>
      <c r="D43" s="407">
        <f>Tuloslaskelma!H23</f>
        <v>0</v>
      </c>
      <c r="E43" s="407">
        <f>Tuloslaskelma!I23</f>
        <v>0</v>
      </c>
      <c r="F43" s="298"/>
      <c r="G43" s="298"/>
      <c r="H43" s="298"/>
      <c r="I43" s="298"/>
      <c r="J43" s="298"/>
      <c r="K43" s="298"/>
      <c r="L43" s="298"/>
      <c r="M43" s="298"/>
      <c r="N43" s="298"/>
      <c r="O43" s="1"/>
      <c r="P43" s="1"/>
      <c r="Q43" s="1"/>
      <c r="R43" s="1"/>
      <c r="S43" s="1"/>
      <c r="T43" s="1"/>
      <c r="U43" s="1"/>
      <c r="V43"/>
      <c r="W43"/>
      <c r="X43"/>
      <c r="Y43"/>
      <c r="Z43"/>
      <c r="AA43"/>
      <c r="AB43"/>
    </row>
    <row r="44" spans="1:28" x14ac:dyDescent="0.35">
      <c r="A44" s="405" t="s">
        <v>289</v>
      </c>
      <c r="B44" s="407">
        <f>Tuloslaskelma!F26</f>
        <v>0</v>
      </c>
      <c r="C44" s="407">
        <f>Tuloslaskelma!G26</f>
        <v>0</v>
      </c>
      <c r="D44" s="407">
        <f>Tuloslaskelma!H26</f>
        <v>0</v>
      </c>
      <c r="E44" s="407">
        <f>Tuloslaskelma!I26</f>
        <v>0</v>
      </c>
      <c r="F44" s="298"/>
      <c r="G44" s="298"/>
      <c r="H44" s="417"/>
      <c r="I44" s="298"/>
      <c r="J44" s="298"/>
      <c r="K44" s="298"/>
      <c r="L44" s="298"/>
      <c r="M44" s="298"/>
      <c r="N44" s="298"/>
      <c r="O44" s="1"/>
      <c r="P44" s="1"/>
      <c r="Q44" s="1"/>
      <c r="R44" s="1"/>
      <c r="S44" s="1"/>
      <c r="T44" s="1"/>
      <c r="U44" s="1"/>
      <c r="V44"/>
      <c r="W44"/>
      <c r="X44"/>
      <c r="Y44"/>
      <c r="Z44"/>
      <c r="AA44"/>
      <c r="AB44"/>
    </row>
    <row r="45" spans="1:28" x14ac:dyDescent="0.35">
      <c r="A45" s="405" t="s">
        <v>290</v>
      </c>
      <c r="B45" s="407">
        <f>Tuloslaskelma!F31</f>
        <v>0</v>
      </c>
      <c r="C45" s="407">
        <f>Tuloslaskelma!G31</f>
        <v>0</v>
      </c>
      <c r="D45" s="407">
        <f>Tuloslaskelma!H31</f>
        <v>0</v>
      </c>
      <c r="E45" s="407">
        <f>Tuloslaskelma!I31</f>
        <v>0</v>
      </c>
      <c r="F45" s="298"/>
      <c r="G45" s="298"/>
      <c r="H45" s="298"/>
      <c r="I45" s="298"/>
      <c r="J45" s="298"/>
      <c r="K45" s="298"/>
      <c r="L45" s="298"/>
      <c r="M45" s="298"/>
      <c r="N45" s="298"/>
      <c r="O45" s="1"/>
      <c r="P45" s="1"/>
      <c r="Q45" s="1"/>
      <c r="R45" s="1"/>
      <c r="S45" s="1"/>
      <c r="T45" s="1"/>
      <c r="U45" s="1"/>
      <c r="V45"/>
      <c r="W45"/>
      <c r="X45"/>
      <c r="Y45"/>
      <c r="Z45"/>
      <c r="AA45"/>
      <c r="AB45"/>
    </row>
    <row r="46" spans="1:28" ht="25" x14ac:dyDescent="0.35">
      <c r="A46" s="405" t="s">
        <v>291</v>
      </c>
      <c r="B46" s="407">
        <f>Tuloslaskelma!F48</f>
        <v>0</v>
      </c>
      <c r="C46" s="407">
        <f>Tuloslaskelma!G48</f>
        <v>0</v>
      </c>
      <c r="D46" s="407">
        <f>Tuloslaskelma!H48</f>
        <v>0</v>
      </c>
      <c r="E46" s="407">
        <f>Tuloslaskelma!I48</f>
        <v>0</v>
      </c>
      <c r="F46" s="298"/>
      <c r="G46" s="298"/>
      <c r="H46" s="298"/>
      <c r="I46" s="298"/>
      <c r="J46" s="298"/>
      <c r="K46" s="298"/>
      <c r="L46" s="298"/>
      <c r="M46" s="298"/>
      <c r="N46" s="298"/>
      <c r="O46" s="1"/>
      <c r="P46" s="1"/>
      <c r="Q46" s="1"/>
      <c r="R46" s="1"/>
      <c r="S46" s="1"/>
      <c r="T46" s="1"/>
      <c r="U46" s="1"/>
      <c r="V46"/>
      <c r="W46"/>
      <c r="X46"/>
      <c r="Y46"/>
      <c r="Z46"/>
      <c r="AA46"/>
      <c r="AB46"/>
    </row>
    <row r="47" spans="1:28" x14ac:dyDescent="0.35">
      <c r="A47" s="405" t="s">
        <v>292</v>
      </c>
      <c r="B47" s="407">
        <f>Tuloslaskelma!F46</f>
        <v>0</v>
      </c>
      <c r="C47" s="407">
        <f>Tuloslaskelma!G46</f>
        <v>0</v>
      </c>
      <c r="D47" s="407">
        <f>Tuloslaskelma!H46</f>
        <v>0</v>
      </c>
      <c r="E47" s="407">
        <f>Tuloslaskelma!I46</f>
        <v>0</v>
      </c>
      <c r="F47" s="298"/>
      <c r="G47" s="298"/>
      <c r="H47" s="298"/>
      <c r="I47" s="298"/>
      <c r="J47" s="298"/>
      <c r="K47" s="298"/>
      <c r="L47" s="298"/>
      <c r="M47" s="298"/>
      <c r="N47" s="298"/>
      <c r="O47" s="1"/>
      <c r="P47" s="1"/>
      <c r="Q47" s="1"/>
      <c r="R47" s="1"/>
      <c r="S47" s="1"/>
      <c r="T47" s="1"/>
      <c r="U47" s="1"/>
      <c r="V47"/>
      <c r="W47"/>
      <c r="X47"/>
      <c r="Y47"/>
      <c r="Z47"/>
      <c r="AA47"/>
      <c r="AB47"/>
    </row>
    <row r="48" spans="1:28" x14ac:dyDescent="0.35">
      <c r="A48" s="405" t="s">
        <v>293</v>
      </c>
      <c r="B48" s="407">
        <f>Tuloslaskelma!F30</f>
        <v>0</v>
      </c>
      <c r="C48" s="407">
        <f>Tuloslaskelma!G30</f>
        <v>0</v>
      </c>
      <c r="D48" s="407">
        <f>Tuloslaskelma!H30</f>
        <v>0</v>
      </c>
      <c r="E48" s="407">
        <f>Tuloslaskelma!I30</f>
        <v>0</v>
      </c>
      <c r="F48" s="298"/>
      <c r="G48" s="298"/>
      <c r="H48" s="298"/>
      <c r="I48" s="417"/>
      <c r="J48" s="298"/>
      <c r="K48" s="298"/>
      <c r="L48" s="298"/>
      <c r="M48" s="298"/>
      <c r="N48" s="298"/>
      <c r="O48" s="1"/>
      <c r="P48" s="1"/>
      <c r="Q48" s="1"/>
      <c r="R48" s="1"/>
      <c r="S48" s="1"/>
      <c r="T48" s="1"/>
      <c r="U48" s="1"/>
      <c r="V48"/>
      <c r="W48"/>
      <c r="X48"/>
      <c r="Y48"/>
      <c r="Z48"/>
      <c r="AA48"/>
      <c r="AB48"/>
    </row>
    <row r="49" spans="1:28" x14ac:dyDescent="0.35">
      <c r="A49" s="405" t="s">
        <v>294</v>
      </c>
      <c r="B49" s="407">
        <f>Tuloslaskelma!F49</f>
        <v>0</v>
      </c>
      <c r="C49" s="407">
        <f>Tuloslaskelma!G49</f>
        <v>0</v>
      </c>
      <c r="D49" s="407">
        <f>Tuloslaskelma!H49</f>
        <v>0</v>
      </c>
      <c r="E49" s="407">
        <f>Tuloslaskelma!I49</f>
        <v>0</v>
      </c>
      <c r="F49" s="298"/>
      <c r="G49" s="298"/>
      <c r="H49" s="298"/>
      <c r="I49" s="298"/>
      <c r="J49" s="298"/>
      <c r="K49" s="298"/>
      <c r="L49" s="298"/>
      <c r="M49" s="298"/>
      <c r="N49" s="298"/>
      <c r="O49" s="1"/>
      <c r="P49" s="1"/>
      <c r="Q49" s="1"/>
      <c r="R49" s="1"/>
      <c r="S49" s="1"/>
      <c r="T49" s="1"/>
      <c r="U49" s="1"/>
      <c r="V49"/>
      <c r="W49"/>
      <c r="X49"/>
      <c r="Y49"/>
      <c r="Z49"/>
      <c r="AA49"/>
      <c r="AB49"/>
    </row>
    <row r="50" spans="1:28" ht="25" x14ac:dyDescent="0.35">
      <c r="A50" s="405" t="s">
        <v>287</v>
      </c>
      <c r="B50" s="241"/>
      <c r="C50" s="241"/>
      <c r="D50" s="241"/>
      <c r="E50" s="241"/>
      <c r="F50" s="298"/>
      <c r="G50" s="298"/>
      <c r="H50" s="298"/>
      <c r="I50" s="298"/>
      <c r="J50" s="298"/>
      <c r="K50" s="298"/>
      <c r="L50" s="298"/>
      <c r="M50" s="298"/>
      <c r="N50" s="298"/>
      <c r="O50" s="1"/>
      <c r="P50" s="1"/>
      <c r="Q50" s="1"/>
      <c r="R50" s="1"/>
      <c r="S50" s="1"/>
      <c r="T50" s="1"/>
      <c r="U50" s="1"/>
      <c r="V50"/>
      <c r="W50"/>
      <c r="X50"/>
      <c r="Y50"/>
      <c r="Z50"/>
      <c r="AA50"/>
      <c r="AB50"/>
    </row>
    <row r="51" spans="1:28" ht="25" x14ac:dyDescent="0.35">
      <c r="A51" s="405" t="s">
        <v>288</v>
      </c>
      <c r="B51" s="241"/>
      <c r="C51" s="241"/>
      <c r="D51" s="241"/>
      <c r="E51" s="241"/>
      <c r="F51" s="298"/>
      <c r="G51" s="298"/>
      <c r="H51" s="298"/>
      <c r="I51" s="298"/>
      <c r="J51" s="298"/>
      <c r="K51" s="298"/>
      <c r="L51" s="298"/>
      <c r="M51" s="298"/>
      <c r="N51" s="298"/>
      <c r="O51" s="1"/>
      <c r="P51" s="1"/>
      <c r="Q51" s="1"/>
      <c r="R51" s="1"/>
      <c r="S51" s="1"/>
      <c r="T51" s="1"/>
      <c r="U51" s="1"/>
      <c r="V51"/>
      <c r="W51"/>
      <c r="X51"/>
      <c r="Y51"/>
      <c r="Z51"/>
      <c r="AA51"/>
      <c r="AB51"/>
    </row>
    <row r="52" spans="1:28" x14ac:dyDescent="0.35">
      <c r="A52" s="405" t="s">
        <v>295</v>
      </c>
      <c r="B52" s="407">
        <f>-Tuloslaskelma!F24</f>
        <v>0</v>
      </c>
      <c r="C52" s="407">
        <f>-Tuloslaskelma!G24</f>
        <v>0</v>
      </c>
      <c r="D52" s="407">
        <f>-Tuloslaskelma!H24</f>
        <v>0</v>
      </c>
      <c r="E52" s="407">
        <f>-Tuloslaskelma!I24</f>
        <v>0</v>
      </c>
      <c r="F52" s="298"/>
      <c r="G52" s="298"/>
      <c r="H52" s="298"/>
      <c r="I52" s="298"/>
      <c r="J52" s="298"/>
      <c r="K52" s="298"/>
      <c r="L52" s="298"/>
      <c r="M52" s="298"/>
      <c r="N52" s="298"/>
      <c r="O52" s="1"/>
      <c r="P52" s="1"/>
      <c r="Q52" s="1"/>
      <c r="R52" s="1"/>
      <c r="S52" s="1"/>
      <c r="T52" s="1"/>
      <c r="U52" s="1"/>
      <c r="V52"/>
      <c r="W52"/>
      <c r="X52"/>
      <c r="Y52"/>
      <c r="Z52"/>
      <c r="AA52"/>
      <c r="AB52"/>
    </row>
    <row r="53" spans="1:28" ht="15" thickBot="1" x14ac:dyDescent="0.4">
      <c r="A53" s="405" t="s">
        <v>296</v>
      </c>
      <c r="B53" s="408">
        <f>Tuloslaskelma!F15</f>
        <v>0</v>
      </c>
      <c r="C53" s="408">
        <f>Tuloslaskelma!G15</f>
        <v>0</v>
      </c>
      <c r="D53" s="408">
        <f>Tuloslaskelma!H15</f>
        <v>0</v>
      </c>
      <c r="E53" s="408">
        <f>Tuloslaskelma!I15</f>
        <v>0</v>
      </c>
      <c r="F53" s="298"/>
      <c r="G53" s="298"/>
      <c r="H53" s="298"/>
      <c r="I53" s="298"/>
      <c r="J53" s="298"/>
      <c r="K53" s="298"/>
      <c r="L53" s="298"/>
      <c r="M53" s="298"/>
      <c r="N53" s="298"/>
      <c r="O53" s="1"/>
      <c r="P53" s="1"/>
      <c r="Q53" s="1"/>
      <c r="R53" s="1"/>
      <c r="S53" s="1"/>
      <c r="T53" s="1"/>
      <c r="U53" s="1"/>
      <c r="V53"/>
      <c r="W53"/>
      <c r="X53"/>
      <c r="Y53"/>
      <c r="Z53"/>
      <c r="AA53"/>
      <c r="AB53"/>
    </row>
    <row r="54" spans="1:28" ht="33" customHeight="1" thickBot="1" x14ac:dyDescent="0.4">
      <c r="A54" s="406" t="s">
        <v>297</v>
      </c>
      <c r="B54" s="402"/>
      <c r="C54" s="402"/>
      <c r="D54" s="402"/>
      <c r="E54" s="402"/>
      <c r="F54" s="299"/>
      <c r="G54" s="298"/>
      <c r="H54" s="298"/>
      <c r="I54" s="298"/>
      <c r="J54" s="298"/>
      <c r="K54" s="298"/>
      <c r="L54" s="298"/>
      <c r="M54" s="298"/>
      <c r="N54" s="298"/>
      <c r="O54" s="1"/>
      <c r="P54" s="1"/>
      <c r="Q54" s="1"/>
      <c r="R54" s="1"/>
      <c r="S54" s="1"/>
      <c r="T54" s="1"/>
      <c r="U54" s="1"/>
      <c r="V54"/>
      <c r="W54"/>
      <c r="X54"/>
      <c r="Y54"/>
      <c r="Z54"/>
      <c r="AA54"/>
      <c r="AB54"/>
    </row>
    <row r="55" spans="1:28" ht="33" customHeight="1" x14ac:dyDescent="0.35">
      <c r="A55" s="406" t="s">
        <v>304</v>
      </c>
      <c r="B55" s="410">
        <f>Tuloslaskelma!F50</f>
        <v>0</v>
      </c>
      <c r="C55" s="410">
        <f>Tuloslaskelma!G50</f>
        <v>0</v>
      </c>
      <c r="D55" s="410">
        <f>Tuloslaskelma!H50</f>
        <v>0</v>
      </c>
      <c r="E55" s="410">
        <f>Tuloslaskelma!I50</f>
        <v>0</v>
      </c>
      <c r="F55" s="298"/>
      <c r="G55" s="298"/>
      <c r="H55" s="298"/>
      <c r="I55" s="298"/>
      <c r="J55" s="298"/>
      <c r="K55" s="298"/>
      <c r="L55" s="298"/>
      <c r="M55" s="298"/>
      <c r="N55" s="298"/>
      <c r="O55" s="1"/>
      <c r="P55" s="1"/>
      <c r="Q55" s="1"/>
      <c r="R55" s="1"/>
      <c r="S55" s="1"/>
      <c r="T55" s="1"/>
      <c r="U55" s="1"/>
      <c r="V55"/>
      <c r="W55"/>
      <c r="X55"/>
      <c r="Y55"/>
      <c r="Z55"/>
      <c r="AA55"/>
      <c r="AB55"/>
    </row>
    <row r="56" spans="1:28" ht="33" customHeight="1" x14ac:dyDescent="0.35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1"/>
      <c r="P56" s="1"/>
      <c r="Q56" s="1"/>
      <c r="R56" s="1"/>
      <c r="S56" s="1"/>
      <c r="T56" s="1"/>
      <c r="U56" s="1"/>
      <c r="V56"/>
      <c r="W56"/>
      <c r="X56"/>
      <c r="Y56"/>
      <c r="Z56"/>
      <c r="AA56"/>
      <c r="AB56"/>
    </row>
    <row r="57" spans="1:28" x14ac:dyDescent="0.35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1"/>
      <c r="P57" s="1"/>
      <c r="Q57" s="1"/>
      <c r="R57" s="1"/>
      <c r="S57" s="1"/>
      <c r="T57" s="1"/>
      <c r="U57" s="1"/>
      <c r="V57"/>
      <c r="W57"/>
      <c r="X57"/>
      <c r="Y57"/>
      <c r="Z57"/>
      <c r="AA57"/>
      <c r="AB57"/>
    </row>
    <row r="58" spans="1:28" ht="19.5" customHeight="1" x14ac:dyDescent="0.35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1"/>
      <c r="P58" s="1"/>
      <c r="Q58" s="1"/>
      <c r="R58" s="1"/>
      <c r="S58" s="1"/>
      <c r="T58" s="1"/>
      <c r="U58" s="1"/>
      <c r="V58"/>
      <c r="W58"/>
      <c r="X58"/>
      <c r="Y58"/>
      <c r="Z58"/>
      <c r="AA58"/>
      <c r="AB58"/>
    </row>
    <row r="59" spans="1:28" x14ac:dyDescent="0.35">
      <c r="A59" s="299"/>
      <c r="B59" s="316" t="s">
        <v>260</v>
      </c>
      <c r="C59" s="314"/>
      <c r="D59" s="314"/>
      <c r="E59" s="314"/>
      <c r="F59" s="314"/>
      <c r="G59" s="299"/>
      <c r="H59" s="310" t="s">
        <v>255</v>
      </c>
      <c r="I59" s="299"/>
      <c r="J59" s="299"/>
      <c r="K59" s="299"/>
      <c r="L59" s="299"/>
      <c r="M59" s="299"/>
      <c r="N59" s="299"/>
      <c r="O59" s="299"/>
      <c r="P59" s="299"/>
      <c r="Q59" s="298"/>
      <c r="R59" s="299"/>
      <c r="S59" s="299"/>
      <c r="T59" s="299"/>
      <c r="U59" s="299"/>
      <c r="V59" s="299"/>
      <c r="W59" s="299"/>
      <c r="X59" s="299"/>
      <c r="Y59"/>
      <c r="Z59" s="301"/>
      <c r="AA59" s="301"/>
      <c r="AB59" s="301"/>
    </row>
    <row r="60" spans="1:28" x14ac:dyDescent="0.35">
      <c r="A60" s="299"/>
      <c r="B60" s="311" t="s">
        <v>341</v>
      </c>
      <c r="C60" s="310" t="s">
        <v>342</v>
      </c>
      <c r="D60" s="310" t="s">
        <v>258</v>
      </c>
      <c r="E60" s="310" t="s">
        <v>257</v>
      </c>
      <c r="F60" s="310" t="s">
        <v>256</v>
      </c>
      <c r="G60" s="299"/>
      <c r="H60" s="302">
        <f>MAX(H64:H602)</f>
        <v>0</v>
      </c>
      <c r="I60" s="299"/>
      <c r="J60" s="299"/>
      <c r="K60" s="299"/>
      <c r="L60" s="299"/>
      <c r="M60" s="299"/>
      <c r="N60" s="299"/>
      <c r="O60" s="299"/>
      <c r="P60" s="299"/>
      <c r="Q60" s="298"/>
      <c r="R60" s="319"/>
      <c r="S60" s="319"/>
      <c r="T60" s="319"/>
      <c r="U60" s="319"/>
      <c r="V60" s="299"/>
      <c r="W60" s="299"/>
      <c r="X60" s="299"/>
      <c r="Y60" s="301"/>
      <c r="Z60"/>
      <c r="AA60"/>
      <c r="AB60"/>
    </row>
    <row r="61" spans="1:28" x14ac:dyDescent="0.35">
      <c r="A61" s="299"/>
      <c r="B61" s="305">
        <f>-1*Tehostamiskannustin!D5/1000</f>
        <v>0</v>
      </c>
      <c r="C61" s="303">
        <f>Tehostamiskannustin!E5</f>
        <v>0</v>
      </c>
      <c r="D61" s="304">
        <f>Tehostamiskannustin!L5</f>
        <v>0</v>
      </c>
      <c r="E61" s="303">
        <f>Tehostamiskannustin!F5</f>
        <v>0</v>
      </c>
      <c r="F61" s="303">
        <f>Tehostamiskannustin!G5</f>
        <v>0</v>
      </c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8"/>
      <c r="R61" s="299"/>
      <c r="S61" s="299"/>
      <c r="T61" s="299"/>
      <c r="U61" s="299"/>
      <c r="V61" s="299"/>
      <c r="W61" s="299"/>
      <c r="X61" s="299"/>
      <c r="Y61" s="301"/>
      <c r="Z61"/>
      <c r="AA61"/>
      <c r="AB61"/>
    </row>
    <row r="62" spans="1:28" ht="12" customHeight="1" x14ac:dyDescent="0.35">
      <c r="A62" s="299"/>
      <c r="B62" s="318"/>
      <c r="C62" s="318"/>
      <c r="D62" s="299"/>
      <c r="E62" s="318"/>
      <c r="F62" s="318"/>
      <c r="G62" s="299"/>
      <c r="H62" s="317"/>
      <c r="I62" s="299"/>
      <c r="J62" s="316" t="s">
        <v>259</v>
      </c>
      <c r="K62" s="314"/>
      <c r="L62" s="314"/>
      <c r="M62" s="314"/>
      <c r="N62" s="314"/>
      <c r="O62" s="314"/>
      <c r="P62" s="299"/>
      <c r="Q62" s="298"/>
      <c r="R62" s="315" t="s">
        <v>112</v>
      </c>
      <c r="S62" s="314"/>
      <c r="T62" s="314"/>
      <c r="U62" s="314"/>
      <c r="V62" s="314"/>
      <c r="W62" s="314"/>
      <c r="X62" s="314"/>
      <c r="Y62" s="314"/>
      <c r="Z62"/>
      <c r="AA62"/>
      <c r="AB62"/>
    </row>
    <row r="63" spans="1:28" ht="58.15" customHeight="1" x14ac:dyDescent="0.35">
      <c r="A63" s="299"/>
      <c r="B63" s="310" t="s">
        <v>111</v>
      </c>
      <c r="C63" s="314"/>
      <c r="D63" s="314"/>
      <c r="E63" s="314"/>
      <c r="F63" s="314"/>
      <c r="G63" s="299"/>
      <c r="H63" s="313" t="s">
        <v>112</v>
      </c>
      <c r="I63" s="312"/>
      <c r="J63" s="311" t="s">
        <v>194</v>
      </c>
      <c r="K63" s="456" t="s">
        <v>341</v>
      </c>
      <c r="L63" s="310" t="s">
        <v>342</v>
      </c>
      <c r="M63" s="310" t="s">
        <v>258</v>
      </c>
      <c r="N63" s="310" t="s">
        <v>257</v>
      </c>
      <c r="O63" s="310" t="s">
        <v>256</v>
      </c>
      <c r="P63" s="299"/>
      <c r="Q63" s="309" t="s">
        <v>255</v>
      </c>
      <c r="R63" s="308">
        <v>2024</v>
      </c>
      <c r="S63" s="308">
        <v>2025</v>
      </c>
      <c r="T63" s="308">
        <v>2026</v>
      </c>
      <c r="U63" s="308">
        <v>2027</v>
      </c>
      <c r="V63" s="308">
        <v>2028</v>
      </c>
      <c r="W63" s="308">
        <v>2029</v>
      </c>
      <c r="X63" s="308">
        <v>2030</v>
      </c>
      <c r="Y63" s="308">
        <v>2031</v>
      </c>
      <c r="Z63"/>
      <c r="AA63"/>
      <c r="AB63"/>
    </row>
    <row r="64" spans="1:28" x14ac:dyDescent="0.35">
      <c r="A64" s="299"/>
      <c r="B64" s="515">
        <v>6.9438322666700456</v>
      </c>
      <c r="C64" s="515">
        <v>9.2837140355092995E-2</v>
      </c>
      <c r="D64" s="515">
        <v>1.468137599167179</v>
      </c>
      <c r="E64" s="515">
        <v>0.139612075365668</v>
      </c>
      <c r="F64" s="515">
        <v>5.2323477633304999E-2</v>
      </c>
      <c r="G64" s="299"/>
      <c r="H64" s="300">
        <f>SUMPRODUCT(B64:F64,B$61:F$61)</f>
        <v>0</v>
      </c>
      <c r="I64" s="299"/>
      <c r="J64" s="306">
        <v>2024</v>
      </c>
      <c r="K64" s="305">
        <f>-E15/1000</f>
        <v>0</v>
      </c>
      <c r="L64" s="303">
        <f>F15</f>
        <v>0</v>
      </c>
      <c r="M64" s="304">
        <f>L15</f>
        <v>0</v>
      </c>
      <c r="N64" s="303">
        <f t="shared" ref="N64:O67" si="9">G15</f>
        <v>0</v>
      </c>
      <c r="O64" s="303">
        <f t="shared" si="9"/>
        <v>0</v>
      </c>
      <c r="P64" s="299"/>
      <c r="Q64" s="302">
        <f>MAX(R64:R602)</f>
        <v>0</v>
      </c>
      <c r="R64" s="300">
        <f>SUMPRODUCT($B64:$F64,$K$64:$O$64)</f>
        <v>0</v>
      </c>
      <c r="S64" s="300">
        <f>SUMPRODUCT($B64:$F64,$K$65:$O$65)</f>
        <v>0</v>
      </c>
      <c r="T64" s="300">
        <f>SUMPRODUCT($B64:$F64,$K$66:$O$66)</f>
        <v>0</v>
      </c>
      <c r="U64" s="300">
        <f>SUMPRODUCT($B64:$F64,$K$67:$O$67)</f>
        <v>0</v>
      </c>
      <c r="V64" s="300">
        <f>SUMPRODUCT($B64:$F64,$K$68:$O$68)</f>
        <v>0</v>
      </c>
      <c r="W64" s="300">
        <f>SUMPRODUCT($B64:$F64,$K$69:$O$69)</f>
        <v>0</v>
      </c>
      <c r="X64" s="300">
        <f>SUMPRODUCT($B64:$F64,$K$70:$O$70)</f>
        <v>0</v>
      </c>
      <c r="Y64" s="300">
        <f>SUMPRODUCT($B64:$F64,$K$71:$O$71)</f>
        <v>0</v>
      </c>
      <c r="Z64"/>
      <c r="AA64"/>
      <c r="AB64"/>
    </row>
    <row r="65" spans="1:28" x14ac:dyDescent="0.35">
      <c r="A65" s="299"/>
      <c r="B65" s="515">
        <v>10.78487876030594</v>
      </c>
      <c r="C65" s="515">
        <v>0.16029803695217701</v>
      </c>
      <c r="D65" s="515">
        <v>1.3599550434666119</v>
      </c>
      <c r="E65" s="515">
        <v>7.437713481E-6</v>
      </c>
      <c r="F65" s="515">
        <v>7.5848848877267006E-2</v>
      </c>
      <c r="G65" s="299"/>
      <c r="H65" s="300">
        <f t="shared" ref="H65:H128" si="10">SUMPRODUCT(B65:F65,B$61:F$61)</f>
        <v>0</v>
      </c>
      <c r="I65" s="299"/>
      <c r="J65" s="306">
        <v>2025</v>
      </c>
      <c r="K65" s="305">
        <f>-E16/1000</f>
        <v>0</v>
      </c>
      <c r="L65" s="303">
        <f>F16</f>
        <v>0</v>
      </c>
      <c r="M65" s="304">
        <f>L16</f>
        <v>0</v>
      </c>
      <c r="N65" s="303">
        <f t="shared" si="9"/>
        <v>0</v>
      </c>
      <c r="O65" s="303">
        <f t="shared" si="9"/>
        <v>0</v>
      </c>
      <c r="P65" s="299"/>
      <c r="Q65" s="302">
        <f>MAX(S64:S602)</f>
        <v>0</v>
      </c>
      <c r="R65" s="300">
        <f t="shared" ref="R65:R128" si="11">SUMPRODUCT($B65:$F65,$K$64:$O$64)</f>
        <v>0</v>
      </c>
      <c r="S65" s="300">
        <f t="shared" ref="S65:S128" si="12">SUMPRODUCT($B65:$F65,$K$65:$O$65)</f>
        <v>0</v>
      </c>
      <c r="T65" s="300">
        <f t="shared" ref="T65:T128" si="13">SUMPRODUCT($B65:$F65,$K$66:$O$66)</f>
        <v>0</v>
      </c>
      <c r="U65" s="300">
        <f t="shared" ref="U65:U128" si="14">SUMPRODUCT($B65:$F65,$K$67:$O$67)</f>
        <v>0</v>
      </c>
      <c r="V65" s="300">
        <f t="shared" ref="V65:V128" si="15">SUMPRODUCT($B65:$F65,$K$68:$O$68)</f>
        <v>0</v>
      </c>
      <c r="W65" s="300">
        <f t="shared" ref="W65:W128" si="16">SUMPRODUCT($B65:$F65,$K$69:$O$69)</f>
        <v>0</v>
      </c>
      <c r="X65" s="300">
        <f t="shared" ref="X65:X128" si="17">SUMPRODUCT($B65:$F65,$K$70:$O$70)</f>
        <v>0</v>
      </c>
      <c r="Y65" s="300">
        <f t="shared" ref="Y65:Y128" si="18">SUMPRODUCT($B65:$F65,$K$71:$O$71)</f>
        <v>0</v>
      </c>
      <c r="Z65"/>
      <c r="AA65"/>
      <c r="AB65"/>
    </row>
    <row r="66" spans="1:28" x14ac:dyDescent="0.35">
      <c r="A66" s="299"/>
      <c r="B66" s="515">
        <v>10.853705552900321</v>
      </c>
      <c r="C66" s="515">
        <v>0.1679998105537</v>
      </c>
      <c r="D66" s="515">
        <v>1.345636824984805</v>
      </c>
      <c r="E66" s="515">
        <v>4.273015491E-6</v>
      </c>
      <c r="F66" s="515">
        <v>7.6095706316895995E-2</v>
      </c>
      <c r="G66" s="299"/>
      <c r="H66" s="300">
        <f t="shared" si="10"/>
        <v>0</v>
      </c>
      <c r="I66" s="299"/>
      <c r="J66" s="306">
        <v>2026</v>
      </c>
      <c r="K66" s="305">
        <f>-E17/1000</f>
        <v>0</v>
      </c>
      <c r="L66" s="303">
        <f>F17</f>
        <v>0</v>
      </c>
      <c r="M66" s="304">
        <f>L17</f>
        <v>0</v>
      </c>
      <c r="N66" s="303">
        <f t="shared" si="9"/>
        <v>0</v>
      </c>
      <c r="O66" s="303">
        <f t="shared" si="9"/>
        <v>0</v>
      </c>
      <c r="P66" s="299"/>
      <c r="Q66" s="302">
        <f>MAX(T64:T602)</f>
        <v>0</v>
      </c>
      <c r="R66" s="300">
        <f t="shared" si="11"/>
        <v>0</v>
      </c>
      <c r="S66" s="300">
        <f t="shared" si="12"/>
        <v>0</v>
      </c>
      <c r="T66" s="300">
        <f t="shared" si="13"/>
        <v>0</v>
      </c>
      <c r="U66" s="300">
        <f t="shared" si="14"/>
        <v>0</v>
      </c>
      <c r="V66" s="300">
        <f t="shared" si="15"/>
        <v>0</v>
      </c>
      <c r="W66" s="300">
        <f t="shared" si="16"/>
        <v>0</v>
      </c>
      <c r="X66" s="300">
        <f t="shared" si="17"/>
        <v>0</v>
      </c>
      <c r="Y66" s="300">
        <f t="shared" si="18"/>
        <v>0</v>
      </c>
      <c r="Z66"/>
      <c r="AA66"/>
      <c r="AB66"/>
    </row>
    <row r="67" spans="1:28" x14ac:dyDescent="0.35">
      <c r="A67" s="299"/>
      <c r="B67" s="515">
        <v>0.16387617743941599</v>
      </c>
      <c r="C67" s="515">
        <v>4.2336797260845001E-2</v>
      </c>
      <c r="D67" s="515">
        <v>1.6115421001165471</v>
      </c>
      <c r="E67" s="515">
        <v>0.15514991651974699</v>
      </c>
      <c r="F67" s="515">
        <v>2.2693532409928999E-2</v>
      </c>
      <c r="G67" s="299"/>
      <c r="H67" s="300">
        <f t="shared" si="10"/>
        <v>0</v>
      </c>
      <c r="I67" s="299"/>
      <c r="J67" s="306">
        <v>2027</v>
      </c>
      <c r="K67" s="305">
        <f>-E18/1000</f>
        <v>0</v>
      </c>
      <c r="L67" s="303">
        <f>F18</f>
        <v>0</v>
      </c>
      <c r="M67" s="304">
        <f>L18</f>
        <v>0</v>
      </c>
      <c r="N67" s="303">
        <f t="shared" si="9"/>
        <v>0</v>
      </c>
      <c r="O67" s="303">
        <f t="shared" si="9"/>
        <v>0</v>
      </c>
      <c r="P67" s="299"/>
      <c r="Q67" s="302">
        <f>MAX(U64:U602)</f>
        <v>0</v>
      </c>
      <c r="R67" s="300">
        <f t="shared" si="11"/>
        <v>0</v>
      </c>
      <c r="S67" s="300">
        <f t="shared" si="12"/>
        <v>0</v>
      </c>
      <c r="T67" s="300">
        <f t="shared" si="13"/>
        <v>0</v>
      </c>
      <c r="U67" s="300">
        <f t="shared" si="14"/>
        <v>0</v>
      </c>
      <c r="V67" s="300">
        <f t="shared" si="15"/>
        <v>0</v>
      </c>
      <c r="W67" s="300">
        <f t="shared" si="16"/>
        <v>0</v>
      </c>
      <c r="X67" s="300">
        <f t="shared" si="17"/>
        <v>0</v>
      </c>
      <c r="Y67" s="300">
        <f t="shared" si="18"/>
        <v>0</v>
      </c>
      <c r="Z67"/>
      <c r="AA67"/>
      <c r="AB67"/>
    </row>
    <row r="68" spans="1:28" x14ac:dyDescent="0.35">
      <c r="A68" s="299"/>
      <c r="B68" s="515">
        <v>7.9004228985674996E-2</v>
      </c>
      <c r="C68" s="515">
        <v>0.108419916286014</v>
      </c>
      <c r="D68" s="515">
        <v>1.7464244104212E-2</v>
      </c>
      <c r="E68" s="515">
        <v>8.1549007119724001E-2</v>
      </c>
      <c r="F68" s="515">
        <v>5.5582695434440998E-2</v>
      </c>
      <c r="G68" s="299"/>
      <c r="H68" s="300">
        <f t="shared" si="10"/>
        <v>0</v>
      </c>
      <c r="I68" s="307"/>
      <c r="J68" s="314">
        <v>2028</v>
      </c>
      <c r="K68" s="305">
        <f>-E20/1000</f>
        <v>0</v>
      </c>
      <c r="L68" s="303">
        <f>F20</f>
        <v>0</v>
      </c>
      <c r="M68" s="304">
        <f>L20</f>
        <v>0</v>
      </c>
      <c r="N68" s="303">
        <f t="shared" ref="N68:O71" si="19">G20</f>
        <v>0</v>
      </c>
      <c r="O68" s="303">
        <f t="shared" si="19"/>
        <v>0</v>
      </c>
      <c r="P68" s="299"/>
      <c r="Q68" s="302">
        <f>MAX(V64:V602)</f>
        <v>0</v>
      </c>
      <c r="R68" s="300">
        <f t="shared" si="11"/>
        <v>0</v>
      </c>
      <c r="S68" s="300">
        <f t="shared" si="12"/>
        <v>0</v>
      </c>
      <c r="T68" s="300">
        <f t="shared" si="13"/>
        <v>0</v>
      </c>
      <c r="U68" s="300">
        <f t="shared" si="14"/>
        <v>0</v>
      </c>
      <c r="V68" s="300">
        <f t="shared" si="15"/>
        <v>0</v>
      </c>
      <c r="W68" s="300">
        <f t="shared" si="16"/>
        <v>0</v>
      </c>
      <c r="X68" s="300">
        <f t="shared" si="17"/>
        <v>0</v>
      </c>
      <c r="Y68" s="300">
        <f t="shared" si="18"/>
        <v>0</v>
      </c>
      <c r="Z68"/>
      <c r="AA68"/>
      <c r="AB68"/>
    </row>
    <row r="69" spans="1:28" x14ac:dyDescent="0.35">
      <c r="A69" s="299"/>
      <c r="B69" s="515">
        <v>1.0838532040056E-2</v>
      </c>
      <c r="C69" s="515">
        <v>0.107038612612259</v>
      </c>
      <c r="D69" s="515">
        <v>1.1734832412296321</v>
      </c>
      <c r="E69" s="515">
        <v>0.23140174056211299</v>
      </c>
      <c r="F69" s="515">
        <v>2.0285741083169999E-3</v>
      </c>
      <c r="G69" s="299"/>
      <c r="H69" s="300">
        <f t="shared" si="10"/>
        <v>0</v>
      </c>
      <c r="I69" s="299"/>
      <c r="J69" s="314">
        <v>2029</v>
      </c>
      <c r="K69" s="305">
        <f>-E21/1000</f>
        <v>0</v>
      </c>
      <c r="L69" s="303">
        <f>F21</f>
        <v>0</v>
      </c>
      <c r="M69" s="304">
        <f>L21</f>
        <v>0</v>
      </c>
      <c r="N69" s="303">
        <f t="shared" si="19"/>
        <v>0</v>
      </c>
      <c r="O69" s="303">
        <f t="shared" si="19"/>
        <v>0</v>
      </c>
      <c r="P69" s="299"/>
      <c r="Q69" s="302">
        <f>MAX(W64:W602)</f>
        <v>0</v>
      </c>
      <c r="R69" s="300">
        <f t="shared" si="11"/>
        <v>0</v>
      </c>
      <c r="S69" s="300">
        <f t="shared" si="12"/>
        <v>0</v>
      </c>
      <c r="T69" s="300">
        <f t="shared" si="13"/>
        <v>0</v>
      </c>
      <c r="U69" s="300">
        <f t="shared" si="14"/>
        <v>0</v>
      </c>
      <c r="V69" s="300">
        <f t="shared" si="15"/>
        <v>0</v>
      </c>
      <c r="W69" s="300">
        <f t="shared" si="16"/>
        <v>0</v>
      </c>
      <c r="X69" s="300">
        <f t="shared" si="17"/>
        <v>0</v>
      </c>
      <c r="Y69" s="300">
        <f t="shared" si="18"/>
        <v>0</v>
      </c>
      <c r="Z69"/>
      <c r="AA69"/>
      <c r="AB69"/>
    </row>
    <row r="70" spans="1:28" x14ac:dyDescent="0.35">
      <c r="A70" s="299"/>
      <c r="B70" s="515">
        <v>2.5680747691E-5</v>
      </c>
      <c r="C70" s="515">
        <v>-0.63988629383707596</v>
      </c>
      <c r="D70" s="515">
        <v>1.6671920694218889</v>
      </c>
      <c r="E70" s="515">
        <v>5.4572630369999999E-6</v>
      </c>
      <c r="F70" s="515">
        <v>5.2723774382420999E-2</v>
      </c>
      <c r="G70" s="299"/>
      <c r="H70" s="300">
        <f t="shared" si="10"/>
        <v>0</v>
      </c>
      <c r="I70" s="299"/>
      <c r="J70" s="314">
        <v>2030</v>
      </c>
      <c r="K70" s="305">
        <f>-E22/1000</f>
        <v>0</v>
      </c>
      <c r="L70" s="303">
        <f>F22</f>
        <v>0</v>
      </c>
      <c r="M70" s="304">
        <f>L22</f>
        <v>0</v>
      </c>
      <c r="N70" s="303">
        <f t="shared" si="19"/>
        <v>0</v>
      </c>
      <c r="O70" s="303">
        <f t="shared" si="19"/>
        <v>0</v>
      </c>
      <c r="P70" s="299"/>
      <c r="Q70" s="302">
        <f>MAX(X64:X602)</f>
        <v>0</v>
      </c>
      <c r="R70" s="300">
        <f t="shared" si="11"/>
        <v>0</v>
      </c>
      <c r="S70" s="300">
        <f t="shared" si="12"/>
        <v>0</v>
      </c>
      <c r="T70" s="300">
        <f t="shared" si="13"/>
        <v>0</v>
      </c>
      <c r="U70" s="300">
        <f t="shared" si="14"/>
        <v>0</v>
      </c>
      <c r="V70" s="300">
        <f t="shared" si="15"/>
        <v>0</v>
      </c>
      <c r="W70" s="300">
        <f t="shared" si="16"/>
        <v>0</v>
      </c>
      <c r="X70" s="300">
        <f t="shared" si="17"/>
        <v>0</v>
      </c>
      <c r="Y70" s="300">
        <f t="shared" si="18"/>
        <v>0</v>
      </c>
      <c r="Z70"/>
      <c r="AA70"/>
      <c r="AB70"/>
    </row>
    <row r="71" spans="1:28" x14ac:dyDescent="0.35">
      <c r="A71" s="299"/>
      <c r="B71" s="515">
        <v>0.80086198160894995</v>
      </c>
      <c r="C71" s="515">
        <v>6.7830181930058006E-2</v>
      </c>
      <c r="D71" s="515">
        <v>1.916922667001087</v>
      </c>
      <c r="E71" s="515">
        <v>0.23042198686003801</v>
      </c>
      <c r="F71" s="515">
        <v>5.8683041373259999E-3</v>
      </c>
      <c r="G71" s="299"/>
      <c r="H71" s="300">
        <f t="shared" si="10"/>
        <v>0</v>
      </c>
      <c r="I71" s="299"/>
      <c r="J71" s="314">
        <v>2031</v>
      </c>
      <c r="K71" s="305">
        <f>-E23/1000</f>
        <v>0</v>
      </c>
      <c r="L71" s="303">
        <f>F23</f>
        <v>0</v>
      </c>
      <c r="M71" s="304">
        <f>L23</f>
        <v>0</v>
      </c>
      <c r="N71" s="303">
        <f t="shared" si="19"/>
        <v>0</v>
      </c>
      <c r="O71" s="303">
        <f t="shared" si="19"/>
        <v>0</v>
      </c>
      <c r="P71" s="299"/>
      <c r="Q71" s="302">
        <f>MAX(Y64:Y602)</f>
        <v>0</v>
      </c>
      <c r="R71" s="300">
        <f t="shared" si="11"/>
        <v>0</v>
      </c>
      <c r="S71" s="300">
        <f t="shared" si="12"/>
        <v>0</v>
      </c>
      <c r="T71" s="300">
        <f t="shared" si="13"/>
        <v>0</v>
      </c>
      <c r="U71" s="300">
        <f t="shared" si="14"/>
        <v>0</v>
      </c>
      <c r="V71" s="300">
        <f t="shared" si="15"/>
        <v>0</v>
      </c>
      <c r="W71" s="300">
        <f t="shared" si="16"/>
        <v>0</v>
      </c>
      <c r="X71" s="300">
        <f t="shared" si="17"/>
        <v>0</v>
      </c>
      <c r="Y71" s="300">
        <f t="shared" si="18"/>
        <v>0</v>
      </c>
      <c r="Z71"/>
      <c r="AA71"/>
      <c r="AB71"/>
    </row>
    <row r="72" spans="1:28" x14ac:dyDescent="0.35">
      <c r="A72" s="299"/>
      <c r="B72" s="515">
        <v>7.4621617880000002E-6</v>
      </c>
      <c r="C72" s="515">
        <v>-3.2949949689709359</v>
      </c>
      <c r="D72" s="515">
        <v>2.7118153716518441</v>
      </c>
      <c r="E72" s="515">
        <v>7.6271512013502005E-2</v>
      </c>
      <c r="F72" s="515">
        <v>4.1495853105259002E-2</v>
      </c>
      <c r="G72" s="299"/>
      <c r="H72" s="300">
        <f t="shared" si="10"/>
        <v>0</v>
      </c>
      <c r="I72" s="299"/>
      <c r="J72" s="299"/>
      <c r="K72" s="299"/>
      <c r="L72" s="299"/>
      <c r="M72" s="299"/>
      <c r="N72" s="299"/>
      <c r="O72" s="299"/>
      <c r="P72" s="299"/>
      <c r="Q72" s="298"/>
      <c r="R72" s="300">
        <f t="shared" si="11"/>
        <v>0</v>
      </c>
      <c r="S72" s="300">
        <f t="shared" si="12"/>
        <v>0</v>
      </c>
      <c r="T72" s="300">
        <f t="shared" si="13"/>
        <v>0</v>
      </c>
      <c r="U72" s="300">
        <f t="shared" si="14"/>
        <v>0</v>
      </c>
      <c r="V72" s="300">
        <f t="shared" si="15"/>
        <v>0</v>
      </c>
      <c r="W72" s="300">
        <f t="shared" si="16"/>
        <v>0</v>
      </c>
      <c r="X72" s="300">
        <f t="shared" si="17"/>
        <v>0</v>
      </c>
      <c r="Y72" s="300">
        <f t="shared" si="18"/>
        <v>0</v>
      </c>
      <c r="Z72"/>
      <c r="AA72"/>
      <c r="AB72"/>
    </row>
    <row r="73" spans="1:28" x14ac:dyDescent="0.35">
      <c r="A73" s="299"/>
      <c r="B73" s="515">
        <v>2.4453788109999998E-6</v>
      </c>
      <c r="C73" s="515">
        <v>-0.62116474863483295</v>
      </c>
      <c r="D73" s="515">
        <v>1.9690574824290159</v>
      </c>
      <c r="E73" s="515">
        <v>3.4404912999999998E-8</v>
      </c>
      <c r="F73" s="515">
        <v>4.8954946722895E-2</v>
      </c>
      <c r="G73" s="299"/>
      <c r="H73" s="300">
        <f t="shared" si="10"/>
        <v>0</v>
      </c>
      <c r="I73" s="299"/>
      <c r="J73" s="299"/>
      <c r="K73" s="299"/>
      <c r="L73" s="299"/>
      <c r="M73" s="299"/>
      <c r="N73" s="299"/>
      <c r="O73" s="299"/>
      <c r="P73" s="299"/>
      <c r="Q73" s="298"/>
      <c r="R73" s="300">
        <f t="shared" si="11"/>
        <v>0</v>
      </c>
      <c r="S73" s="300">
        <f t="shared" si="12"/>
        <v>0</v>
      </c>
      <c r="T73" s="300">
        <f t="shared" si="13"/>
        <v>0</v>
      </c>
      <c r="U73" s="300">
        <f t="shared" si="14"/>
        <v>0</v>
      </c>
      <c r="V73" s="300">
        <f t="shared" si="15"/>
        <v>0</v>
      </c>
      <c r="W73" s="300">
        <f t="shared" si="16"/>
        <v>0</v>
      </c>
      <c r="X73" s="300">
        <f t="shared" si="17"/>
        <v>0</v>
      </c>
      <c r="Y73" s="300">
        <f t="shared" si="18"/>
        <v>0</v>
      </c>
      <c r="Z73"/>
      <c r="AA73"/>
      <c r="AB73"/>
    </row>
    <row r="74" spans="1:28" x14ac:dyDescent="0.35">
      <c r="A74" s="299"/>
      <c r="B74" s="515">
        <v>4.4724754946803431</v>
      </c>
      <c r="C74" s="515">
        <v>9.5475013832007002E-2</v>
      </c>
      <c r="D74" s="515">
        <v>1.3862538374400279</v>
      </c>
      <c r="E74" s="515">
        <v>3.3674687994100002E-4</v>
      </c>
      <c r="F74" s="515">
        <v>6.2377697686219001E-2</v>
      </c>
      <c r="G74" s="299"/>
      <c r="H74" s="300">
        <f t="shared" si="10"/>
        <v>0</v>
      </c>
      <c r="I74" s="299"/>
      <c r="J74" s="299"/>
      <c r="K74" s="299"/>
      <c r="L74" s="299"/>
      <c r="M74" s="299"/>
      <c r="N74" s="299"/>
      <c r="O74" s="299"/>
      <c r="P74" s="299"/>
      <c r="Q74" s="298"/>
      <c r="R74" s="300">
        <f t="shared" si="11"/>
        <v>0</v>
      </c>
      <c r="S74" s="300">
        <f t="shared" si="12"/>
        <v>0</v>
      </c>
      <c r="T74" s="300">
        <f t="shared" si="13"/>
        <v>0</v>
      </c>
      <c r="U74" s="300">
        <f t="shared" si="14"/>
        <v>0</v>
      </c>
      <c r="V74" s="300">
        <f t="shared" si="15"/>
        <v>0</v>
      </c>
      <c r="W74" s="300">
        <f t="shared" si="16"/>
        <v>0</v>
      </c>
      <c r="X74" s="300">
        <f t="shared" si="17"/>
        <v>0</v>
      </c>
      <c r="Y74" s="300">
        <f t="shared" si="18"/>
        <v>0</v>
      </c>
      <c r="Z74"/>
      <c r="AA74"/>
      <c r="AB74"/>
    </row>
    <row r="75" spans="1:28" x14ac:dyDescent="0.35">
      <c r="A75" s="299"/>
      <c r="B75" s="515">
        <v>4.9043933839000002E-5</v>
      </c>
      <c r="C75" s="515">
        <v>-1.323967190464826</v>
      </c>
      <c r="D75" s="515">
        <v>0.78480054170812497</v>
      </c>
      <c r="E75" s="515">
        <v>1.6782800149999999E-6</v>
      </c>
      <c r="F75" s="515">
        <v>6.5038654206133001E-2</v>
      </c>
      <c r="G75" s="299"/>
      <c r="H75" s="300">
        <f t="shared" si="10"/>
        <v>0</v>
      </c>
      <c r="I75" s="299"/>
      <c r="J75" s="299"/>
      <c r="K75" s="299"/>
      <c r="L75" s="299"/>
      <c r="M75" s="299"/>
      <c r="N75" s="299"/>
      <c r="O75" s="299"/>
      <c r="P75" s="299"/>
      <c r="Q75" s="298"/>
      <c r="R75" s="300">
        <f t="shared" si="11"/>
        <v>0</v>
      </c>
      <c r="S75" s="300">
        <f t="shared" si="12"/>
        <v>0</v>
      </c>
      <c r="T75" s="300">
        <f t="shared" si="13"/>
        <v>0</v>
      </c>
      <c r="U75" s="300">
        <f t="shared" si="14"/>
        <v>0</v>
      </c>
      <c r="V75" s="300">
        <f t="shared" si="15"/>
        <v>0</v>
      </c>
      <c r="W75" s="300">
        <f t="shared" si="16"/>
        <v>0</v>
      </c>
      <c r="X75" s="300">
        <f t="shared" si="17"/>
        <v>0</v>
      </c>
      <c r="Y75" s="300">
        <f t="shared" si="18"/>
        <v>0</v>
      </c>
      <c r="Z75"/>
      <c r="AA75"/>
      <c r="AB75"/>
    </row>
    <row r="76" spans="1:28" x14ac:dyDescent="0.35">
      <c r="A76" s="299"/>
      <c r="B76" s="515">
        <v>1.6586048752421E-2</v>
      </c>
      <c r="C76" s="515">
        <v>8.7412166279319994E-3</v>
      </c>
      <c r="D76" s="515">
        <v>2.8606459854969328</v>
      </c>
      <c r="E76" s="515">
        <v>9.7701404557800006E-3</v>
      </c>
      <c r="F76" s="515">
        <v>1.719917925798E-2</v>
      </c>
      <c r="G76" s="299"/>
      <c r="H76" s="300">
        <f t="shared" si="10"/>
        <v>0</v>
      </c>
      <c r="I76" s="299"/>
      <c r="J76" s="299"/>
      <c r="K76" s="299"/>
      <c r="L76" s="299"/>
      <c r="M76" s="299"/>
      <c r="N76" s="299"/>
      <c r="O76" s="299"/>
      <c r="P76" s="299"/>
      <c r="Q76" s="298"/>
      <c r="R76" s="300">
        <f t="shared" si="11"/>
        <v>0</v>
      </c>
      <c r="S76" s="300">
        <f t="shared" si="12"/>
        <v>0</v>
      </c>
      <c r="T76" s="300">
        <f t="shared" si="13"/>
        <v>0</v>
      </c>
      <c r="U76" s="300">
        <f t="shared" si="14"/>
        <v>0</v>
      </c>
      <c r="V76" s="300">
        <f t="shared" si="15"/>
        <v>0</v>
      </c>
      <c r="W76" s="300">
        <f t="shared" si="16"/>
        <v>0</v>
      </c>
      <c r="X76" s="300">
        <f t="shared" si="17"/>
        <v>0</v>
      </c>
      <c r="Y76" s="300">
        <f t="shared" si="18"/>
        <v>0</v>
      </c>
      <c r="Z76"/>
      <c r="AA76"/>
      <c r="AB76"/>
    </row>
    <row r="77" spans="1:28" x14ac:dyDescent="0.35">
      <c r="A77" s="299"/>
      <c r="B77" s="515">
        <v>6.8683922854842017</v>
      </c>
      <c r="C77" s="515">
        <v>1.7721910456211999E-2</v>
      </c>
      <c r="D77" s="515">
        <v>1.2270305264092971</v>
      </c>
      <c r="E77" s="515">
        <v>0.155033634448074</v>
      </c>
      <c r="F77" s="515">
        <v>5.5391769260731999E-2</v>
      </c>
      <c r="G77" s="299"/>
      <c r="H77" s="300">
        <f t="shared" si="10"/>
        <v>0</v>
      </c>
      <c r="I77" s="299"/>
      <c r="J77" s="299"/>
      <c r="K77" s="299"/>
      <c r="L77" s="299"/>
      <c r="M77" s="299"/>
      <c r="N77" s="299"/>
      <c r="O77" s="299"/>
      <c r="P77" s="299"/>
      <c r="Q77" s="298"/>
      <c r="R77" s="300">
        <f t="shared" si="11"/>
        <v>0</v>
      </c>
      <c r="S77" s="300">
        <f t="shared" si="12"/>
        <v>0</v>
      </c>
      <c r="T77" s="300">
        <f t="shared" si="13"/>
        <v>0</v>
      </c>
      <c r="U77" s="300">
        <f t="shared" si="14"/>
        <v>0</v>
      </c>
      <c r="V77" s="300">
        <f t="shared" si="15"/>
        <v>0</v>
      </c>
      <c r="W77" s="300">
        <f t="shared" si="16"/>
        <v>0</v>
      </c>
      <c r="X77" s="300">
        <f t="shared" si="17"/>
        <v>0</v>
      </c>
      <c r="Y77" s="300">
        <f t="shared" si="18"/>
        <v>0</v>
      </c>
      <c r="Z77"/>
      <c r="AA77"/>
      <c r="AB77"/>
    </row>
    <row r="78" spans="1:28" x14ac:dyDescent="0.35">
      <c r="A78" s="299"/>
      <c r="B78" s="515">
        <v>1.5661417199468941</v>
      </c>
      <c r="C78" s="515">
        <v>6.6435633850800001E-4</v>
      </c>
      <c r="D78" s="515">
        <v>7.0077090813310001E-3</v>
      </c>
      <c r="E78" s="515">
        <v>6.9808048112201995E-2</v>
      </c>
      <c r="F78" s="515">
        <v>6.6567634430601999E-2</v>
      </c>
      <c r="G78" s="299"/>
      <c r="H78" s="300">
        <f t="shared" si="10"/>
        <v>0</v>
      </c>
      <c r="I78" s="299"/>
      <c r="J78" s="299"/>
      <c r="K78" s="299"/>
      <c r="L78" s="299"/>
      <c r="M78" s="299"/>
      <c r="N78" s="299"/>
      <c r="O78" s="299"/>
      <c r="P78" s="299"/>
      <c r="Q78" s="298"/>
      <c r="R78" s="300">
        <f t="shared" si="11"/>
        <v>0</v>
      </c>
      <c r="S78" s="300">
        <f t="shared" si="12"/>
        <v>0</v>
      </c>
      <c r="T78" s="300">
        <f t="shared" si="13"/>
        <v>0</v>
      </c>
      <c r="U78" s="300">
        <f t="shared" si="14"/>
        <v>0</v>
      </c>
      <c r="V78" s="300">
        <f t="shared" si="15"/>
        <v>0</v>
      </c>
      <c r="W78" s="300">
        <f t="shared" si="16"/>
        <v>0</v>
      </c>
      <c r="X78" s="300">
        <f t="shared" si="17"/>
        <v>0</v>
      </c>
      <c r="Y78" s="300">
        <f t="shared" si="18"/>
        <v>0</v>
      </c>
      <c r="Z78"/>
      <c r="AA78"/>
      <c r="AB78"/>
    </row>
    <row r="79" spans="1:28" x14ac:dyDescent="0.35">
      <c r="A79" s="299"/>
      <c r="B79" s="515">
        <v>18.26897040784246</v>
      </c>
      <c r="C79" s="515">
        <v>0.16681958736595001</v>
      </c>
      <c r="D79" s="515">
        <v>3.3262765121001721</v>
      </c>
      <c r="E79" s="515">
        <v>0.25278060759252902</v>
      </c>
      <c r="F79" s="515">
        <v>2.9101037871179999E-3</v>
      </c>
      <c r="G79" s="299"/>
      <c r="H79" s="300">
        <f t="shared" si="10"/>
        <v>0</v>
      </c>
      <c r="I79" s="299"/>
      <c r="J79" s="299"/>
      <c r="K79" s="299"/>
      <c r="L79" s="299"/>
      <c r="M79" s="299"/>
      <c r="N79" s="299"/>
      <c r="O79" s="299"/>
      <c r="P79" s="299"/>
      <c r="Q79" s="298"/>
      <c r="R79" s="300">
        <f t="shared" si="11"/>
        <v>0</v>
      </c>
      <c r="S79" s="300">
        <f t="shared" si="12"/>
        <v>0</v>
      </c>
      <c r="T79" s="300">
        <f t="shared" si="13"/>
        <v>0</v>
      </c>
      <c r="U79" s="300">
        <f t="shared" si="14"/>
        <v>0</v>
      </c>
      <c r="V79" s="300">
        <f t="shared" si="15"/>
        <v>0</v>
      </c>
      <c r="W79" s="300">
        <f t="shared" si="16"/>
        <v>0</v>
      </c>
      <c r="X79" s="300">
        <f t="shared" si="17"/>
        <v>0</v>
      </c>
      <c r="Y79" s="300">
        <f t="shared" si="18"/>
        <v>0</v>
      </c>
      <c r="Z79"/>
      <c r="AA79"/>
      <c r="AB79"/>
    </row>
    <row r="80" spans="1:28" x14ac:dyDescent="0.35">
      <c r="A80" s="299"/>
      <c r="B80" s="515">
        <v>6.7273149784361996E-2</v>
      </c>
      <c r="C80" s="515">
        <v>6.6990894981329999E-2</v>
      </c>
      <c r="D80" s="515">
        <v>7.0168075364700003E-3</v>
      </c>
      <c r="E80" s="515">
        <v>8.0463698007114004E-2</v>
      </c>
      <c r="F80" s="515">
        <v>5.8561387545533E-2</v>
      </c>
      <c r="G80" s="299"/>
      <c r="H80" s="300">
        <f t="shared" si="10"/>
        <v>0</v>
      </c>
      <c r="I80" s="299"/>
      <c r="J80" s="1"/>
      <c r="K80" s="299"/>
      <c r="L80" s="1"/>
      <c r="M80" s="299"/>
      <c r="N80" s="299"/>
      <c r="O80" s="299"/>
      <c r="P80" s="299"/>
      <c r="Q80" s="298"/>
      <c r="R80" s="300">
        <f t="shared" si="11"/>
        <v>0</v>
      </c>
      <c r="S80" s="300">
        <f t="shared" si="12"/>
        <v>0</v>
      </c>
      <c r="T80" s="300">
        <f t="shared" si="13"/>
        <v>0</v>
      </c>
      <c r="U80" s="300">
        <f t="shared" si="14"/>
        <v>0</v>
      </c>
      <c r="V80" s="300">
        <f t="shared" si="15"/>
        <v>0</v>
      </c>
      <c r="W80" s="300">
        <f t="shared" si="16"/>
        <v>0</v>
      </c>
      <c r="X80" s="300">
        <f t="shared" si="17"/>
        <v>0</v>
      </c>
      <c r="Y80" s="300">
        <f t="shared" si="18"/>
        <v>0</v>
      </c>
      <c r="Z80"/>
      <c r="AA80"/>
      <c r="AB80"/>
    </row>
    <row r="81" spans="1:28" x14ac:dyDescent="0.35">
      <c r="A81" s="299"/>
      <c r="B81" s="515">
        <v>0.90569140323293196</v>
      </c>
      <c r="C81" s="515">
        <v>8.7037371760288001E-2</v>
      </c>
      <c r="D81" s="515">
        <v>1.472574171032889</v>
      </c>
      <c r="E81" s="515">
        <v>0.19263256270423401</v>
      </c>
      <c r="F81" s="515">
        <v>1.8707872357416999E-2</v>
      </c>
      <c r="G81" s="299"/>
      <c r="H81" s="300">
        <f t="shared" si="10"/>
        <v>0</v>
      </c>
      <c r="I81" s="299"/>
      <c r="J81" s="1"/>
      <c r="K81" s="299"/>
      <c r="L81" s="1"/>
      <c r="M81" s="299"/>
      <c r="N81" s="299"/>
      <c r="O81" s="299"/>
      <c r="P81" s="299"/>
      <c r="Q81" s="298"/>
      <c r="R81" s="300">
        <f t="shared" si="11"/>
        <v>0</v>
      </c>
      <c r="S81" s="300">
        <f t="shared" si="12"/>
        <v>0</v>
      </c>
      <c r="T81" s="300">
        <f t="shared" si="13"/>
        <v>0</v>
      </c>
      <c r="U81" s="300">
        <f t="shared" si="14"/>
        <v>0</v>
      </c>
      <c r="V81" s="300">
        <f t="shared" si="15"/>
        <v>0</v>
      </c>
      <c r="W81" s="300">
        <f t="shared" si="16"/>
        <v>0</v>
      </c>
      <c r="X81" s="300">
        <f t="shared" si="17"/>
        <v>0</v>
      </c>
      <c r="Y81" s="300">
        <f t="shared" si="18"/>
        <v>0</v>
      </c>
      <c r="Z81"/>
      <c r="AA81"/>
      <c r="AB81"/>
    </row>
    <row r="82" spans="1:28" x14ac:dyDescent="0.35">
      <c r="A82" s="299"/>
      <c r="B82" s="515">
        <v>0.100492990335822</v>
      </c>
      <c r="C82" s="515">
        <v>5.4071749132609002E-2</v>
      </c>
      <c r="D82" s="515">
        <v>0.11483533818703701</v>
      </c>
      <c r="E82" s="515">
        <v>0.111018247369349</v>
      </c>
      <c r="F82" s="515">
        <v>5.2557808370787003E-2</v>
      </c>
      <c r="G82" s="299"/>
      <c r="H82" s="300">
        <f t="shared" si="10"/>
        <v>0</v>
      </c>
      <c r="I82" s="299"/>
      <c r="J82" s="1"/>
      <c r="K82" s="299"/>
      <c r="L82" s="1"/>
      <c r="M82" s="299"/>
      <c r="N82" s="299"/>
      <c r="O82" s="299"/>
      <c r="P82" s="299"/>
      <c r="Q82" s="298"/>
      <c r="R82" s="300">
        <f t="shared" si="11"/>
        <v>0</v>
      </c>
      <c r="S82" s="300">
        <f t="shared" si="12"/>
        <v>0</v>
      </c>
      <c r="T82" s="300">
        <f t="shared" si="13"/>
        <v>0</v>
      </c>
      <c r="U82" s="300">
        <f t="shared" si="14"/>
        <v>0</v>
      </c>
      <c r="V82" s="300">
        <f t="shared" si="15"/>
        <v>0</v>
      </c>
      <c r="W82" s="300">
        <f t="shared" si="16"/>
        <v>0</v>
      </c>
      <c r="X82" s="300">
        <f t="shared" si="17"/>
        <v>0</v>
      </c>
      <c r="Y82" s="300">
        <f t="shared" si="18"/>
        <v>0</v>
      </c>
      <c r="Z82"/>
      <c r="AA82"/>
      <c r="AB82"/>
    </row>
    <row r="83" spans="1:28" x14ac:dyDescent="0.35">
      <c r="A83" s="299"/>
      <c r="B83" s="515">
        <v>10.155425181409431</v>
      </c>
      <c r="C83" s="515">
        <v>-2.2428264567224541</v>
      </c>
      <c r="D83" s="515">
        <v>1.0850032575558071</v>
      </c>
      <c r="E83" s="515">
        <v>0.27099345144616099</v>
      </c>
      <c r="F83" s="515">
        <v>7.3630542668446E-2</v>
      </c>
      <c r="G83" s="299"/>
      <c r="H83" s="300">
        <f t="shared" si="10"/>
        <v>0</v>
      </c>
      <c r="I83" s="299"/>
      <c r="J83" s="1"/>
      <c r="K83" s="299"/>
      <c r="L83" s="1"/>
      <c r="M83" s="299"/>
      <c r="N83" s="299"/>
      <c r="O83" s="299"/>
      <c r="P83" s="299"/>
      <c r="Q83" s="298"/>
      <c r="R83" s="300">
        <f t="shared" si="11"/>
        <v>0</v>
      </c>
      <c r="S83" s="300">
        <f t="shared" si="12"/>
        <v>0</v>
      </c>
      <c r="T83" s="300">
        <f t="shared" si="13"/>
        <v>0</v>
      </c>
      <c r="U83" s="300">
        <f t="shared" si="14"/>
        <v>0</v>
      </c>
      <c r="V83" s="300">
        <f t="shared" si="15"/>
        <v>0</v>
      </c>
      <c r="W83" s="300">
        <f t="shared" si="16"/>
        <v>0</v>
      </c>
      <c r="X83" s="300">
        <f t="shared" si="17"/>
        <v>0</v>
      </c>
      <c r="Y83" s="300">
        <f t="shared" si="18"/>
        <v>0</v>
      </c>
      <c r="Z83"/>
      <c r="AA83"/>
      <c r="AB83"/>
    </row>
    <row r="84" spans="1:28" x14ac:dyDescent="0.35">
      <c r="A84" s="299"/>
      <c r="B84" s="515">
        <v>11.50702955752975</v>
      </c>
      <c r="C84" s="515">
        <v>0.16740148307046501</v>
      </c>
      <c r="D84" s="515">
        <v>1.181105931421454</v>
      </c>
      <c r="E84" s="515">
        <v>8.4487782762790994E-2</v>
      </c>
      <c r="F84" s="515">
        <v>7.2172640850424005E-2</v>
      </c>
      <c r="G84" s="299"/>
      <c r="H84" s="300">
        <f t="shared" si="10"/>
        <v>0</v>
      </c>
      <c r="I84" s="299"/>
      <c r="J84" s="1"/>
      <c r="K84" s="299"/>
      <c r="L84" s="1"/>
      <c r="M84" s="299"/>
      <c r="N84" s="299"/>
      <c r="O84" s="299"/>
      <c r="P84" s="299"/>
      <c r="Q84" s="298"/>
      <c r="R84" s="300">
        <f t="shared" si="11"/>
        <v>0</v>
      </c>
      <c r="S84" s="300">
        <f t="shared" si="12"/>
        <v>0</v>
      </c>
      <c r="T84" s="300">
        <f t="shared" si="13"/>
        <v>0</v>
      </c>
      <c r="U84" s="300">
        <f t="shared" si="14"/>
        <v>0</v>
      </c>
      <c r="V84" s="300">
        <f t="shared" si="15"/>
        <v>0</v>
      </c>
      <c r="W84" s="300">
        <f t="shared" si="16"/>
        <v>0</v>
      </c>
      <c r="X84" s="300">
        <f t="shared" si="17"/>
        <v>0</v>
      </c>
      <c r="Y84" s="300">
        <f t="shared" si="18"/>
        <v>0</v>
      </c>
      <c r="Z84"/>
      <c r="AA84"/>
      <c r="AB84"/>
    </row>
    <row r="85" spans="1:28" x14ac:dyDescent="0.35">
      <c r="A85" s="299"/>
      <c r="B85" s="515">
        <v>10.85342473877029</v>
      </c>
      <c r="C85" s="515">
        <v>0.16799964312686999</v>
      </c>
      <c r="D85" s="515">
        <v>1.345547773200898</v>
      </c>
      <c r="E85" s="515">
        <v>5.8551651300000002E-7</v>
      </c>
      <c r="F85" s="515">
        <v>7.6096322000007002E-2</v>
      </c>
      <c r="G85" s="299"/>
      <c r="H85" s="300">
        <f t="shared" si="10"/>
        <v>0</v>
      </c>
      <c r="I85" s="299"/>
      <c r="J85" s="1"/>
      <c r="K85" s="299"/>
      <c r="L85" s="1"/>
      <c r="M85" s="299"/>
      <c r="N85" s="299"/>
      <c r="O85" s="299"/>
      <c r="P85" s="299"/>
      <c r="Q85" s="298"/>
      <c r="R85" s="300">
        <f t="shared" si="11"/>
        <v>0</v>
      </c>
      <c r="S85" s="300">
        <f t="shared" si="12"/>
        <v>0</v>
      </c>
      <c r="T85" s="300">
        <f t="shared" si="13"/>
        <v>0</v>
      </c>
      <c r="U85" s="300">
        <f t="shared" si="14"/>
        <v>0</v>
      </c>
      <c r="V85" s="300">
        <f t="shared" si="15"/>
        <v>0</v>
      </c>
      <c r="W85" s="300">
        <f t="shared" si="16"/>
        <v>0</v>
      </c>
      <c r="X85" s="300">
        <f t="shared" si="17"/>
        <v>0</v>
      </c>
      <c r="Y85" s="300">
        <f t="shared" si="18"/>
        <v>0</v>
      </c>
      <c r="Z85"/>
      <c r="AA85"/>
      <c r="AB85"/>
    </row>
    <row r="86" spans="1:28" x14ac:dyDescent="0.35">
      <c r="A86" s="299"/>
      <c r="B86" s="515">
        <v>1.185616103160906</v>
      </c>
      <c r="C86" s="515">
        <v>6.7847229349722996E-2</v>
      </c>
      <c r="D86" s="515">
        <v>7.0019797584630001E-3</v>
      </c>
      <c r="E86" s="515">
        <v>0.10564620754835501</v>
      </c>
      <c r="F86" s="515">
        <v>5.9031645660503999E-2</v>
      </c>
      <c r="G86" s="299"/>
      <c r="H86" s="300">
        <f t="shared" si="10"/>
        <v>0</v>
      </c>
      <c r="I86" s="299"/>
      <c r="J86" s="1"/>
      <c r="K86" s="299"/>
      <c r="L86" s="1"/>
      <c r="M86" s="299"/>
      <c r="N86" s="299"/>
      <c r="O86" s="299"/>
      <c r="P86" s="299"/>
      <c r="Q86" s="298"/>
      <c r="R86" s="300">
        <f t="shared" si="11"/>
        <v>0</v>
      </c>
      <c r="S86" s="300">
        <f t="shared" si="12"/>
        <v>0</v>
      </c>
      <c r="T86" s="300">
        <f t="shared" si="13"/>
        <v>0</v>
      </c>
      <c r="U86" s="300">
        <f t="shared" si="14"/>
        <v>0</v>
      </c>
      <c r="V86" s="300">
        <f t="shared" si="15"/>
        <v>0</v>
      </c>
      <c r="W86" s="300">
        <f t="shared" si="16"/>
        <v>0</v>
      </c>
      <c r="X86" s="300">
        <f t="shared" si="17"/>
        <v>0</v>
      </c>
      <c r="Y86" s="300">
        <f t="shared" si="18"/>
        <v>0</v>
      </c>
      <c r="Z86"/>
      <c r="AA86"/>
      <c r="AB86"/>
    </row>
    <row r="87" spans="1:28" x14ac:dyDescent="0.35">
      <c r="A87" s="299"/>
      <c r="B87" s="515">
        <v>0.75599410012052104</v>
      </c>
      <c r="C87" s="515">
        <v>6.4452154922505001E-2</v>
      </c>
      <c r="D87" s="515">
        <v>1.9193895012755859</v>
      </c>
      <c r="E87" s="515">
        <v>0.22986945499481601</v>
      </c>
      <c r="F87" s="515">
        <v>6.0559398007959996E-3</v>
      </c>
      <c r="G87" s="299"/>
      <c r="H87" s="300">
        <f t="shared" si="10"/>
        <v>0</v>
      </c>
      <c r="I87" s="299"/>
      <c r="J87" s="1"/>
      <c r="K87" s="299"/>
      <c r="L87" s="1"/>
      <c r="M87" s="299"/>
      <c r="N87" s="299"/>
      <c r="O87" s="299"/>
      <c r="P87" s="299"/>
      <c r="Q87" s="298"/>
      <c r="R87" s="300">
        <f t="shared" si="11"/>
        <v>0</v>
      </c>
      <c r="S87" s="300">
        <f t="shared" si="12"/>
        <v>0</v>
      </c>
      <c r="T87" s="300">
        <f t="shared" si="13"/>
        <v>0</v>
      </c>
      <c r="U87" s="300">
        <f t="shared" si="14"/>
        <v>0</v>
      </c>
      <c r="V87" s="300">
        <f t="shared" si="15"/>
        <v>0</v>
      </c>
      <c r="W87" s="300">
        <f t="shared" si="16"/>
        <v>0</v>
      </c>
      <c r="X87" s="300">
        <f t="shared" si="17"/>
        <v>0</v>
      </c>
      <c r="Y87" s="300">
        <f t="shared" si="18"/>
        <v>0</v>
      </c>
      <c r="Z87"/>
      <c r="AA87"/>
      <c r="AB87"/>
    </row>
    <row r="88" spans="1:28" x14ac:dyDescent="0.35">
      <c r="A88" s="299"/>
      <c r="B88" s="515">
        <v>0.123985406109137</v>
      </c>
      <c r="C88" s="515">
        <v>6.6979364624166995E-2</v>
      </c>
      <c r="D88" s="515">
        <v>0.27876134269047897</v>
      </c>
      <c r="E88" s="515">
        <v>0.119644343736147</v>
      </c>
      <c r="F88" s="515">
        <v>4.8296864128167999E-2</v>
      </c>
      <c r="G88" s="299"/>
      <c r="H88" s="300">
        <f t="shared" si="10"/>
        <v>0</v>
      </c>
      <c r="I88" s="299"/>
      <c r="J88" s="1"/>
      <c r="K88" s="299"/>
      <c r="L88" s="1"/>
      <c r="M88" s="299"/>
      <c r="N88" s="299"/>
      <c r="O88" s="299"/>
      <c r="P88" s="299"/>
      <c r="Q88" s="298"/>
      <c r="R88" s="300">
        <f t="shared" si="11"/>
        <v>0</v>
      </c>
      <c r="S88" s="300">
        <f t="shared" si="12"/>
        <v>0</v>
      </c>
      <c r="T88" s="300">
        <f t="shared" si="13"/>
        <v>0</v>
      </c>
      <c r="U88" s="300">
        <f t="shared" si="14"/>
        <v>0</v>
      </c>
      <c r="V88" s="300">
        <f t="shared" si="15"/>
        <v>0</v>
      </c>
      <c r="W88" s="300">
        <f t="shared" si="16"/>
        <v>0</v>
      </c>
      <c r="X88" s="300">
        <f t="shared" si="17"/>
        <v>0</v>
      </c>
      <c r="Y88" s="300">
        <f t="shared" si="18"/>
        <v>0</v>
      </c>
      <c r="Z88"/>
      <c r="AA88"/>
      <c r="AB88"/>
    </row>
    <row r="89" spans="1:28" x14ac:dyDescent="0.35">
      <c r="A89" s="299"/>
      <c r="B89" s="515">
        <v>0.95097430030979702</v>
      </c>
      <c r="C89" s="515">
        <v>-0.56536850309632003</v>
      </c>
      <c r="D89" s="515">
        <v>1.30511269021E-2</v>
      </c>
      <c r="E89" s="515">
        <v>0.12046123577409</v>
      </c>
      <c r="F89" s="515">
        <v>6.3633358614159002E-2</v>
      </c>
      <c r="G89" s="299"/>
      <c r="H89" s="300">
        <f t="shared" si="10"/>
        <v>0</v>
      </c>
      <c r="I89" s="299"/>
      <c r="J89" s="1"/>
      <c r="K89" s="299"/>
      <c r="L89" s="1"/>
      <c r="M89" s="299"/>
      <c r="N89" s="299"/>
      <c r="O89" s="299"/>
      <c r="P89" s="299"/>
      <c r="Q89" s="298"/>
      <c r="R89" s="300">
        <f t="shared" si="11"/>
        <v>0</v>
      </c>
      <c r="S89" s="300">
        <f t="shared" si="12"/>
        <v>0</v>
      </c>
      <c r="T89" s="300">
        <f t="shared" si="13"/>
        <v>0</v>
      </c>
      <c r="U89" s="300">
        <f t="shared" si="14"/>
        <v>0</v>
      </c>
      <c r="V89" s="300">
        <f t="shared" si="15"/>
        <v>0</v>
      </c>
      <c r="W89" s="300">
        <f t="shared" si="16"/>
        <v>0</v>
      </c>
      <c r="X89" s="300">
        <f t="shared" si="17"/>
        <v>0</v>
      </c>
      <c r="Y89" s="300">
        <f t="shared" si="18"/>
        <v>0</v>
      </c>
      <c r="Z89"/>
      <c r="AA89"/>
      <c r="AB89"/>
    </row>
    <row r="90" spans="1:28" x14ac:dyDescent="0.35">
      <c r="A90" s="299"/>
      <c r="B90" s="515">
        <v>0.89147697415181204</v>
      </c>
      <c r="C90" s="515">
        <v>-0.48346220768293202</v>
      </c>
      <c r="D90" s="515">
        <v>1.8740069805703119</v>
      </c>
      <c r="E90" s="515">
        <v>1.8711217371599999E-4</v>
      </c>
      <c r="F90" s="515">
        <v>5.135024553103E-2</v>
      </c>
      <c r="G90" s="299"/>
      <c r="H90" s="300">
        <f t="shared" si="10"/>
        <v>0</v>
      </c>
      <c r="I90" s="299"/>
      <c r="J90" s="1"/>
      <c r="K90" s="299"/>
      <c r="L90" s="1"/>
      <c r="M90" s="299"/>
      <c r="N90" s="299"/>
      <c r="O90" s="299"/>
      <c r="P90" s="299"/>
      <c r="Q90" s="298"/>
      <c r="R90" s="300">
        <f t="shared" si="11"/>
        <v>0</v>
      </c>
      <c r="S90" s="300">
        <f t="shared" si="12"/>
        <v>0</v>
      </c>
      <c r="T90" s="300">
        <f t="shared" si="13"/>
        <v>0</v>
      </c>
      <c r="U90" s="300">
        <f t="shared" si="14"/>
        <v>0</v>
      </c>
      <c r="V90" s="300">
        <f t="shared" si="15"/>
        <v>0</v>
      </c>
      <c r="W90" s="300">
        <f t="shared" si="16"/>
        <v>0</v>
      </c>
      <c r="X90" s="300">
        <f t="shared" si="17"/>
        <v>0</v>
      </c>
      <c r="Y90" s="300">
        <f t="shared" si="18"/>
        <v>0</v>
      </c>
      <c r="Z90"/>
      <c r="AA90"/>
      <c r="AB90"/>
    </row>
    <row r="91" spans="1:28" x14ac:dyDescent="0.35">
      <c r="A91" s="299"/>
      <c r="B91" s="515">
        <v>9.8807455276699995E-4</v>
      </c>
      <c r="C91" s="515">
        <v>2.7870503162330001E-2</v>
      </c>
      <c r="D91" s="515">
        <v>1.9820159974183429</v>
      </c>
      <c r="E91" s="515">
        <v>0.224418524715954</v>
      </c>
      <c r="F91" s="515">
        <v>5.1635828411449999E-3</v>
      </c>
      <c r="G91" s="299"/>
      <c r="H91" s="300">
        <f t="shared" si="10"/>
        <v>0</v>
      </c>
      <c r="I91" s="299"/>
      <c r="J91" s="1"/>
      <c r="K91" s="299"/>
      <c r="L91" s="1"/>
      <c r="M91" s="299"/>
      <c r="N91" s="299"/>
      <c r="O91" s="299"/>
      <c r="P91" s="299"/>
      <c r="Q91" s="298"/>
      <c r="R91" s="300">
        <f t="shared" si="11"/>
        <v>0</v>
      </c>
      <c r="S91" s="300">
        <f t="shared" si="12"/>
        <v>0</v>
      </c>
      <c r="T91" s="300">
        <f t="shared" si="13"/>
        <v>0</v>
      </c>
      <c r="U91" s="300">
        <f t="shared" si="14"/>
        <v>0</v>
      </c>
      <c r="V91" s="300">
        <f t="shared" si="15"/>
        <v>0</v>
      </c>
      <c r="W91" s="300">
        <f t="shared" si="16"/>
        <v>0</v>
      </c>
      <c r="X91" s="300">
        <f t="shared" si="17"/>
        <v>0</v>
      </c>
      <c r="Y91" s="300">
        <f t="shared" si="18"/>
        <v>0</v>
      </c>
      <c r="Z91"/>
      <c r="AA91"/>
      <c r="AB91"/>
    </row>
    <row r="92" spans="1:28" x14ac:dyDescent="0.35">
      <c r="A92" s="299"/>
      <c r="B92" s="515">
        <v>14.676430464103079</v>
      </c>
      <c r="C92" s="515">
        <v>-0.31005147810609401</v>
      </c>
      <c r="D92" s="515">
        <v>1.5375734008403661</v>
      </c>
      <c r="E92" s="515">
        <v>0.16405290734709599</v>
      </c>
      <c r="F92" s="515">
        <v>7.6167019323275006E-2</v>
      </c>
      <c r="G92" s="299"/>
      <c r="H92" s="300">
        <f t="shared" si="10"/>
        <v>0</v>
      </c>
      <c r="I92" s="299"/>
      <c r="J92" s="1"/>
      <c r="K92" s="299"/>
      <c r="L92" s="1"/>
      <c r="M92" s="299"/>
      <c r="N92" s="299"/>
      <c r="O92" s="299"/>
      <c r="P92" s="299"/>
      <c r="Q92" s="298"/>
      <c r="R92" s="300">
        <f t="shared" si="11"/>
        <v>0</v>
      </c>
      <c r="S92" s="300">
        <f t="shared" si="12"/>
        <v>0</v>
      </c>
      <c r="T92" s="300">
        <f t="shared" si="13"/>
        <v>0</v>
      </c>
      <c r="U92" s="300">
        <f t="shared" si="14"/>
        <v>0</v>
      </c>
      <c r="V92" s="300">
        <f t="shared" si="15"/>
        <v>0</v>
      </c>
      <c r="W92" s="300">
        <f t="shared" si="16"/>
        <v>0</v>
      </c>
      <c r="X92" s="300">
        <f t="shared" si="17"/>
        <v>0</v>
      </c>
      <c r="Y92" s="300">
        <f t="shared" si="18"/>
        <v>0</v>
      </c>
      <c r="Z92"/>
      <c r="AA92"/>
      <c r="AB92"/>
    </row>
    <row r="93" spans="1:28" x14ac:dyDescent="0.35">
      <c r="A93" s="299"/>
      <c r="B93" s="515">
        <v>6.0720806932081102</v>
      </c>
      <c r="C93" s="515">
        <v>0.16796789564024101</v>
      </c>
      <c r="D93" s="515">
        <v>7.132887277124E-3</v>
      </c>
      <c r="E93" s="515">
        <v>6.4906000401610004E-3</v>
      </c>
      <c r="F93" s="515">
        <v>8.0123717579192996E-2</v>
      </c>
      <c r="G93" s="299"/>
      <c r="H93" s="300">
        <f t="shared" si="10"/>
        <v>0</v>
      </c>
      <c r="I93" s="299"/>
      <c r="J93" s="1"/>
      <c r="K93" s="299"/>
      <c r="L93" s="1"/>
      <c r="M93" s="299"/>
      <c r="N93" s="299"/>
      <c r="O93" s="299"/>
      <c r="P93" s="299"/>
      <c r="Q93" s="298"/>
      <c r="R93" s="300">
        <f t="shared" si="11"/>
        <v>0</v>
      </c>
      <c r="S93" s="300">
        <f t="shared" si="12"/>
        <v>0</v>
      </c>
      <c r="T93" s="300">
        <f t="shared" si="13"/>
        <v>0</v>
      </c>
      <c r="U93" s="300">
        <f t="shared" si="14"/>
        <v>0</v>
      </c>
      <c r="V93" s="300">
        <f t="shared" si="15"/>
        <v>0</v>
      </c>
      <c r="W93" s="300">
        <f t="shared" si="16"/>
        <v>0</v>
      </c>
      <c r="X93" s="300">
        <f t="shared" si="17"/>
        <v>0</v>
      </c>
      <c r="Y93" s="300">
        <f t="shared" si="18"/>
        <v>0</v>
      </c>
      <c r="Z93"/>
      <c r="AA93"/>
      <c r="AB93"/>
    </row>
    <row r="94" spans="1:28" x14ac:dyDescent="0.35">
      <c r="A94" s="299"/>
      <c r="B94" s="515">
        <v>2.244116843E-6</v>
      </c>
      <c r="C94" s="515">
        <v>-1.873235103119685</v>
      </c>
      <c r="D94" s="515">
        <v>2.4982247151708639</v>
      </c>
      <c r="E94" s="515">
        <v>0.27098846198827797</v>
      </c>
      <c r="F94" s="515">
        <v>3.5925161630779999E-3</v>
      </c>
      <c r="G94" s="299"/>
      <c r="H94" s="300">
        <f t="shared" si="10"/>
        <v>0</v>
      </c>
      <c r="I94" s="299"/>
      <c r="J94" s="1"/>
      <c r="K94" s="299"/>
      <c r="L94" s="1"/>
      <c r="M94" s="299"/>
      <c r="N94" s="299"/>
      <c r="O94" s="299"/>
      <c r="P94" s="299"/>
      <c r="Q94" s="298"/>
      <c r="R94" s="300">
        <f t="shared" si="11"/>
        <v>0</v>
      </c>
      <c r="S94" s="300">
        <f t="shared" si="12"/>
        <v>0</v>
      </c>
      <c r="T94" s="300">
        <f t="shared" si="13"/>
        <v>0</v>
      </c>
      <c r="U94" s="300">
        <f t="shared" si="14"/>
        <v>0</v>
      </c>
      <c r="V94" s="300">
        <f t="shared" si="15"/>
        <v>0</v>
      </c>
      <c r="W94" s="300">
        <f t="shared" si="16"/>
        <v>0</v>
      </c>
      <c r="X94" s="300">
        <f t="shared" si="17"/>
        <v>0</v>
      </c>
      <c r="Y94" s="300">
        <f t="shared" si="18"/>
        <v>0</v>
      </c>
      <c r="Z94"/>
      <c r="AA94"/>
      <c r="AB94"/>
    </row>
    <row r="95" spans="1:28" x14ac:dyDescent="0.35">
      <c r="A95" s="299"/>
      <c r="B95" s="515">
        <v>5.4246488692707331</v>
      </c>
      <c r="C95" s="515">
        <v>0.113863335040273</v>
      </c>
      <c r="D95" s="515">
        <v>0.27866942510090698</v>
      </c>
      <c r="E95" s="515">
        <v>9.2838654420916003E-2</v>
      </c>
      <c r="F95" s="515">
        <v>6.8201887254900007E-2</v>
      </c>
      <c r="G95" s="299"/>
      <c r="H95" s="300">
        <f t="shared" si="10"/>
        <v>0</v>
      </c>
      <c r="I95" s="299"/>
      <c r="J95" s="1"/>
      <c r="K95" s="299"/>
      <c r="L95" s="1"/>
      <c r="M95" s="299"/>
      <c r="N95" s="299"/>
      <c r="O95" s="299"/>
      <c r="P95" s="299"/>
      <c r="Q95" s="298"/>
      <c r="R95" s="300">
        <f t="shared" si="11"/>
        <v>0</v>
      </c>
      <c r="S95" s="300">
        <f t="shared" si="12"/>
        <v>0</v>
      </c>
      <c r="T95" s="300">
        <f t="shared" si="13"/>
        <v>0</v>
      </c>
      <c r="U95" s="300">
        <f t="shared" si="14"/>
        <v>0</v>
      </c>
      <c r="V95" s="300">
        <f t="shared" si="15"/>
        <v>0</v>
      </c>
      <c r="W95" s="300">
        <f t="shared" si="16"/>
        <v>0</v>
      </c>
      <c r="X95" s="300">
        <f t="shared" si="17"/>
        <v>0</v>
      </c>
      <c r="Y95" s="300">
        <f t="shared" si="18"/>
        <v>0</v>
      </c>
      <c r="Z95"/>
      <c r="AA95"/>
      <c r="AB95"/>
    </row>
    <row r="96" spans="1:28" x14ac:dyDescent="0.35">
      <c r="A96" s="299"/>
      <c r="B96" s="515">
        <v>1.522166755706E-2</v>
      </c>
      <c r="C96" s="515">
        <v>-2.2401987507590999E-2</v>
      </c>
      <c r="D96" s="515">
        <v>1.4138595344179781</v>
      </c>
      <c r="E96" s="515">
        <v>0.115673744143953</v>
      </c>
      <c r="F96" s="515">
        <v>3.3247231419346997E-2</v>
      </c>
      <c r="G96" s="299"/>
      <c r="H96" s="300">
        <f t="shared" si="10"/>
        <v>0</v>
      </c>
      <c r="I96" s="299"/>
      <c r="J96" s="1"/>
      <c r="K96" s="299"/>
      <c r="L96" s="1"/>
      <c r="M96" s="299"/>
      <c r="N96" s="299"/>
      <c r="O96" s="299"/>
      <c r="P96" s="299"/>
      <c r="Q96" s="298"/>
      <c r="R96" s="300">
        <f t="shared" si="11"/>
        <v>0</v>
      </c>
      <c r="S96" s="300">
        <f t="shared" si="12"/>
        <v>0</v>
      </c>
      <c r="T96" s="300">
        <f t="shared" si="13"/>
        <v>0</v>
      </c>
      <c r="U96" s="300">
        <f t="shared" si="14"/>
        <v>0</v>
      </c>
      <c r="V96" s="300">
        <f t="shared" si="15"/>
        <v>0</v>
      </c>
      <c r="W96" s="300">
        <f t="shared" si="16"/>
        <v>0</v>
      </c>
      <c r="X96" s="300">
        <f t="shared" si="17"/>
        <v>0</v>
      </c>
      <c r="Y96" s="300">
        <f t="shared" si="18"/>
        <v>0</v>
      </c>
      <c r="Z96"/>
      <c r="AA96"/>
      <c r="AB96"/>
    </row>
    <row r="97" spans="1:28" x14ac:dyDescent="0.35">
      <c r="A97" s="299"/>
      <c r="B97" s="515">
        <v>5.7422967131813731</v>
      </c>
      <c r="C97" s="515">
        <v>-1.093862516101298</v>
      </c>
      <c r="D97" s="515">
        <v>1.3506947959179381</v>
      </c>
      <c r="E97" s="515">
        <v>0.12607411781656799</v>
      </c>
      <c r="F97" s="515">
        <v>6.4665347080053004E-2</v>
      </c>
      <c r="G97" s="299"/>
      <c r="H97" s="300">
        <f t="shared" si="10"/>
        <v>0</v>
      </c>
      <c r="I97" s="299"/>
      <c r="J97" s="1"/>
      <c r="K97" s="299"/>
      <c r="L97" s="1"/>
      <c r="M97" s="299"/>
      <c r="N97" s="299"/>
      <c r="O97" s="299"/>
      <c r="P97" s="299"/>
      <c r="Q97" s="298"/>
      <c r="R97" s="300">
        <f t="shared" si="11"/>
        <v>0</v>
      </c>
      <c r="S97" s="300">
        <f t="shared" si="12"/>
        <v>0</v>
      </c>
      <c r="T97" s="300">
        <f t="shared" si="13"/>
        <v>0</v>
      </c>
      <c r="U97" s="300">
        <f t="shared" si="14"/>
        <v>0</v>
      </c>
      <c r="V97" s="300">
        <f t="shared" si="15"/>
        <v>0</v>
      </c>
      <c r="W97" s="300">
        <f t="shared" si="16"/>
        <v>0</v>
      </c>
      <c r="X97" s="300">
        <f t="shared" si="17"/>
        <v>0</v>
      </c>
      <c r="Y97" s="300">
        <f t="shared" si="18"/>
        <v>0</v>
      </c>
      <c r="Z97"/>
      <c r="AA97"/>
      <c r="AB97"/>
    </row>
    <row r="98" spans="1:28" x14ac:dyDescent="0.35">
      <c r="A98" s="299"/>
      <c r="B98" s="515">
        <v>6.2536535751582994E-2</v>
      </c>
      <c r="C98" s="515">
        <v>-1.88787761148279</v>
      </c>
      <c r="D98" s="515">
        <v>1.180187513723107</v>
      </c>
      <c r="E98" s="515">
        <v>0.12900726092957601</v>
      </c>
      <c r="F98" s="515">
        <v>5.5479270666382002E-2</v>
      </c>
      <c r="G98" s="299"/>
      <c r="H98" s="300">
        <f t="shared" si="10"/>
        <v>0</v>
      </c>
      <c r="I98" s="299"/>
      <c r="J98" s="1"/>
      <c r="K98" s="299"/>
      <c r="L98" s="1"/>
      <c r="M98" s="299"/>
      <c r="N98" s="299"/>
      <c r="O98" s="299"/>
      <c r="P98" s="299"/>
      <c r="Q98" s="298"/>
      <c r="R98" s="300">
        <f t="shared" si="11"/>
        <v>0</v>
      </c>
      <c r="S98" s="300">
        <f t="shared" si="12"/>
        <v>0</v>
      </c>
      <c r="T98" s="300">
        <f t="shared" si="13"/>
        <v>0</v>
      </c>
      <c r="U98" s="300">
        <f t="shared" si="14"/>
        <v>0</v>
      </c>
      <c r="V98" s="300">
        <f t="shared" si="15"/>
        <v>0</v>
      </c>
      <c r="W98" s="300">
        <f t="shared" si="16"/>
        <v>0</v>
      </c>
      <c r="X98" s="300">
        <f t="shared" si="17"/>
        <v>0</v>
      </c>
      <c r="Y98" s="300">
        <f t="shared" si="18"/>
        <v>0</v>
      </c>
      <c r="Z98"/>
      <c r="AA98"/>
      <c r="AB98"/>
    </row>
    <row r="99" spans="1:28" x14ac:dyDescent="0.35">
      <c r="A99" s="299"/>
      <c r="B99" s="515">
        <v>0.23711646782822299</v>
      </c>
      <c r="C99" s="515">
        <v>-0.39080048592031102</v>
      </c>
      <c r="D99" s="515">
        <v>1.5726307970028001E-2</v>
      </c>
      <c r="E99" s="515">
        <v>0.27061423927860101</v>
      </c>
      <c r="F99" s="515">
        <v>1.5911141350393999E-2</v>
      </c>
      <c r="G99" s="299"/>
      <c r="H99" s="300">
        <f t="shared" si="10"/>
        <v>0</v>
      </c>
      <c r="I99" s="299"/>
      <c r="J99" s="1"/>
      <c r="K99" s="299"/>
      <c r="L99" s="1"/>
      <c r="M99" s="299"/>
      <c r="N99" s="299"/>
      <c r="O99" s="299"/>
      <c r="P99" s="299"/>
      <c r="Q99" s="298"/>
      <c r="R99" s="300">
        <f t="shared" si="11"/>
        <v>0</v>
      </c>
      <c r="S99" s="300">
        <f t="shared" si="12"/>
        <v>0</v>
      </c>
      <c r="T99" s="300">
        <f t="shared" si="13"/>
        <v>0</v>
      </c>
      <c r="U99" s="300">
        <f t="shared" si="14"/>
        <v>0</v>
      </c>
      <c r="V99" s="300">
        <f t="shared" si="15"/>
        <v>0</v>
      </c>
      <c r="W99" s="300">
        <f t="shared" si="16"/>
        <v>0</v>
      </c>
      <c r="X99" s="300">
        <f t="shared" si="17"/>
        <v>0</v>
      </c>
      <c r="Y99" s="300">
        <f t="shared" si="18"/>
        <v>0</v>
      </c>
      <c r="Z99"/>
      <c r="AA99"/>
      <c r="AB99"/>
    </row>
    <row r="100" spans="1:28" x14ac:dyDescent="0.35">
      <c r="A100" s="299"/>
      <c r="B100" s="515">
        <v>6.4479325633953737</v>
      </c>
      <c r="C100" s="515">
        <v>6.0516665594857001E-2</v>
      </c>
      <c r="D100" s="515">
        <v>0.15810769062538499</v>
      </c>
      <c r="E100" s="515">
        <v>8.0168440074357999E-2</v>
      </c>
      <c r="F100" s="515">
        <v>7.5196296236502994E-2</v>
      </c>
      <c r="G100" s="299"/>
      <c r="H100" s="300">
        <f t="shared" si="10"/>
        <v>0</v>
      </c>
      <c r="I100" s="299"/>
      <c r="J100" s="1"/>
      <c r="K100" s="299"/>
      <c r="L100" s="1"/>
      <c r="M100" s="299"/>
      <c r="N100" s="299"/>
      <c r="O100" s="299"/>
      <c r="P100" s="299"/>
      <c r="Q100" s="298"/>
      <c r="R100" s="300">
        <f t="shared" si="11"/>
        <v>0</v>
      </c>
      <c r="S100" s="300">
        <f t="shared" si="12"/>
        <v>0</v>
      </c>
      <c r="T100" s="300">
        <f t="shared" si="13"/>
        <v>0</v>
      </c>
      <c r="U100" s="300">
        <f t="shared" si="14"/>
        <v>0</v>
      </c>
      <c r="V100" s="300">
        <f t="shared" si="15"/>
        <v>0</v>
      </c>
      <c r="W100" s="300">
        <f t="shared" si="16"/>
        <v>0</v>
      </c>
      <c r="X100" s="300">
        <f t="shared" si="17"/>
        <v>0</v>
      </c>
      <c r="Y100" s="300">
        <f t="shared" si="18"/>
        <v>0</v>
      </c>
      <c r="Z100"/>
      <c r="AA100"/>
      <c r="AB100"/>
    </row>
    <row r="101" spans="1:28" x14ac:dyDescent="0.35">
      <c r="A101" s="299"/>
      <c r="B101" s="515">
        <v>13.35641666461385</v>
      </c>
      <c r="C101" s="515">
        <v>0.11453306332642001</v>
      </c>
      <c r="D101" s="515">
        <v>2.2314004501205E-2</v>
      </c>
      <c r="E101" s="515">
        <v>0.244995301269714</v>
      </c>
      <c r="F101" s="515">
        <v>5.4285029306723E-2</v>
      </c>
      <c r="G101" s="299"/>
      <c r="H101" s="300">
        <f t="shared" si="10"/>
        <v>0</v>
      </c>
      <c r="I101" s="299"/>
      <c r="J101" s="1"/>
      <c r="K101" s="299"/>
      <c r="L101" s="1"/>
      <c r="M101" s="299"/>
      <c r="N101" s="299"/>
      <c r="O101" s="299"/>
      <c r="P101" s="299"/>
      <c r="Q101" s="298"/>
      <c r="R101" s="300">
        <f t="shared" si="11"/>
        <v>0</v>
      </c>
      <c r="S101" s="300">
        <f t="shared" si="12"/>
        <v>0</v>
      </c>
      <c r="T101" s="300">
        <f t="shared" si="13"/>
        <v>0</v>
      </c>
      <c r="U101" s="300">
        <f t="shared" si="14"/>
        <v>0</v>
      </c>
      <c r="V101" s="300">
        <f t="shared" si="15"/>
        <v>0</v>
      </c>
      <c r="W101" s="300">
        <f t="shared" si="16"/>
        <v>0</v>
      </c>
      <c r="X101" s="300">
        <f t="shared" si="17"/>
        <v>0</v>
      </c>
      <c r="Y101" s="300">
        <f t="shared" si="18"/>
        <v>0</v>
      </c>
      <c r="Z101"/>
      <c r="AA101"/>
      <c r="AB101"/>
    </row>
    <row r="102" spans="1:28" x14ac:dyDescent="0.35">
      <c r="A102" s="299"/>
      <c r="B102" s="515">
        <v>1.185312779271944</v>
      </c>
      <c r="C102" s="515">
        <v>6.7845702593525001E-2</v>
      </c>
      <c r="D102" s="515">
        <v>7.0069261254990002E-3</v>
      </c>
      <c r="E102" s="515">
        <v>0.105637636676325</v>
      </c>
      <c r="F102" s="515">
        <v>5.9031845441636997E-2</v>
      </c>
      <c r="G102" s="299"/>
      <c r="H102" s="300">
        <f t="shared" si="10"/>
        <v>0</v>
      </c>
      <c r="I102" s="299"/>
      <c r="J102" s="1"/>
      <c r="K102" s="299"/>
      <c r="L102" s="1"/>
      <c r="M102" s="299"/>
      <c r="N102" s="299"/>
      <c r="O102" s="299"/>
      <c r="P102" s="299"/>
      <c r="Q102" s="298"/>
      <c r="R102" s="300">
        <f t="shared" si="11"/>
        <v>0</v>
      </c>
      <c r="S102" s="300">
        <f t="shared" si="12"/>
        <v>0</v>
      </c>
      <c r="T102" s="300">
        <f t="shared" si="13"/>
        <v>0</v>
      </c>
      <c r="U102" s="300">
        <f t="shared" si="14"/>
        <v>0</v>
      </c>
      <c r="V102" s="300">
        <f t="shared" si="15"/>
        <v>0</v>
      </c>
      <c r="W102" s="300">
        <f t="shared" si="16"/>
        <v>0</v>
      </c>
      <c r="X102" s="300">
        <f t="shared" si="17"/>
        <v>0</v>
      </c>
      <c r="Y102" s="300">
        <f t="shared" si="18"/>
        <v>0</v>
      </c>
      <c r="Z102"/>
      <c r="AA102"/>
      <c r="AB102"/>
    </row>
    <row r="103" spans="1:28" x14ac:dyDescent="0.35">
      <c r="A103" s="299"/>
      <c r="B103" s="515">
        <v>5.578517594111859</v>
      </c>
      <c r="C103" s="515">
        <v>0.16765716267353101</v>
      </c>
      <c r="D103" s="515">
        <v>1.623234896972644</v>
      </c>
      <c r="E103" s="515">
        <v>0.26004901218669202</v>
      </c>
      <c r="F103" s="515">
        <v>2.1922284414939998E-3</v>
      </c>
      <c r="G103" s="299"/>
      <c r="H103" s="300">
        <f t="shared" si="10"/>
        <v>0</v>
      </c>
      <c r="I103" s="299"/>
      <c r="J103" s="1"/>
      <c r="K103" s="299"/>
      <c r="L103" s="1"/>
      <c r="M103" s="299"/>
      <c r="N103" s="299"/>
      <c r="O103" s="299"/>
      <c r="P103" s="299"/>
      <c r="Q103" s="298"/>
      <c r="R103" s="300">
        <f t="shared" si="11"/>
        <v>0</v>
      </c>
      <c r="S103" s="300">
        <f t="shared" si="12"/>
        <v>0</v>
      </c>
      <c r="T103" s="300">
        <f t="shared" si="13"/>
        <v>0</v>
      </c>
      <c r="U103" s="300">
        <f t="shared" si="14"/>
        <v>0</v>
      </c>
      <c r="V103" s="300">
        <f t="shared" si="15"/>
        <v>0</v>
      </c>
      <c r="W103" s="300">
        <f t="shared" si="16"/>
        <v>0</v>
      </c>
      <c r="X103" s="300">
        <f t="shared" si="17"/>
        <v>0</v>
      </c>
      <c r="Y103" s="300">
        <f t="shared" si="18"/>
        <v>0</v>
      </c>
      <c r="Z103"/>
      <c r="AA103"/>
      <c r="AB103"/>
    </row>
    <row r="104" spans="1:28" x14ac:dyDescent="0.35">
      <c r="A104" s="299"/>
      <c r="B104" s="515">
        <v>3.8861621790000001E-5</v>
      </c>
      <c r="C104" s="515">
        <v>-3.2949956950456198</v>
      </c>
      <c r="D104" s="515">
        <v>2.7118034153508161</v>
      </c>
      <c r="E104" s="515">
        <v>7.6273603451598004E-2</v>
      </c>
      <c r="F104" s="515">
        <v>4.1496011691794003E-2</v>
      </c>
      <c r="G104" s="299"/>
      <c r="H104" s="300">
        <f t="shared" si="10"/>
        <v>0</v>
      </c>
      <c r="I104" s="299"/>
      <c r="J104" s="1"/>
      <c r="K104" s="299"/>
      <c r="L104" s="1"/>
      <c r="M104" s="299"/>
      <c r="N104" s="299"/>
      <c r="O104" s="299"/>
      <c r="P104" s="299"/>
      <c r="Q104" s="298"/>
      <c r="R104" s="300">
        <f t="shared" si="11"/>
        <v>0</v>
      </c>
      <c r="S104" s="300">
        <f t="shared" si="12"/>
        <v>0</v>
      </c>
      <c r="T104" s="300">
        <f t="shared" si="13"/>
        <v>0</v>
      </c>
      <c r="U104" s="300">
        <f t="shared" si="14"/>
        <v>0</v>
      </c>
      <c r="V104" s="300">
        <f t="shared" si="15"/>
        <v>0</v>
      </c>
      <c r="W104" s="300">
        <f t="shared" si="16"/>
        <v>0</v>
      </c>
      <c r="X104" s="300">
        <f t="shared" si="17"/>
        <v>0</v>
      </c>
      <c r="Y104" s="300">
        <f t="shared" si="18"/>
        <v>0</v>
      </c>
      <c r="Z104"/>
      <c r="AA104"/>
      <c r="AB104"/>
    </row>
    <row r="105" spans="1:28" x14ac:dyDescent="0.35">
      <c r="A105" s="299"/>
      <c r="B105" s="515">
        <v>8.1400834000000003E-7</v>
      </c>
      <c r="C105" s="515">
        <v>-0.65314025123389496</v>
      </c>
      <c r="D105" s="515">
        <v>1.711594084445111</v>
      </c>
      <c r="E105" s="515">
        <v>4.5748619472026998E-2</v>
      </c>
      <c r="F105" s="515">
        <v>4.7861337021347997E-2</v>
      </c>
      <c r="G105" s="299"/>
      <c r="H105" s="300">
        <f t="shared" si="10"/>
        <v>0</v>
      </c>
      <c r="I105" s="299"/>
      <c r="J105" s="1"/>
      <c r="K105" s="299"/>
      <c r="L105" s="1"/>
      <c r="M105" s="299"/>
      <c r="N105" s="299"/>
      <c r="O105" s="299"/>
      <c r="P105" s="299"/>
      <c r="Q105" s="298"/>
      <c r="R105" s="300">
        <f t="shared" si="11"/>
        <v>0</v>
      </c>
      <c r="S105" s="300">
        <f t="shared" si="12"/>
        <v>0</v>
      </c>
      <c r="T105" s="300">
        <f t="shared" si="13"/>
        <v>0</v>
      </c>
      <c r="U105" s="300">
        <f t="shared" si="14"/>
        <v>0</v>
      </c>
      <c r="V105" s="300">
        <f t="shared" si="15"/>
        <v>0</v>
      </c>
      <c r="W105" s="300">
        <f t="shared" si="16"/>
        <v>0</v>
      </c>
      <c r="X105" s="300">
        <f t="shared" si="17"/>
        <v>0</v>
      </c>
      <c r="Y105" s="300">
        <f t="shared" si="18"/>
        <v>0</v>
      </c>
      <c r="Z105"/>
      <c r="AA105"/>
      <c r="AB105"/>
    </row>
    <row r="106" spans="1:28" x14ac:dyDescent="0.35">
      <c r="A106" s="299"/>
      <c r="B106" s="515">
        <v>4.453895256297808</v>
      </c>
      <c r="C106" s="515">
        <v>9.5919375322430001E-2</v>
      </c>
      <c r="D106" s="515">
        <v>1.3868451118609331</v>
      </c>
      <c r="E106" s="515">
        <v>7.0224603999999996E-7</v>
      </c>
      <c r="F106" s="515">
        <v>6.2342335980768999E-2</v>
      </c>
      <c r="G106" s="299"/>
      <c r="H106" s="300">
        <f t="shared" si="10"/>
        <v>0</v>
      </c>
      <c r="I106" s="299"/>
      <c r="J106" s="1"/>
      <c r="K106" s="299"/>
      <c r="L106" s="1"/>
      <c r="M106" s="299"/>
      <c r="N106" s="299"/>
      <c r="O106" s="299"/>
      <c r="P106" s="299"/>
      <c r="Q106" s="298"/>
      <c r="R106" s="300">
        <f t="shared" si="11"/>
        <v>0</v>
      </c>
      <c r="S106" s="300">
        <f t="shared" si="12"/>
        <v>0</v>
      </c>
      <c r="T106" s="300">
        <f t="shared" si="13"/>
        <v>0</v>
      </c>
      <c r="U106" s="300">
        <f t="shared" si="14"/>
        <v>0</v>
      </c>
      <c r="V106" s="300">
        <f t="shared" si="15"/>
        <v>0</v>
      </c>
      <c r="W106" s="300">
        <f t="shared" si="16"/>
        <v>0</v>
      </c>
      <c r="X106" s="300">
        <f t="shared" si="17"/>
        <v>0</v>
      </c>
      <c r="Y106" s="300">
        <f t="shared" si="18"/>
        <v>0</v>
      </c>
      <c r="Z106"/>
      <c r="AA106"/>
      <c r="AB106"/>
    </row>
    <row r="107" spans="1:28" x14ac:dyDescent="0.35">
      <c r="A107" s="299"/>
      <c r="B107" s="515">
        <v>2.7427482427256962</v>
      </c>
      <c r="C107" s="515">
        <v>3.9018254382751E-2</v>
      </c>
      <c r="D107" s="515">
        <v>1.280059125042988</v>
      </c>
      <c r="E107" s="515">
        <v>0.124728831027915</v>
      </c>
      <c r="F107" s="515">
        <v>4.4672384553275997E-2</v>
      </c>
      <c r="G107" s="299"/>
      <c r="H107" s="300">
        <f t="shared" si="10"/>
        <v>0</v>
      </c>
      <c r="I107" s="299"/>
      <c r="J107" s="1"/>
      <c r="K107" s="299"/>
      <c r="L107" s="1"/>
      <c r="M107" s="299"/>
      <c r="N107" s="299"/>
      <c r="O107" s="299"/>
      <c r="P107" s="299"/>
      <c r="Q107" s="298"/>
      <c r="R107" s="300">
        <f t="shared" si="11"/>
        <v>0</v>
      </c>
      <c r="S107" s="300">
        <f t="shared" si="12"/>
        <v>0</v>
      </c>
      <c r="T107" s="300">
        <f t="shared" si="13"/>
        <v>0</v>
      </c>
      <c r="U107" s="300">
        <f t="shared" si="14"/>
        <v>0</v>
      </c>
      <c r="V107" s="300">
        <f t="shared" si="15"/>
        <v>0</v>
      </c>
      <c r="W107" s="300">
        <f t="shared" si="16"/>
        <v>0</v>
      </c>
      <c r="X107" s="300">
        <f t="shared" si="17"/>
        <v>0</v>
      </c>
      <c r="Y107" s="300">
        <f t="shared" si="18"/>
        <v>0</v>
      </c>
      <c r="Z107"/>
      <c r="AA107"/>
      <c r="AB107"/>
    </row>
    <row r="108" spans="1:28" x14ac:dyDescent="0.35">
      <c r="A108" s="299"/>
      <c r="B108" s="515">
        <v>1.7988748045200001E-4</v>
      </c>
      <c r="C108" s="515">
        <v>2.7928158709698999E-2</v>
      </c>
      <c r="D108" s="515">
        <v>1.9821669333447309</v>
      </c>
      <c r="E108" s="515">
        <v>0.22438077348779301</v>
      </c>
      <c r="F108" s="515">
        <v>5.1632295840529996E-3</v>
      </c>
      <c r="G108" s="299"/>
      <c r="H108" s="300">
        <f t="shared" si="10"/>
        <v>0</v>
      </c>
      <c r="I108" s="299"/>
      <c r="J108" s="1"/>
      <c r="K108" s="299"/>
      <c r="L108" s="1"/>
      <c r="M108" s="299"/>
      <c r="N108" s="299"/>
      <c r="O108" s="299"/>
      <c r="P108" s="299"/>
      <c r="Q108" s="298"/>
      <c r="R108" s="300">
        <f t="shared" si="11"/>
        <v>0</v>
      </c>
      <c r="S108" s="300">
        <f t="shared" si="12"/>
        <v>0</v>
      </c>
      <c r="T108" s="300">
        <f t="shared" si="13"/>
        <v>0</v>
      </c>
      <c r="U108" s="300">
        <f t="shared" si="14"/>
        <v>0</v>
      </c>
      <c r="V108" s="300">
        <f t="shared" si="15"/>
        <v>0</v>
      </c>
      <c r="W108" s="300">
        <f t="shared" si="16"/>
        <v>0</v>
      </c>
      <c r="X108" s="300">
        <f t="shared" si="17"/>
        <v>0</v>
      </c>
      <c r="Y108" s="300">
        <f t="shared" si="18"/>
        <v>0</v>
      </c>
      <c r="Z108"/>
      <c r="AA108"/>
      <c r="AB108"/>
    </row>
    <row r="109" spans="1:28" x14ac:dyDescent="0.35">
      <c r="A109" s="299"/>
      <c r="B109" s="515">
        <v>3.9550877240296378</v>
      </c>
      <c r="C109" s="515">
        <v>-4.5772073814608003E-2</v>
      </c>
      <c r="D109" s="515">
        <v>0.30645434499065899</v>
      </c>
      <c r="E109" s="515">
        <v>4.6733994500800001E-4</v>
      </c>
      <c r="F109" s="515">
        <v>7.4178344355340001E-2</v>
      </c>
      <c r="G109" s="299"/>
      <c r="H109" s="300">
        <f t="shared" si="10"/>
        <v>0</v>
      </c>
      <c r="I109" s="299"/>
      <c r="J109" s="1"/>
      <c r="K109" s="299"/>
      <c r="L109" s="1"/>
      <c r="M109" s="299"/>
      <c r="N109" s="299"/>
      <c r="O109" s="299"/>
      <c r="P109" s="299"/>
      <c r="Q109" s="298"/>
      <c r="R109" s="300">
        <f t="shared" si="11"/>
        <v>0</v>
      </c>
      <c r="S109" s="300">
        <f t="shared" si="12"/>
        <v>0</v>
      </c>
      <c r="T109" s="300">
        <f t="shared" si="13"/>
        <v>0</v>
      </c>
      <c r="U109" s="300">
        <f t="shared" si="14"/>
        <v>0</v>
      </c>
      <c r="V109" s="300">
        <f t="shared" si="15"/>
        <v>0</v>
      </c>
      <c r="W109" s="300">
        <f t="shared" si="16"/>
        <v>0</v>
      </c>
      <c r="X109" s="300">
        <f t="shared" si="17"/>
        <v>0</v>
      </c>
      <c r="Y109" s="300">
        <f t="shared" si="18"/>
        <v>0</v>
      </c>
      <c r="Z109"/>
      <c r="AA109"/>
      <c r="AB109"/>
    </row>
    <row r="110" spans="1:28" x14ac:dyDescent="0.35">
      <c r="A110" s="299"/>
      <c r="B110" s="515">
        <v>6.2925310422449412</v>
      </c>
      <c r="C110" s="515">
        <v>4.9912058218191002E-2</v>
      </c>
      <c r="D110" s="515">
        <v>1.407979422438312</v>
      </c>
      <c r="E110" s="515">
        <v>8.9148689101972003E-2</v>
      </c>
      <c r="F110" s="515">
        <v>5.8099270045082002E-2</v>
      </c>
      <c r="G110" s="299"/>
      <c r="H110" s="300">
        <f t="shared" si="10"/>
        <v>0</v>
      </c>
      <c r="I110" s="299"/>
      <c r="J110" s="1"/>
      <c r="K110" s="299"/>
      <c r="L110" s="1"/>
      <c r="M110" s="299"/>
      <c r="N110" s="299"/>
      <c r="O110" s="299"/>
      <c r="P110" s="299"/>
      <c r="Q110" s="298"/>
      <c r="R110" s="300">
        <f t="shared" si="11"/>
        <v>0</v>
      </c>
      <c r="S110" s="300">
        <f t="shared" si="12"/>
        <v>0</v>
      </c>
      <c r="T110" s="300">
        <f t="shared" si="13"/>
        <v>0</v>
      </c>
      <c r="U110" s="300">
        <f t="shared" si="14"/>
        <v>0</v>
      </c>
      <c r="V110" s="300">
        <f t="shared" si="15"/>
        <v>0</v>
      </c>
      <c r="W110" s="300">
        <f t="shared" si="16"/>
        <v>0</v>
      </c>
      <c r="X110" s="300">
        <f t="shared" si="17"/>
        <v>0</v>
      </c>
      <c r="Y110" s="300">
        <f t="shared" si="18"/>
        <v>0</v>
      </c>
      <c r="Z110"/>
      <c r="AA110"/>
      <c r="AB110"/>
    </row>
    <row r="111" spans="1:28" x14ac:dyDescent="0.35">
      <c r="A111" s="299"/>
      <c r="B111" s="515">
        <v>2.4443759690812E-2</v>
      </c>
      <c r="C111" s="515">
        <v>-0.75865453338134303</v>
      </c>
      <c r="D111" s="515">
        <v>1.4508770766168959</v>
      </c>
      <c r="E111" s="515">
        <v>0.10600181217435201</v>
      </c>
      <c r="F111" s="515">
        <v>4.402192066268E-2</v>
      </c>
      <c r="G111" s="299"/>
      <c r="H111" s="300">
        <f t="shared" si="10"/>
        <v>0</v>
      </c>
      <c r="I111" s="299"/>
      <c r="J111" s="1"/>
      <c r="K111" s="299"/>
      <c r="L111" s="1"/>
      <c r="M111" s="299"/>
      <c r="N111" s="299"/>
      <c r="O111" s="299"/>
      <c r="P111" s="299"/>
      <c r="Q111" s="298"/>
      <c r="R111" s="300">
        <f t="shared" si="11"/>
        <v>0</v>
      </c>
      <c r="S111" s="300">
        <f t="shared" si="12"/>
        <v>0</v>
      </c>
      <c r="T111" s="300">
        <f t="shared" si="13"/>
        <v>0</v>
      </c>
      <c r="U111" s="300">
        <f t="shared" si="14"/>
        <v>0</v>
      </c>
      <c r="V111" s="300">
        <f t="shared" si="15"/>
        <v>0</v>
      </c>
      <c r="W111" s="300">
        <f t="shared" si="16"/>
        <v>0</v>
      </c>
      <c r="X111" s="300">
        <f t="shared" si="17"/>
        <v>0</v>
      </c>
      <c r="Y111" s="300">
        <f t="shared" si="18"/>
        <v>0</v>
      </c>
      <c r="Z111"/>
      <c r="AA111"/>
      <c r="AB111"/>
    </row>
    <row r="112" spans="1:28" x14ac:dyDescent="0.35">
      <c r="A112" s="299"/>
      <c r="B112" s="515">
        <v>0.75687996691211401</v>
      </c>
      <c r="C112" s="515">
        <v>6.4509951965212003E-2</v>
      </c>
      <c r="D112" s="515">
        <v>1.919091710297298</v>
      </c>
      <c r="E112" s="515">
        <v>0.22984242512188399</v>
      </c>
      <c r="F112" s="515">
        <v>6.0672328954309998E-3</v>
      </c>
      <c r="G112" s="299"/>
      <c r="H112" s="300">
        <f t="shared" si="10"/>
        <v>0</v>
      </c>
      <c r="I112" s="299"/>
      <c r="J112" s="1"/>
      <c r="K112" s="299"/>
      <c r="L112" s="1"/>
      <c r="M112" s="299"/>
      <c r="N112" s="299"/>
      <c r="O112" s="299"/>
      <c r="P112" s="299"/>
      <c r="Q112" s="298"/>
      <c r="R112" s="300">
        <f t="shared" si="11"/>
        <v>0</v>
      </c>
      <c r="S112" s="300">
        <f t="shared" si="12"/>
        <v>0</v>
      </c>
      <c r="T112" s="300">
        <f t="shared" si="13"/>
        <v>0</v>
      </c>
      <c r="U112" s="300">
        <f t="shared" si="14"/>
        <v>0</v>
      </c>
      <c r="V112" s="300">
        <f t="shared" si="15"/>
        <v>0</v>
      </c>
      <c r="W112" s="300">
        <f t="shared" si="16"/>
        <v>0</v>
      </c>
      <c r="X112" s="300">
        <f t="shared" si="17"/>
        <v>0</v>
      </c>
      <c r="Y112" s="300">
        <f t="shared" si="18"/>
        <v>0</v>
      </c>
      <c r="Z112"/>
      <c r="AA112"/>
      <c r="AB112"/>
    </row>
    <row r="113" spans="1:28" x14ac:dyDescent="0.35">
      <c r="A113" s="299"/>
      <c r="B113" s="515">
        <v>1.658124690878904</v>
      </c>
      <c r="C113" s="515">
        <v>0.10902067033735501</v>
      </c>
      <c r="D113" s="515">
        <v>1.031715764947158</v>
      </c>
      <c r="E113" s="515">
        <v>0.14714720267876699</v>
      </c>
      <c r="F113" s="515">
        <v>3.6134264781902001E-2</v>
      </c>
      <c r="G113" s="299"/>
      <c r="H113" s="300">
        <f t="shared" si="10"/>
        <v>0</v>
      </c>
      <c r="I113" s="299"/>
      <c r="J113" s="1"/>
      <c r="K113" s="299"/>
      <c r="L113" s="1"/>
      <c r="M113" s="299"/>
      <c r="N113" s="299"/>
      <c r="O113" s="299"/>
      <c r="P113" s="299"/>
      <c r="Q113" s="298"/>
      <c r="R113" s="300">
        <f t="shared" si="11"/>
        <v>0</v>
      </c>
      <c r="S113" s="300">
        <f t="shared" si="12"/>
        <v>0</v>
      </c>
      <c r="T113" s="300">
        <f t="shared" si="13"/>
        <v>0</v>
      </c>
      <c r="U113" s="300">
        <f t="shared" si="14"/>
        <v>0</v>
      </c>
      <c r="V113" s="300">
        <f t="shared" si="15"/>
        <v>0</v>
      </c>
      <c r="W113" s="300">
        <f t="shared" si="16"/>
        <v>0</v>
      </c>
      <c r="X113" s="300">
        <f t="shared" si="17"/>
        <v>0</v>
      </c>
      <c r="Y113" s="300">
        <f t="shared" si="18"/>
        <v>0</v>
      </c>
      <c r="Z113"/>
      <c r="AA113"/>
      <c r="AB113"/>
    </row>
    <row r="114" spans="1:28" x14ac:dyDescent="0.35">
      <c r="A114" s="299"/>
      <c r="B114" s="515">
        <v>4.4529414542397836</v>
      </c>
      <c r="C114" s="515">
        <v>9.5843498394033E-2</v>
      </c>
      <c r="D114" s="515">
        <v>1.386947113353469</v>
      </c>
      <c r="E114" s="515">
        <v>1.3278615599999999E-7</v>
      </c>
      <c r="F114" s="515">
        <v>6.2339114215586001E-2</v>
      </c>
      <c r="G114" s="299"/>
      <c r="H114" s="300">
        <f t="shared" si="10"/>
        <v>0</v>
      </c>
      <c r="I114" s="299"/>
      <c r="J114" s="1"/>
      <c r="K114" s="299"/>
      <c r="L114" s="1"/>
      <c r="M114" s="299"/>
      <c r="N114" s="299"/>
      <c r="O114" s="299"/>
      <c r="P114" s="299"/>
      <c r="Q114" s="298"/>
      <c r="R114" s="300">
        <f t="shared" si="11"/>
        <v>0</v>
      </c>
      <c r="S114" s="300">
        <f t="shared" si="12"/>
        <v>0</v>
      </c>
      <c r="T114" s="300">
        <f t="shared" si="13"/>
        <v>0</v>
      </c>
      <c r="U114" s="300">
        <f t="shared" si="14"/>
        <v>0</v>
      </c>
      <c r="V114" s="300">
        <f t="shared" si="15"/>
        <v>0</v>
      </c>
      <c r="W114" s="300">
        <f t="shared" si="16"/>
        <v>0</v>
      </c>
      <c r="X114" s="300">
        <f t="shared" si="17"/>
        <v>0</v>
      </c>
      <c r="Y114" s="300">
        <f t="shared" si="18"/>
        <v>0</v>
      </c>
      <c r="Z114"/>
      <c r="AA114"/>
      <c r="AB114"/>
    </row>
    <row r="115" spans="1:28" x14ac:dyDescent="0.35">
      <c r="A115" s="299"/>
      <c r="B115" s="515">
        <v>16.128538298253289</v>
      </c>
      <c r="C115" s="515">
        <v>-0.52402129530083996</v>
      </c>
      <c r="D115" s="515">
        <v>3.3257290271137609</v>
      </c>
      <c r="E115" s="515">
        <v>0.121300150040265</v>
      </c>
      <c r="F115" s="515">
        <v>4.7957527252984002E-2</v>
      </c>
      <c r="G115" s="299"/>
      <c r="H115" s="300">
        <f t="shared" si="10"/>
        <v>0</v>
      </c>
      <c r="I115" s="299"/>
      <c r="J115" s="1"/>
      <c r="K115" s="299"/>
      <c r="L115" s="1"/>
      <c r="M115" s="299"/>
      <c r="N115" s="299"/>
      <c r="O115" s="299"/>
      <c r="P115" s="299"/>
      <c r="Q115" s="298"/>
      <c r="R115" s="300">
        <f t="shared" si="11"/>
        <v>0</v>
      </c>
      <c r="S115" s="300">
        <f t="shared" si="12"/>
        <v>0</v>
      </c>
      <c r="T115" s="300">
        <f t="shared" si="13"/>
        <v>0</v>
      </c>
      <c r="U115" s="300">
        <f t="shared" si="14"/>
        <v>0</v>
      </c>
      <c r="V115" s="300">
        <f t="shared" si="15"/>
        <v>0</v>
      </c>
      <c r="W115" s="300">
        <f t="shared" si="16"/>
        <v>0</v>
      </c>
      <c r="X115" s="300">
        <f t="shared" si="17"/>
        <v>0</v>
      </c>
      <c r="Y115" s="300">
        <f t="shared" si="18"/>
        <v>0</v>
      </c>
      <c r="Z115"/>
      <c r="AA115"/>
      <c r="AB115"/>
    </row>
    <row r="116" spans="1:28" x14ac:dyDescent="0.35">
      <c r="A116" s="299"/>
      <c r="B116" s="515">
        <v>11.170186687215081</v>
      </c>
      <c r="C116" s="515">
        <v>0.16799992450934201</v>
      </c>
      <c r="D116" s="515">
        <v>1.106874928047118</v>
      </c>
      <c r="E116" s="515">
        <v>4.7291451208274E-2</v>
      </c>
      <c r="F116" s="515">
        <v>7.7586763173234E-2</v>
      </c>
      <c r="G116" s="299"/>
      <c r="H116" s="300">
        <f t="shared" si="10"/>
        <v>0</v>
      </c>
      <c r="I116" s="299"/>
      <c r="J116" s="1"/>
      <c r="K116" s="299"/>
      <c r="L116" s="1"/>
      <c r="M116" s="299"/>
      <c r="N116" s="299"/>
      <c r="O116" s="299"/>
      <c r="P116" s="299"/>
      <c r="Q116" s="298"/>
      <c r="R116" s="300">
        <f t="shared" si="11"/>
        <v>0</v>
      </c>
      <c r="S116" s="300">
        <f t="shared" si="12"/>
        <v>0</v>
      </c>
      <c r="T116" s="300">
        <f t="shared" si="13"/>
        <v>0</v>
      </c>
      <c r="U116" s="300">
        <f t="shared" si="14"/>
        <v>0</v>
      </c>
      <c r="V116" s="300">
        <f t="shared" si="15"/>
        <v>0</v>
      </c>
      <c r="W116" s="300">
        <f t="shared" si="16"/>
        <v>0</v>
      </c>
      <c r="X116" s="300">
        <f t="shared" si="17"/>
        <v>0</v>
      </c>
      <c r="Y116" s="300">
        <f t="shared" si="18"/>
        <v>0</v>
      </c>
      <c r="Z116"/>
      <c r="AA116"/>
      <c r="AB116"/>
    </row>
    <row r="117" spans="1:28" x14ac:dyDescent="0.35">
      <c r="A117" s="299"/>
      <c r="B117" s="515">
        <v>0.25050970824693197</v>
      </c>
      <c r="C117" s="515">
        <v>3.2009284316498E-2</v>
      </c>
      <c r="D117" s="515">
        <v>1.7079583377101659</v>
      </c>
      <c r="E117" s="515">
        <v>0.206438093184938</v>
      </c>
      <c r="F117" s="515">
        <v>1.3461363497372E-2</v>
      </c>
      <c r="G117" s="299"/>
      <c r="H117" s="300">
        <f t="shared" si="10"/>
        <v>0</v>
      </c>
      <c r="I117" s="299"/>
      <c r="J117" s="1"/>
      <c r="K117" s="299"/>
      <c r="L117" s="1"/>
      <c r="M117" s="299"/>
      <c r="N117" s="299"/>
      <c r="O117" s="299"/>
      <c r="P117" s="299"/>
      <c r="Q117" s="298"/>
      <c r="R117" s="300">
        <f t="shared" si="11"/>
        <v>0</v>
      </c>
      <c r="S117" s="300">
        <f t="shared" si="12"/>
        <v>0</v>
      </c>
      <c r="T117" s="300">
        <f t="shared" si="13"/>
        <v>0</v>
      </c>
      <c r="U117" s="300">
        <f t="shared" si="14"/>
        <v>0</v>
      </c>
      <c r="V117" s="300">
        <f t="shared" si="15"/>
        <v>0</v>
      </c>
      <c r="W117" s="300">
        <f t="shared" si="16"/>
        <v>0</v>
      </c>
      <c r="X117" s="300">
        <f t="shared" si="17"/>
        <v>0</v>
      </c>
      <c r="Y117" s="300">
        <f t="shared" si="18"/>
        <v>0</v>
      </c>
      <c r="Z117"/>
      <c r="AA117"/>
      <c r="AB117"/>
    </row>
    <row r="118" spans="1:28" x14ac:dyDescent="0.35">
      <c r="A118" s="299"/>
      <c r="B118" s="515">
        <v>0.198774994932989</v>
      </c>
      <c r="C118" s="515">
        <v>-1.9822559293364119</v>
      </c>
      <c r="D118" s="515">
        <v>1.142735015467832</v>
      </c>
      <c r="E118" s="515">
        <v>0.13720678791129201</v>
      </c>
      <c r="F118" s="515">
        <v>5.6291379190764997E-2</v>
      </c>
      <c r="G118" s="299"/>
      <c r="H118" s="300">
        <f t="shared" si="10"/>
        <v>0</v>
      </c>
      <c r="I118" s="299"/>
      <c r="J118" s="1"/>
      <c r="K118" s="299"/>
      <c r="L118" s="1"/>
      <c r="M118" s="299"/>
      <c r="N118" s="299"/>
      <c r="O118" s="299"/>
      <c r="P118" s="299"/>
      <c r="Q118" s="298"/>
      <c r="R118" s="300">
        <f t="shared" si="11"/>
        <v>0</v>
      </c>
      <c r="S118" s="300">
        <f t="shared" si="12"/>
        <v>0</v>
      </c>
      <c r="T118" s="300">
        <f t="shared" si="13"/>
        <v>0</v>
      </c>
      <c r="U118" s="300">
        <f t="shared" si="14"/>
        <v>0</v>
      </c>
      <c r="V118" s="300">
        <f t="shared" si="15"/>
        <v>0</v>
      </c>
      <c r="W118" s="300">
        <f t="shared" si="16"/>
        <v>0</v>
      </c>
      <c r="X118" s="300">
        <f t="shared" si="17"/>
        <v>0</v>
      </c>
      <c r="Y118" s="300">
        <f t="shared" si="18"/>
        <v>0</v>
      </c>
      <c r="Z118"/>
      <c r="AA118"/>
      <c r="AB118"/>
    </row>
    <row r="119" spans="1:28" x14ac:dyDescent="0.35">
      <c r="A119" s="299"/>
      <c r="B119" s="515">
        <v>0.118951663467169</v>
      </c>
      <c r="C119" s="515">
        <v>-1.4450734731090431</v>
      </c>
      <c r="D119" s="515">
        <v>0.66898475126739199</v>
      </c>
      <c r="E119" s="515">
        <v>2.6814390049870001E-2</v>
      </c>
      <c r="F119" s="515">
        <v>6.5806223937763003E-2</v>
      </c>
      <c r="G119" s="299"/>
      <c r="H119" s="300">
        <f t="shared" si="10"/>
        <v>0</v>
      </c>
      <c r="I119" s="299"/>
      <c r="J119" s="1"/>
      <c r="K119" s="299"/>
      <c r="L119" s="1"/>
      <c r="M119" s="299"/>
      <c r="N119" s="299"/>
      <c r="O119" s="299"/>
      <c r="P119" s="299"/>
      <c r="Q119" s="298"/>
      <c r="R119" s="300">
        <f t="shared" si="11"/>
        <v>0</v>
      </c>
      <c r="S119" s="300">
        <f t="shared" si="12"/>
        <v>0</v>
      </c>
      <c r="T119" s="300">
        <f t="shared" si="13"/>
        <v>0</v>
      </c>
      <c r="U119" s="300">
        <f t="shared" si="14"/>
        <v>0</v>
      </c>
      <c r="V119" s="300">
        <f t="shared" si="15"/>
        <v>0</v>
      </c>
      <c r="W119" s="300">
        <f t="shared" si="16"/>
        <v>0</v>
      </c>
      <c r="X119" s="300">
        <f t="shared" si="17"/>
        <v>0</v>
      </c>
      <c r="Y119" s="300">
        <f t="shared" si="18"/>
        <v>0</v>
      </c>
      <c r="Z119"/>
      <c r="AA119"/>
      <c r="AB119"/>
    </row>
    <row r="120" spans="1:28" x14ac:dyDescent="0.35">
      <c r="A120" s="299"/>
      <c r="B120" s="515">
        <v>1.6208176730743411</v>
      </c>
      <c r="C120" s="515">
        <v>7.6971779442395E-2</v>
      </c>
      <c r="D120" s="515">
        <v>1.941457143331117</v>
      </c>
      <c r="E120" s="515">
        <v>0.21541743500121499</v>
      </c>
      <c r="F120" s="515">
        <v>1.1090419576050999E-2</v>
      </c>
      <c r="G120" s="299"/>
      <c r="H120" s="300">
        <f t="shared" si="10"/>
        <v>0</v>
      </c>
      <c r="I120" s="299"/>
      <c r="J120" s="1"/>
      <c r="K120" s="299"/>
      <c r="L120" s="1"/>
      <c r="M120" s="299"/>
      <c r="N120" s="299"/>
      <c r="O120" s="299"/>
      <c r="P120" s="299"/>
      <c r="Q120" s="298"/>
      <c r="R120" s="300">
        <f t="shared" si="11"/>
        <v>0</v>
      </c>
      <c r="S120" s="300">
        <f t="shared" si="12"/>
        <v>0</v>
      </c>
      <c r="T120" s="300">
        <f t="shared" si="13"/>
        <v>0</v>
      </c>
      <c r="U120" s="300">
        <f t="shared" si="14"/>
        <v>0</v>
      </c>
      <c r="V120" s="300">
        <f t="shared" si="15"/>
        <v>0</v>
      </c>
      <c r="W120" s="300">
        <f t="shared" si="16"/>
        <v>0</v>
      </c>
      <c r="X120" s="300">
        <f t="shared" si="17"/>
        <v>0</v>
      </c>
      <c r="Y120" s="300">
        <f t="shared" si="18"/>
        <v>0</v>
      </c>
      <c r="Z120"/>
      <c r="AA120"/>
      <c r="AB120"/>
    </row>
    <row r="121" spans="1:28" x14ac:dyDescent="0.35">
      <c r="A121" s="299"/>
      <c r="B121" s="515">
        <v>8.8771680340330104</v>
      </c>
      <c r="C121" s="515">
        <v>-1.3680459151126E-2</v>
      </c>
      <c r="D121" s="515">
        <v>1.231697644170588</v>
      </c>
      <c r="E121" s="515">
        <v>8.2566651789999992E-6</v>
      </c>
      <c r="F121" s="515">
        <v>7.4383445614874005E-2</v>
      </c>
      <c r="G121" s="299"/>
      <c r="H121" s="300">
        <f t="shared" si="10"/>
        <v>0</v>
      </c>
      <c r="I121" s="299"/>
      <c r="J121" s="1"/>
      <c r="K121" s="299"/>
      <c r="L121" s="1"/>
      <c r="M121" s="299"/>
      <c r="N121" s="299"/>
      <c r="O121" s="299"/>
      <c r="P121" s="299"/>
      <c r="Q121" s="298"/>
      <c r="R121" s="300">
        <f t="shared" si="11"/>
        <v>0</v>
      </c>
      <c r="S121" s="300">
        <f t="shared" si="12"/>
        <v>0</v>
      </c>
      <c r="T121" s="300">
        <f t="shared" si="13"/>
        <v>0</v>
      </c>
      <c r="U121" s="300">
        <f t="shared" si="14"/>
        <v>0</v>
      </c>
      <c r="V121" s="300">
        <f t="shared" si="15"/>
        <v>0</v>
      </c>
      <c r="W121" s="300">
        <f t="shared" si="16"/>
        <v>0</v>
      </c>
      <c r="X121" s="300">
        <f t="shared" si="17"/>
        <v>0</v>
      </c>
      <c r="Y121" s="300">
        <f t="shared" si="18"/>
        <v>0</v>
      </c>
      <c r="Z121"/>
      <c r="AA121"/>
      <c r="AB121"/>
    </row>
    <row r="122" spans="1:28" x14ac:dyDescent="0.35">
      <c r="A122" s="299"/>
      <c r="B122" s="515">
        <v>2.2585825160276001E-2</v>
      </c>
      <c r="C122" s="515">
        <v>-0.945877750029122</v>
      </c>
      <c r="D122" s="515">
        <v>1.506469193270711</v>
      </c>
      <c r="E122" s="515">
        <v>0.16561903332830299</v>
      </c>
      <c r="F122" s="515">
        <v>3.4198087416083003E-2</v>
      </c>
      <c r="G122" s="299"/>
      <c r="H122" s="300">
        <f t="shared" si="10"/>
        <v>0</v>
      </c>
      <c r="I122" s="299"/>
      <c r="J122" s="1"/>
      <c r="K122" s="299"/>
      <c r="L122" s="1"/>
      <c r="M122" s="299"/>
      <c r="N122" s="299"/>
      <c r="O122" s="299"/>
      <c r="P122" s="299"/>
      <c r="Q122" s="298"/>
      <c r="R122" s="300">
        <f t="shared" si="11"/>
        <v>0</v>
      </c>
      <c r="S122" s="300">
        <f t="shared" si="12"/>
        <v>0</v>
      </c>
      <c r="T122" s="300">
        <f t="shared" si="13"/>
        <v>0</v>
      </c>
      <c r="U122" s="300">
        <f t="shared" si="14"/>
        <v>0</v>
      </c>
      <c r="V122" s="300">
        <f t="shared" si="15"/>
        <v>0</v>
      </c>
      <c r="W122" s="300">
        <f t="shared" si="16"/>
        <v>0</v>
      </c>
      <c r="X122" s="300">
        <f t="shared" si="17"/>
        <v>0</v>
      </c>
      <c r="Y122" s="300">
        <f t="shared" si="18"/>
        <v>0</v>
      </c>
      <c r="Z122"/>
      <c r="AA122"/>
      <c r="AB122"/>
    </row>
    <row r="123" spans="1:28" x14ac:dyDescent="0.35">
      <c r="A123" s="299"/>
      <c r="B123" s="515">
        <v>0.83768623891027505</v>
      </c>
      <c r="C123" s="515">
        <v>7.1865527159826997E-2</v>
      </c>
      <c r="D123" s="515">
        <v>1.8369597476551629</v>
      </c>
      <c r="E123" s="515">
        <v>0.215733168780013</v>
      </c>
      <c r="F123" s="515">
        <v>1.0150266502606E-2</v>
      </c>
      <c r="G123" s="299"/>
      <c r="H123" s="300">
        <f t="shared" si="10"/>
        <v>0</v>
      </c>
      <c r="I123" s="299"/>
      <c r="J123" s="1"/>
      <c r="K123" s="299"/>
      <c r="L123" s="1"/>
      <c r="M123" s="299"/>
      <c r="N123" s="299"/>
      <c r="O123" s="299"/>
      <c r="P123" s="299"/>
      <c r="Q123" s="298"/>
      <c r="R123" s="300">
        <f t="shared" si="11"/>
        <v>0</v>
      </c>
      <c r="S123" s="300">
        <f t="shared" si="12"/>
        <v>0</v>
      </c>
      <c r="T123" s="300">
        <f t="shared" si="13"/>
        <v>0</v>
      </c>
      <c r="U123" s="300">
        <f t="shared" si="14"/>
        <v>0</v>
      </c>
      <c r="V123" s="300">
        <f t="shared" si="15"/>
        <v>0</v>
      </c>
      <c r="W123" s="300">
        <f t="shared" si="16"/>
        <v>0</v>
      </c>
      <c r="X123" s="300">
        <f t="shared" si="17"/>
        <v>0</v>
      </c>
      <c r="Y123" s="300">
        <f t="shared" si="18"/>
        <v>0</v>
      </c>
      <c r="Z123"/>
      <c r="AA123"/>
      <c r="AB123"/>
    </row>
    <row r="124" spans="1:28" x14ac:dyDescent="0.35">
      <c r="A124" s="299"/>
      <c r="B124" s="515">
        <v>10.24749683125442</v>
      </c>
      <c r="C124" s="515">
        <v>-0.26172453592332101</v>
      </c>
      <c r="D124" s="515">
        <v>2.1218033300546759</v>
      </c>
      <c r="E124" s="515">
        <v>7.1058146386199998E-4</v>
      </c>
      <c r="F124" s="515">
        <v>6.7527871864550004E-2</v>
      </c>
      <c r="G124" s="299"/>
      <c r="H124" s="300">
        <f t="shared" si="10"/>
        <v>0</v>
      </c>
      <c r="I124" s="299"/>
      <c r="J124" s="1"/>
      <c r="K124" s="299"/>
      <c r="L124" s="1"/>
      <c r="M124" s="299"/>
      <c r="N124" s="299"/>
      <c r="O124" s="299"/>
      <c r="P124" s="299"/>
      <c r="Q124" s="298"/>
      <c r="R124" s="300">
        <f t="shared" si="11"/>
        <v>0</v>
      </c>
      <c r="S124" s="300">
        <f t="shared" si="12"/>
        <v>0</v>
      </c>
      <c r="T124" s="300">
        <f t="shared" si="13"/>
        <v>0</v>
      </c>
      <c r="U124" s="300">
        <f t="shared" si="14"/>
        <v>0</v>
      </c>
      <c r="V124" s="300">
        <f t="shared" si="15"/>
        <v>0</v>
      </c>
      <c r="W124" s="300">
        <f t="shared" si="16"/>
        <v>0</v>
      </c>
      <c r="X124" s="300">
        <f t="shared" si="17"/>
        <v>0</v>
      </c>
      <c r="Y124" s="300">
        <f t="shared" si="18"/>
        <v>0</v>
      </c>
      <c r="Z124"/>
      <c r="AA124"/>
      <c r="AB124"/>
    </row>
    <row r="125" spans="1:28" x14ac:dyDescent="0.35">
      <c r="A125" s="299"/>
      <c r="B125" s="515">
        <v>1.24320155890336</v>
      </c>
      <c r="C125" s="515">
        <v>0.123924754158628</v>
      </c>
      <c r="D125" s="515">
        <v>0.147585660042896</v>
      </c>
      <c r="E125" s="515">
        <v>7.7718765908268997E-2</v>
      </c>
      <c r="F125" s="515">
        <v>5.7371413848492002E-2</v>
      </c>
      <c r="G125" s="299"/>
      <c r="H125" s="300">
        <f t="shared" si="10"/>
        <v>0</v>
      </c>
      <c r="I125" s="299"/>
      <c r="J125" s="1"/>
      <c r="K125" s="299"/>
      <c r="L125" s="1"/>
      <c r="M125" s="299"/>
      <c r="N125" s="299"/>
      <c r="O125" s="299"/>
      <c r="P125" s="299"/>
      <c r="Q125" s="298"/>
      <c r="R125" s="300">
        <f t="shared" si="11"/>
        <v>0</v>
      </c>
      <c r="S125" s="300">
        <f t="shared" si="12"/>
        <v>0</v>
      </c>
      <c r="T125" s="300">
        <f t="shared" si="13"/>
        <v>0</v>
      </c>
      <c r="U125" s="300">
        <f t="shared" si="14"/>
        <v>0</v>
      </c>
      <c r="V125" s="300">
        <f t="shared" si="15"/>
        <v>0</v>
      </c>
      <c r="W125" s="300">
        <f t="shared" si="16"/>
        <v>0</v>
      </c>
      <c r="X125" s="300">
        <f t="shared" si="17"/>
        <v>0</v>
      </c>
      <c r="Y125" s="300">
        <f t="shared" si="18"/>
        <v>0</v>
      </c>
      <c r="Z125"/>
      <c r="AA125"/>
      <c r="AB125"/>
    </row>
    <row r="126" spans="1:28" x14ac:dyDescent="0.35">
      <c r="A126" s="299"/>
      <c r="B126" s="515">
        <v>10.85417473268288</v>
      </c>
      <c r="C126" s="515">
        <v>0.16791091242060399</v>
      </c>
      <c r="D126" s="515">
        <v>1.3458044647006699</v>
      </c>
      <c r="E126" s="515">
        <v>6.1227175199999999E-6</v>
      </c>
      <c r="F126" s="515">
        <v>7.6095032108579E-2</v>
      </c>
      <c r="G126" s="299"/>
      <c r="H126" s="300">
        <f t="shared" si="10"/>
        <v>0</v>
      </c>
      <c r="I126" s="299"/>
      <c r="J126" s="1"/>
      <c r="K126" s="299"/>
      <c r="L126" s="1"/>
      <c r="M126" s="299"/>
      <c r="N126" s="299"/>
      <c r="O126" s="299"/>
      <c r="P126" s="299"/>
      <c r="Q126" s="298"/>
      <c r="R126" s="300">
        <f t="shared" si="11"/>
        <v>0</v>
      </c>
      <c r="S126" s="300">
        <f t="shared" si="12"/>
        <v>0</v>
      </c>
      <c r="T126" s="300">
        <f t="shared" si="13"/>
        <v>0</v>
      </c>
      <c r="U126" s="300">
        <f t="shared" si="14"/>
        <v>0</v>
      </c>
      <c r="V126" s="300">
        <f t="shared" si="15"/>
        <v>0</v>
      </c>
      <c r="W126" s="300">
        <f t="shared" si="16"/>
        <v>0</v>
      </c>
      <c r="X126" s="300">
        <f t="shared" si="17"/>
        <v>0</v>
      </c>
      <c r="Y126" s="300">
        <f t="shared" si="18"/>
        <v>0</v>
      </c>
      <c r="Z126"/>
      <c r="AA126"/>
      <c r="AB126"/>
    </row>
    <row r="127" spans="1:28" x14ac:dyDescent="0.35">
      <c r="A127" s="299"/>
      <c r="B127" s="515">
        <v>8.1104211271740869</v>
      </c>
      <c r="C127" s="515">
        <v>0.14574483193544699</v>
      </c>
      <c r="D127" s="515">
        <v>1.5710203103708269</v>
      </c>
      <c r="E127" s="515">
        <v>0.27040668662320499</v>
      </c>
      <c r="F127" s="515">
        <v>1.3742855977425E-2</v>
      </c>
      <c r="G127" s="299"/>
      <c r="H127" s="300">
        <f t="shared" si="10"/>
        <v>0</v>
      </c>
      <c r="I127" s="299"/>
      <c r="J127" s="1"/>
      <c r="K127" s="299"/>
      <c r="L127" s="1"/>
      <c r="M127" s="299"/>
      <c r="N127" s="299"/>
      <c r="O127" s="299"/>
      <c r="P127" s="299"/>
      <c r="Q127" s="298"/>
      <c r="R127" s="300">
        <f t="shared" si="11"/>
        <v>0</v>
      </c>
      <c r="S127" s="300">
        <f t="shared" si="12"/>
        <v>0</v>
      </c>
      <c r="T127" s="300">
        <f t="shared" si="13"/>
        <v>0</v>
      </c>
      <c r="U127" s="300">
        <f t="shared" si="14"/>
        <v>0</v>
      </c>
      <c r="V127" s="300">
        <f t="shared" si="15"/>
        <v>0</v>
      </c>
      <c r="W127" s="300">
        <f t="shared" si="16"/>
        <v>0</v>
      </c>
      <c r="X127" s="300">
        <f t="shared" si="17"/>
        <v>0</v>
      </c>
      <c r="Y127" s="300">
        <f t="shared" si="18"/>
        <v>0</v>
      </c>
      <c r="Z127"/>
      <c r="AA127"/>
      <c r="AB127"/>
    </row>
    <row r="128" spans="1:28" x14ac:dyDescent="0.35">
      <c r="A128" s="299"/>
      <c r="B128" s="515">
        <v>0.665632819198688</v>
      </c>
      <c r="C128" s="515">
        <v>0.105906910670741</v>
      </c>
      <c r="D128" s="515">
        <v>1.0295727056678301</v>
      </c>
      <c r="E128" s="515">
        <v>0.14904378574407001</v>
      </c>
      <c r="F128" s="515">
        <v>3.1512920509393E-2</v>
      </c>
      <c r="G128" s="299"/>
      <c r="H128" s="300">
        <f t="shared" si="10"/>
        <v>0</v>
      </c>
      <c r="I128" s="299"/>
      <c r="J128" s="1"/>
      <c r="K128" s="299"/>
      <c r="L128" s="1"/>
      <c r="M128" s="299"/>
      <c r="N128" s="299"/>
      <c r="O128" s="299"/>
      <c r="P128" s="299"/>
      <c r="Q128" s="298"/>
      <c r="R128" s="300">
        <f t="shared" si="11"/>
        <v>0</v>
      </c>
      <c r="S128" s="300">
        <f t="shared" si="12"/>
        <v>0</v>
      </c>
      <c r="T128" s="300">
        <f t="shared" si="13"/>
        <v>0</v>
      </c>
      <c r="U128" s="300">
        <f t="shared" si="14"/>
        <v>0</v>
      </c>
      <c r="V128" s="300">
        <f t="shared" si="15"/>
        <v>0</v>
      </c>
      <c r="W128" s="300">
        <f t="shared" si="16"/>
        <v>0</v>
      </c>
      <c r="X128" s="300">
        <f t="shared" si="17"/>
        <v>0</v>
      </c>
      <c r="Y128" s="300">
        <f t="shared" si="18"/>
        <v>0</v>
      </c>
      <c r="Z128"/>
      <c r="AA128"/>
      <c r="AB128"/>
    </row>
    <row r="129" spans="1:28" x14ac:dyDescent="0.35">
      <c r="A129" s="299"/>
      <c r="B129" s="515">
        <v>7.1627551493762898</v>
      </c>
      <c r="C129" s="515">
        <v>0.12500914670246399</v>
      </c>
      <c r="D129" s="515">
        <v>1.2459713666768091</v>
      </c>
      <c r="E129" s="515">
        <v>2.1615087785422999E-2</v>
      </c>
      <c r="F129" s="515">
        <v>6.8794778285902997E-2</v>
      </c>
      <c r="G129" s="299"/>
      <c r="H129" s="300">
        <f t="shared" ref="H129:H192" si="20">SUMPRODUCT(B129:F129,B$61:F$61)</f>
        <v>0</v>
      </c>
      <c r="I129" s="299"/>
      <c r="J129" s="1"/>
      <c r="K129" s="299"/>
      <c r="L129" s="1"/>
      <c r="M129" s="299"/>
      <c r="N129" s="299"/>
      <c r="O129" s="299"/>
      <c r="P129" s="299"/>
      <c r="Q129" s="298"/>
      <c r="R129" s="300">
        <f t="shared" ref="R129:R192" si="21">SUMPRODUCT($B129:$F129,$K$64:$O$64)</f>
        <v>0</v>
      </c>
      <c r="S129" s="300">
        <f t="shared" ref="S129:S192" si="22">SUMPRODUCT($B129:$F129,$K$65:$O$65)</f>
        <v>0</v>
      </c>
      <c r="T129" s="300">
        <f t="shared" ref="T129:T192" si="23">SUMPRODUCT($B129:$F129,$K$66:$O$66)</f>
        <v>0</v>
      </c>
      <c r="U129" s="300">
        <f t="shared" ref="U129:U192" si="24">SUMPRODUCT($B129:$F129,$K$67:$O$67)</f>
        <v>0</v>
      </c>
      <c r="V129" s="300">
        <f t="shared" ref="V129:V192" si="25">SUMPRODUCT($B129:$F129,$K$68:$O$68)</f>
        <v>0</v>
      </c>
      <c r="W129" s="300">
        <f t="shared" ref="W129:W192" si="26">SUMPRODUCT($B129:$F129,$K$69:$O$69)</f>
        <v>0</v>
      </c>
      <c r="X129" s="300">
        <f t="shared" ref="X129:X192" si="27">SUMPRODUCT($B129:$F129,$K$70:$O$70)</f>
        <v>0</v>
      </c>
      <c r="Y129" s="300">
        <f t="shared" ref="Y129:Y192" si="28">SUMPRODUCT($B129:$F129,$K$71:$O$71)</f>
        <v>0</v>
      </c>
      <c r="Z129"/>
      <c r="AA129"/>
      <c r="AB129"/>
    </row>
    <row r="130" spans="1:28" x14ac:dyDescent="0.35">
      <c r="A130" s="299"/>
      <c r="B130" s="515">
        <v>2.7492243733910429</v>
      </c>
      <c r="C130" s="515">
        <v>7.4467599700782997E-2</v>
      </c>
      <c r="D130" s="515">
        <v>2.0004419065572732</v>
      </c>
      <c r="E130" s="515">
        <v>0.25029300611723398</v>
      </c>
      <c r="F130" s="515">
        <v>7.2651595865680001E-3</v>
      </c>
      <c r="G130" s="299"/>
      <c r="H130" s="300">
        <f t="shared" si="20"/>
        <v>0</v>
      </c>
      <c r="I130" s="299"/>
      <c r="J130" s="1"/>
      <c r="K130" s="299"/>
      <c r="L130" s="1"/>
      <c r="M130" s="299"/>
      <c r="N130" s="299"/>
      <c r="O130" s="299"/>
      <c r="P130" s="299"/>
      <c r="Q130" s="298"/>
      <c r="R130" s="300">
        <f t="shared" si="21"/>
        <v>0</v>
      </c>
      <c r="S130" s="300">
        <f t="shared" si="22"/>
        <v>0</v>
      </c>
      <c r="T130" s="300">
        <f t="shared" si="23"/>
        <v>0</v>
      </c>
      <c r="U130" s="300">
        <f t="shared" si="24"/>
        <v>0</v>
      </c>
      <c r="V130" s="300">
        <f t="shared" si="25"/>
        <v>0</v>
      </c>
      <c r="W130" s="300">
        <f t="shared" si="26"/>
        <v>0</v>
      </c>
      <c r="X130" s="300">
        <f t="shared" si="27"/>
        <v>0</v>
      </c>
      <c r="Y130" s="300">
        <f t="shared" si="28"/>
        <v>0</v>
      </c>
      <c r="Z130"/>
      <c r="AA130"/>
      <c r="AB130"/>
    </row>
    <row r="131" spans="1:28" x14ac:dyDescent="0.35">
      <c r="A131" s="299"/>
      <c r="B131" s="515">
        <v>8.9014316533320592</v>
      </c>
      <c r="C131" s="515">
        <v>-1.2885701460989241</v>
      </c>
      <c r="D131" s="515">
        <v>3.3309993960745499</v>
      </c>
      <c r="E131" s="515">
        <v>6.4362431000000006E-8</v>
      </c>
      <c r="F131" s="515">
        <v>5.2899765858539997E-2</v>
      </c>
      <c r="G131" s="299"/>
      <c r="H131" s="300">
        <f t="shared" si="20"/>
        <v>0</v>
      </c>
      <c r="I131" s="299"/>
      <c r="J131" s="1"/>
      <c r="K131" s="299"/>
      <c r="L131" s="1"/>
      <c r="M131" s="299"/>
      <c r="N131" s="299"/>
      <c r="O131" s="299"/>
      <c r="P131" s="299"/>
      <c r="Q131" s="298"/>
      <c r="R131" s="300">
        <f t="shared" si="21"/>
        <v>0</v>
      </c>
      <c r="S131" s="300">
        <f t="shared" si="22"/>
        <v>0</v>
      </c>
      <c r="T131" s="300">
        <f t="shared" si="23"/>
        <v>0</v>
      </c>
      <c r="U131" s="300">
        <f t="shared" si="24"/>
        <v>0</v>
      </c>
      <c r="V131" s="300">
        <f t="shared" si="25"/>
        <v>0</v>
      </c>
      <c r="W131" s="300">
        <f t="shared" si="26"/>
        <v>0</v>
      </c>
      <c r="X131" s="300">
        <f t="shared" si="27"/>
        <v>0</v>
      </c>
      <c r="Y131" s="300">
        <f t="shared" si="28"/>
        <v>0</v>
      </c>
      <c r="Z131"/>
      <c r="AA131"/>
      <c r="AB131"/>
    </row>
    <row r="132" spans="1:28" x14ac:dyDescent="0.35">
      <c r="A132" s="299"/>
      <c r="B132" s="515">
        <v>9.2731896426436293</v>
      </c>
      <c r="C132" s="515">
        <v>-0.45773258792358701</v>
      </c>
      <c r="D132" s="515">
        <v>1.1551540424229909</v>
      </c>
      <c r="E132" s="515">
        <v>0.153904639499651</v>
      </c>
      <c r="F132" s="515">
        <v>7.0654550961096005E-2</v>
      </c>
      <c r="G132" s="299"/>
      <c r="H132" s="300">
        <f t="shared" si="20"/>
        <v>0</v>
      </c>
      <c r="I132" s="299"/>
      <c r="J132" s="1"/>
      <c r="K132" s="299"/>
      <c r="L132" s="1"/>
      <c r="M132" s="299"/>
      <c r="N132" s="299"/>
      <c r="O132" s="299"/>
      <c r="P132" s="299"/>
      <c r="Q132" s="298"/>
      <c r="R132" s="300">
        <f t="shared" si="21"/>
        <v>0</v>
      </c>
      <c r="S132" s="300">
        <f t="shared" si="22"/>
        <v>0</v>
      </c>
      <c r="T132" s="300">
        <f t="shared" si="23"/>
        <v>0</v>
      </c>
      <c r="U132" s="300">
        <f t="shared" si="24"/>
        <v>0</v>
      </c>
      <c r="V132" s="300">
        <f t="shared" si="25"/>
        <v>0</v>
      </c>
      <c r="W132" s="300">
        <f t="shared" si="26"/>
        <v>0</v>
      </c>
      <c r="X132" s="300">
        <f t="shared" si="27"/>
        <v>0</v>
      </c>
      <c r="Y132" s="300">
        <f t="shared" si="28"/>
        <v>0</v>
      </c>
      <c r="Z132"/>
      <c r="AA132"/>
      <c r="AB132"/>
    </row>
    <row r="133" spans="1:28" x14ac:dyDescent="0.35">
      <c r="A133" s="299"/>
      <c r="B133" s="515">
        <v>6.8690543417286847</v>
      </c>
      <c r="C133" s="515">
        <v>1.7684571094700001E-2</v>
      </c>
      <c r="D133" s="515">
        <v>1.227422304679028</v>
      </c>
      <c r="E133" s="515">
        <v>0.15505948651478499</v>
      </c>
      <c r="F133" s="515">
        <v>5.5385570787775999E-2</v>
      </c>
      <c r="G133" s="299"/>
      <c r="H133" s="300">
        <f t="shared" si="20"/>
        <v>0</v>
      </c>
      <c r="I133" s="299"/>
      <c r="J133" s="1"/>
      <c r="K133" s="299"/>
      <c r="L133" s="1"/>
      <c r="M133" s="299"/>
      <c r="N133" s="299"/>
      <c r="O133" s="299"/>
      <c r="P133" s="299"/>
      <c r="Q133" s="298"/>
      <c r="R133" s="300">
        <f t="shared" si="21"/>
        <v>0</v>
      </c>
      <c r="S133" s="300">
        <f t="shared" si="22"/>
        <v>0</v>
      </c>
      <c r="T133" s="300">
        <f t="shared" si="23"/>
        <v>0</v>
      </c>
      <c r="U133" s="300">
        <f t="shared" si="24"/>
        <v>0</v>
      </c>
      <c r="V133" s="300">
        <f t="shared" si="25"/>
        <v>0</v>
      </c>
      <c r="W133" s="300">
        <f t="shared" si="26"/>
        <v>0</v>
      </c>
      <c r="X133" s="300">
        <f t="shared" si="27"/>
        <v>0</v>
      </c>
      <c r="Y133" s="300">
        <f t="shared" si="28"/>
        <v>0</v>
      </c>
      <c r="Z133"/>
      <c r="AA133"/>
      <c r="AB133"/>
    </row>
    <row r="134" spans="1:28" x14ac:dyDescent="0.35">
      <c r="A134" s="299"/>
      <c r="B134" s="515">
        <v>14.149356340941271</v>
      </c>
      <c r="C134" s="515">
        <v>-0.57562107992867795</v>
      </c>
      <c r="D134" s="515">
        <v>1.649142259273269</v>
      </c>
      <c r="E134" s="515">
        <v>0.18366132507101601</v>
      </c>
      <c r="F134" s="515">
        <v>7.4961796137452005E-2</v>
      </c>
      <c r="G134" s="299"/>
      <c r="H134" s="300">
        <f t="shared" si="20"/>
        <v>0</v>
      </c>
      <c r="I134" s="299"/>
      <c r="J134" s="1"/>
      <c r="K134" s="299"/>
      <c r="L134" s="1"/>
      <c r="M134" s="299"/>
      <c r="N134" s="299"/>
      <c r="O134" s="299"/>
      <c r="P134" s="299"/>
      <c r="Q134" s="298"/>
      <c r="R134" s="300">
        <f t="shared" si="21"/>
        <v>0</v>
      </c>
      <c r="S134" s="300">
        <f t="shared" si="22"/>
        <v>0</v>
      </c>
      <c r="T134" s="300">
        <f t="shared" si="23"/>
        <v>0</v>
      </c>
      <c r="U134" s="300">
        <f t="shared" si="24"/>
        <v>0</v>
      </c>
      <c r="V134" s="300">
        <f t="shared" si="25"/>
        <v>0</v>
      </c>
      <c r="W134" s="300">
        <f t="shared" si="26"/>
        <v>0</v>
      </c>
      <c r="X134" s="300">
        <f t="shared" si="27"/>
        <v>0</v>
      </c>
      <c r="Y134" s="300">
        <f t="shared" si="28"/>
        <v>0</v>
      </c>
      <c r="Z134"/>
      <c r="AA134"/>
      <c r="AB134"/>
    </row>
    <row r="135" spans="1:28" x14ac:dyDescent="0.35">
      <c r="A135" s="299"/>
      <c r="B135" s="515">
        <v>10.902245293669621</v>
      </c>
      <c r="C135" s="515">
        <v>-0.27879743964911002</v>
      </c>
      <c r="D135" s="515">
        <v>2.2077025993247972</v>
      </c>
      <c r="E135" s="515">
        <v>1.7335500800000001E-7</v>
      </c>
      <c r="F135" s="515">
        <v>6.7957398123786997E-2</v>
      </c>
      <c r="G135" s="299"/>
      <c r="H135" s="300">
        <f t="shared" si="20"/>
        <v>0</v>
      </c>
      <c r="I135" s="299"/>
      <c r="J135" s="1"/>
      <c r="K135" s="299"/>
      <c r="L135" s="1"/>
      <c r="M135" s="299"/>
      <c r="N135" s="299"/>
      <c r="O135" s="299"/>
      <c r="P135" s="299"/>
      <c r="Q135" s="298"/>
      <c r="R135" s="300">
        <f t="shared" si="21"/>
        <v>0</v>
      </c>
      <c r="S135" s="300">
        <f t="shared" si="22"/>
        <v>0</v>
      </c>
      <c r="T135" s="300">
        <f t="shared" si="23"/>
        <v>0</v>
      </c>
      <c r="U135" s="300">
        <f t="shared" si="24"/>
        <v>0</v>
      </c>
      <c r="V135" s="300">
        <f t="shared" si="25"/>
        <v>0</v>
      </c>
      <c r="W135" s="300">
        <f t="shared" si="26"/>
        <v>0</v>
      </c>
      <c r="X135" s="300">
        <f t="shared" si="27"/>
        <v>0</v>
      </c>
      <c r="Y135" s="300">
        <f t="shared" si="28"/>
        <v>0</v>
      </c>
      <c r="Z135"/>
      <c r="AA135"/>
      <c r="AB135"/>
    </row>
    <row r="136" spans="1:28" x14ac:dyDescent="0.35">
      <c r="A136" s="299"/>
      <c r="B136" s="515">
        <v>1.8127906543020001E-3</v>
      </c>
      <c r="C136" s="515">
        <v>2.8017122217107001E-2</v>
      </c>
      <c r="D136" s="515">
        <v>1.9805718835541271</v>
      </c>
      <c r="E136" s="515">
        <v>0.224314443606702</v>
      </c>
      <c r="F136" s="515">
        <v>5.2055204959460004E-3</v>
      </c>
      <c r="G136" s="299"/>
      <c r="H136" s="300">
        <f t="shared" si="20"/>
        <v>0</v>
      </c>
      <c r="I136" s="299"/>
      <c r="J136" s="1"/>
      <c r="K136" s="299"/>
      <c r="L136" s="1"/>
      <c r="M136" s="299"/>
      <c r="N136" s="299"/>
      <c r="O136" s="299"/>
      <c r="P136" s="299"/>
      <c r="Q136" s="298"/>
      <c r="R136" s="300">
        <f t="shared" si="21"/>
        <v>0</v>
      </c>
      <c r="S136" s="300">
        <f t="shared" si="22"/>
        <v>0</v>
      </c>
      <c r="T136" s="300">
        <f t="shared" si="23"/>
        <v>0</v>
      </c>
      <c r="U136" s="300">
        <f t="shared" si="24"/>
        <v>0</v>
      </c>
      <c r="V136" s="300">
        <f t="shared" si="25"/>
        <v>0</v>
      </c>
      <c r="W136" s="300">
        <f t="shared" si="26"/>
        <v>0</v>
      </c>
      <c r="X136" s="300">
        <f t="shared" si="27"/>
        <v>0</v>
      </c>
      <c r="Y136" s="300">
        <f t="shared" si="28"/>
        <v>0</v>
      </c>
      <c r="Z136"/>
      <c r="AA136"/>
      <c r="AB136"/>
    </row>
    <row r="137" spans="1:28" x14ac:dyDescent="0.35">
      <c r="A137" s="299"/>
      <c r="B137" s="515">
        <v>3.1593419118731769</v>
      </c>
      <c r="C137" s="515">
        <v>9.0170206811262005E-2</v>
      </c>
      <c r="D137" s="515">
        <v>1.8066814439471739</v>
      </c>
      <c r="E137" s="515">
        <v>0.171810202229596</v>
      </c>
      <c r="F137" s="515">
        <v>2.6926207074953998E-2</v>
      </c>
      <c r="G137" s="299"/>
      <c r="H137" s="300">
        <f t="shared" si="20"/>
        <v>0</v>
      </c>
      <c r="I137" s="299"/>
      <c r="J137" s="1"/>
      <c r="K137" s="299"/>
      <c r="L137" s="1"/>
      <c r="M137" s="299"/>
      <c r="N137" s="299"/>
      <c r="O137" s="299"/>
      <c r="P137" s="299"/>
      <c r="Q137" s="298"/>
      <c r="R137" s="300">
        <f t="shared" si="21"/>
        <v>0</v>
      </c>
      <c r="S137" s="300">
        <f t="shared" si="22"/>
        <v>0</v>
      </c>
      <c r="T137" s="300">
        <f t="shared" si="23"/>
        <v>0</v>
      </c>
      <c r="U137" s="300">
        <f t="shared" si="24"/>
        <v>0</v>
      </c>
      <c r="V137" s="300">
        <f t="shared" si="25"/>
        <v>0</v>
      </c>
      <c r="W137" s="300">
        <f t="shared" si="26"/>
        <v>0</v>
      </c>
      <c r="X137" s="300">
        <f t="shared" si="27"/>
        <v>0</v>
      </c>
      <c r="Y137" s="300">
        <f t="shared" si="28"/>
        <v>0</v>
      </c>
      <c r="Z137"/>
      <c r="AA137"/>
      <c r="AB137"/>
    </row>
    <row r="138" spans="1:28" x14ac:dyDescent="0.35">
      <c r="A138" s="299"/>
      <c r="B138" s="515">
        <v>5.6710563222816992</v>
      </c>
      <c r="C138" s="515">
        <v>9.5798958624953995E-2</v>
      </c>
      <c r="D138" s="515">
        <v>0.883545118918863</v>
      </c>
      <c r="E138" s="515">
        <v>0.13742726710514699</v>
      </c>
      <c r="F138" s="515">
        <v>5.6649476848891003E-2</v>
      </c>
      <c r="G138" s="299"/>
      <c r="H138" s="300">
        <f t="shared" si="20"/>
        <v>0</v>
      </c>
      <c r="I138" s="299"/>
      <c r="J138" s="1"/>
      <c r="K138" s="299"/>
      <c r="L138" s="1"/>
      <c r="M138" s="299"/>
      <c r="N138" s="299"/>
      <c r="O138" s="299"/>
      <c r="P138" s="299"/>
      <c r="Q138" s="298"/>
      <c r="R138" s="300">
        <f t="shared" si="21"/>
        <v>0</v>
      </c>
      <c r="S138" s="300">
        <f t="shared" si="22"/>
        <v>0</v>
      </c>
      <c r="T138" s="300">
        <f t="shared" si="23"/>
        <v>0</v>
      </c>
      <c r="U138" s="300">
        <f t="shared" si="24"/>
        <v>0</v>
      </c>
      <c r="V138" s="300">
        <f t="shared" si="25"/>
        <v>0</v>
      </c>
      <c r="W138" s="300">
        <f t="shared" si="26"/>
        <v>0</v>
      </c>
      <c r="X138" s="300">
        <f t="shared" si="27"/>
        <v>0</v>
      </c>
      <c r="Y138" s="300">
        <f t="shared" si="28"/>
        <v>0</v>
      </c>
      <c r="Z138"/>
      <c r="AA138"/>
      <c r="AB138"/>
    </row>
    <row r="139" spans="1:28" x14ac:dyDescent="0.35">
      <c r="A139" s="299"/>
      <c r="B139" s="515">
        <v>2.1346386632580001E-3</v>
      </c>
      <c r="C139" s="515">
        <v>4.4054367378689001E-2</v>
      </c>
      <c r="D139" s="515">
        <v>7.5009476276030995E-2</v>
      </c>
      <c r="E139" s="515">
        <v>0.10700875488011399</v>
      </c>
      <c r="F139" s="515">
        <v>5.3590582113644002E-2</v>
      </c>
      <c r="G139" s="299"/>
      <c r="H139" s="300">
        <f t="shared" si="20"/>
        <v>0</v>
      </c>
      <c r="I139" s="299"/>
      <c r="J139" s="1"/>
      <c r="K139" s="299"/>
      <c r="L139" s="1"/>
      <c r="M139" s="299"/>
      <c r="N139" s="299"/>
      <c r="O139" s="299"/>
      <c r="P139" s="299"/>
      <c r="Q139" s="298"/>
      <c r="R139" s="300">
        <f t="shared" si="21"/>
        <v>0</v>
      </c>
      <c r="S139" s="300">
        <f t="shared" si="22"/>
        <v>0</v>
      </c>
      <c r="T139" s="300">
        <f t="shared" si="23"/>
        <v>0</v>
      </c>
      <c r="U139" s="300">
        <f t="shared" si="24"/>
        <v>0</v>
      </c>
      <c r="V139" s="300">
        <f t="shared" si="25"/>
        <v>0</v>
      </c>
      <c r="W139" s="300">
        <f t="shared" si="26"/>
        <v>0</v>
      </c>
      <c r="X139" s="300">
        <f t="shared" si="27"/>
        <v>0</v>
      </c>
      <c r="Y139" s="300">
        <f t="shared" si="28"/>
        <v>0</v>
      </c>
      <c r="Z139"/>
      <c r="AA139"/>
      <c r="AB139"/>
    </row>
    <row r="140" spans="1:28" x14ac:dyDescent="0.35">
      <c r="A140" s="299"/>
      <c r="B140" s="515">
        <v>10.461239474835409</v>
      </c>
      <c r="C140" s="515">
        <v>0.139894006553092</v>
      </c>
      <c r="D140" s="515">
        <v>1.152606647283392</v>
      </c>
      <c r="E140" s="515">
        <v>4.8506654397233E-2</v>
      </c>
      <c r="F140" s="515">
        <v>7.5796795332528005E-2</v>
      </c>
      <c r="G140" s="299"/>
      <c r="H140" s="300">
        <f t="shared" si="20"/>
        <v>0</v>
      </c>
      <c r="I140" s="299"/>
      <c r="J140" s="1"/>
      <c r="K140" s="299"/>
      <c r="L140" s="1"/>
      <c r="M140" s="299"/>
      <c r="N140" s="299"/>
      <c r="O140" s="299"/>
      <c r="P140" s="299"/>
      <c r="Q140" s="298"/>
      <c r="R140" s="300">
        <f t="shared" si="21"/>
        <v>0</v>
      </c>
      <c r="S140" s="300">
        <f t="shared" si="22"/>
        <v>0</v>
      </c>
      <c r="T140" s="300">
        <f t="shared" si="23"/>
        <v>0</v>
      </c>
      <c r="U140" s="300">
        <f t="shared" si="24"/>
        <v>0</v>
      </c>
      <c r="V140" s="300">
        <f t="shared" si="25"/>
        <v>0</v>
      </c>
      <c r="W140" s="300">
        <f t="shared" si="26"/>
        <v>0</v>
      </c>
      <c r="X140" s="300">
        <f t="shared" si="27"/>
        <v>0</v>
      </c>
      <c r="Y140" s="300">
        <f t="shared" si="28"/>
        <v>0</v>
      </c>
      <c r="Z140"/>
      <c r="AA140"/>
      <c r="AB140"/>
    </row>
    <row r="141" spans="1:28" x14ac:dyDescent="0.35">
      <c r="A141" s="299"/>
      <c r="B141" s="515">
        <v>6.7880935149573443</v>
      </c>
      <c r="C141" s="515">
        <v>9.0145310543327001E-2</v>
      </c>
      <c r="D141" s="515">
        <v>1.479356358489609</v>
      </c>
      <c r="E141" s="515">
        <v>0.14115611356732399</v>
      </c>
      <c r="F141" s="515">
        <v>5.1552705294817001E-2</v>
      </c>
      <c r="G141" s="299"/>
      <c r="H141" s="300">
        <f t="shared" si="20"/>
        <v>0</v>
      </c>
      <c r="I141" s="299"/>
      <c r="J141" s="1"/>
      <c r="K141" s="299"/>
      <c r="L141" s="1"/>
      <c r="M141" s="299"/>
      <c r="N141" s="299"/>
      <c r="O141" s="299"/>
      <c r="P141" s="299"/>
      <c r="Q141" s="298"/>
      <c r="R141" s="300">
        <f t="shared" si="21"/>
        <v>0</v>
      </c>
      <c r="S141" s="300">
        <f t="shared" si="22"/>
        <v>0</v>
      </c>
      <c r="T141" s="300">
        <f t="shared" si="23"/>
        <v>0</v>
      </c>
      <c r="U141" s="300">
        <f t="shared" si="24"/>
        <v>0</v>
      </c>
      <c r="V141" s="300">
        <f t="shared" si="25"/>
        <v>0</v>
      </c>
      <c r="W141" s="300">
        <f t="shared" si="26"/>
        <v>0</v>
      </c>
      <c r="X141" s="300">
        <f t="shared" si="27"/>
        <v>0</v>
      </c>
      <c r="Y141" s="300">
        <f t="shared" si="28"/>
        <v>0</v>
      </c>
      <c r="Z141"/>
      <c r="AA141"/>
      <c r="AB141"/>
    </row>
    <row r="142" spans="1:28" x14ac:dyDescent="0.35">
      <c r="A142" s="299"/>
      <c r="B142" s="515">
        <v>11.446512280307431</v>
      </c>
      <c r="C142" s="515">
        <v>-0.66897648430079304</v>
      </c>
      <c r="D142" s="515">
        <v>1.9797038212037581</v>
      </c>
      <c r="E142" s="515">
        <v>4.7878903615599999E-4</v>
      </c>
      <c r="F142" s="515">
        <v>7.2006494515183997E-2</v>
      </c>
      <c r="G142" s="299"/>
      <c r="H142" s="300">
        <f t="shared" si="20"/>
        <v>0</v>
      </c>
      <c r="I142" s="299"/>
      <c r="J142" s="1"/>
      <c r="K142" s="299"/>
      <c r="L142" s="1"/>
      <c r="M142" s="299"/>
      <c r="N142" s="299"/>
      <c r="O142" s="299"/>
      <c r="P142" s="299"/>
      <c r="Q142" s="298"/>
      <c r="R142" s="300">
        <f t="shared" si="21"/>
        <v>0</v>
      </c>
      <c r="S142" s="300">
        <f t="shared" si="22"/>
        <v>0</v>
      </c>
      <c r="T142" s="300">
        <f t="shared" si="23"/>
        <v>0</v>
      </c>
      <c r="U142" s="300">
        <f t="shared" si="24"/>
        <v>0</v>
      </c>
      <c r="V142" s="300">
        <f t="shared" si="25"/>
        <v>0</v>
      </c>
      <c r="W142" s="300">
        <f t="shared" si="26"/>
        <v>0</v>
      </c>
      <c r="X142" s="300">
        <f t="shared" si="27"/>
        <v>0</v>
      </c>
      <c r="Y142" s="300">
        <f t="shared" si="28"/>
        <v>0</v>
      </c>
      <c r="Z142"/>
      <c r="AA142"/>
      <c r="AB142"/>
    </row>
    <row r="143" spans="1:28" x14ac:dyDescent="0.35">
      <c r="A143" s="299"/>
      <c r="B143" s="515">
        <v>10.854000805861419</v>
      </c>
      <c r="C143" s="515">
        <v>0.167999847726236</v>
      </c>
      <c r="D143" s="515">
        <v>1.3455230276388119</v>
      </c>
      <c r="E143" s="515">
        <v>2.5895115456000001E-5</v>
      </c>
      <c r="F143" s="515">
        <v>7.6096788437808996E-2</v>
      </c>
      <c r="G143" s="299"/>
      <c r="H143" s="300">
        <f t="shared" si="20"/>
        <v>0</v>
      </c>
      <c r="I143" s="299"/>
      <c r="J143" s="1"/>
      <c r="K143" s="299"/>
      <c r="L143" s="1"/>
      <c r="M143" s="299"/>
      <c r="N143" s="299"/>
      <c r="O143" s="299"/>
      <c r="P143" s="299"/>
      <c r="Q143" s="298"/>
      <c r="R143" s="300">
        <f t="shared" si="21"/>
        <v>0</v>
      </c>
      <c r="S143" s="300">
        <f t="shared" si="22"/>
        <v>0</v>
      </c>
      <c r="T143" s="300">
        <f t="shared" si="23"/>
        <v>0</v>
      </c>
      <c r="U143" s="300">
        <f t="shared" si="24"/>
        <v>0</v>
      </c>
      <c r="V143" s="300">
        <f t="shared" si="25"/>
        <v>0</v>
      </c>
      <c r="W143" s="300">
        <f t="shared" si="26"/>
        <v>0</v>
      </c>
      <c r="X143" s="300">
        <f t="shared" si="27"/>
        <v>0</v>
      </c>
      <c r="Y143" s="300">
        <f t="shared" si="28"/>
        <v>0</v>
      </c>
      <c r="Z143"/>
      <c r="AA143"/>
      <c r="AB143"/>
    </row>
    <row r="144" spans="1:28" x14ac:dyDescent="0.35">
      <c r="A144" s="299"/>
      <c r="B144" s="515">
        <v>9.8821778443320008E-3</v>
      </c>
      <c r="C144" s="515">
        <v>7.0678430037094994E-2</v>
      </c>
      <c r="D144" s="515">
        <v>1.5003864295399241</v>
      </c>
      <c r="E144" s="515">
        <v>0.15190022041284401</v>
      </c>
      <c r="F144" s="515">
        <v>2.2792780253531E-2</v>
      </c>
      <c r="G144" s="299"/>
      <c r="H144" s="300">
        <f t="shared" si="20"/>
        <v>0</v>
      </c>
      <c r="I144" s="299"/>
      <c r="J144" s="1"/>
      <c r="K144" s="299"/>
      <c r="L144" s="1"/>
      <c r="M144" s="299"/>
      <c r="N144" s="299"/>
      <c r="O144" s="299"/>
      <c r="P144" s="299"/>
      <c r="Q144" s="298"/>
      <c r="R144" s="300">
        <f t="shared" si="21"/>
        <v>0</v>
      </c>
      <c r="S144" s="300">
        <f t="shared" si="22"/>
        <v>0</v>
      </c>
      <c r="T144" s="300">
        <f t="shared" si="23"/>
        <v>0</v>
      </c>
      <c r="U144" s="300">
        <f t="shared" si="24"/>
        <v>0</v>
      </c>
      <c r="V144" s="300">
        <f t="shared" si="25"/>
        <v>0</v>
      </c>
      <c r="W144" s="300">
        <f t="shared" si="26"/>
        <v>0</v>
      </c>
      <c r="X144" s="300">
        <f t="shared" si="27"/>
        <v>0</v>
      </c>
      <c r="Y144" s="300">
        <f t="shared" si="28"/>
        <v>0</v>
      </c>
      <c r="Z144"/>
      <c r="AA144"/>
      <c r="AB144"/>
    </row>
    <row r="145" spans="1:28" x14ac:dyDescent="0.35">
      <c r="A145" s="299"/>
      <c r="B145" s="515">
        <v>6.7650770542177996E-2</v>
      </c>
      <c r="C145" s="515">
        <v>5.3079944148672002E-2</v>
      </c>
      <c r="D145" s="515">
        <v>3.1264139403773997E-2</v>
      </c>
      <c r="E145" s="515">
        <v>9.6397229295003994E-2</v>
      </c>
      <c r="F145" s="515">
        <v>5.6019581958446002E-2</v>
      </c>
      <c r="G145" s="299"/>
      <c r="H145" s="300">
        <f t="shared" si="20"/>
        <v>0</v>
      </c>
      <c r="I145" s="299"/>
      <c r="J145" s="1"/>
      <c r="K145" s="299"/>
      <c r="L145" s="1"/>
      <c r="M145" s="299"/>
      <c r="N145" s="299"/>
      <c r="O145" s="299"/>
      <c r="P145" s="299"/>
      <c r="Q145" s="298"/>
      <c r="R145" s="300">
        <f t="shared" si="21"/>
        <v>0</v>
      </c>
      <c r="S145" s="300">
        <f t="shared" si="22"/>
        <v>0</v>
      </c>
      <c r="T145" s="300">
        <f t="shared" si="23"/>
        <v>0</v>
      </c>
      <c r="U145" s="300">
        <f t="shared" si="24"/>
        <v>0</v>
      </c>
      <c r="V145" s="300">
        <f t="shared" si="25"/>
        <v>0</v>
      </c>
      <c r="W145" s="300">
        <f t="shared" si="26"/>
        <v>0</v>
      </c>
      <c r="X145" s="300">
        <f t="shared" si="27"/>
        <v>0</v>
      </c>
      <c r="Y145" s="300">
        <f t="shared" si="28"/>
        <v>0</v>
      </c>
      <c r="Z145"/>
      <c r="AA145"/>
      <c r="AB145"/>
    </row>
    <row r="146" spans="1:28" x14ac:dyDescent="0.35">
      <c r="A146" s="299"/>
      <c r="B146" s="515">
        <v>7.7113927766549999E-3</v>
      </c>
      <c r="C146" s="515">
        <v>-1.9411655444633E-2</v>
      </c>
      <c r="D146" s="515">
        <v>1.8676729228483619</v>
      </c>
      <c r="E146" s="515">
        <v>0.24076423897740101</v>
      </c>
      <c r="F146" s="515">
        <v>2.014191834823E-3</v>
      </c>
      <c r="G146" s="299"/>
      <c r="H146" s="300">
        <f t="shared" si="20"/>
        <v>0</v>
      </c>
      <c r="I146" s="299"/>
      <c r="J146" s="1"/>
      <c r="K146" s="299"/>
      <c r="L146" s="1"/>
      <c r="M146" s="299"/>
      <c r="N146" s="299"/>
      <c r="O146" s="299"/>
      <c r="P146" s="299"/>
      <c r="Q146" s="298"/>
      <c r="R146" s="300">
        <f t="shared" si="21"/>
        <v>0</v>
      </c>
      <c r="S146" s="300">
        <f t="shared" si="22"/>
        <v>0</v>
      </c>
      <c r="T146" s="300">
        <f t="shared" si="23"/>
        <v>0</v>
      </c>
      <c r="U146" s="300">
        <f t="shared" si="24"/>
        <v>0</v>
      </c>
      <c r="V146" s="300">
        <f t="shared" si="25"/>
        <v>0</v>
      </c>
      <c r="W146" s="300">
        <f t="shared" si="26"/>
        <v>0</v>
      </c>
      <c r="X146" s="300">
        <f t="shared" si="27"/>
        <v>0</v>
      </c>
      <c r="Y146" s="300">
        <f t="shared" si="28"/>
        <v>0</v>
      </c>
      <c r="Z146"/>
      <c r="AA146"/>
      <c r="AB146"/>
    </row>
    <row r="147" spans="1:28" x14ac:dyDescent="0.35">
      <c r="A147" s="299"/>
      <c r="B147" s="515">
        <v>0.117994246569636</v>
      </c>
      <c r="C147" s="515">
        <v>-3.2844721379587929</v>
      </c>
      <c r="D147" s="515">
        <v>1.1862757578314</v>
      </c>
      <c r="E147" s="515">
        <v>4.3525558926185003E-2</v>
      </c>
      <c r="F147" s="515">
        <v>6.1949560417024999E-2</v>
      </c>
      <c r="G147" s="299"/>
      <c r="H147" s="300">
        <f t="shared" si="20"/>
        <v>0</v>
      </c>
      <c r="I147" s="299"/>
      <c r="J147" s="1"/>
      <c r="K147" s="299"/>
      <c r="L147" s="1"/>
      <c r="M147" s="299"/>
      <c r="N147" s="299"/>
      <c r="O147" s="299"/>
      <c r="P147" s="299"/>
      <c r="Q147" s="298"/>
      <c r="R147" s="300">
        <f t="shared" si="21"/>
        <v>0</v>
      </c>
      <c r="S147" s="300">
        <f t="shared" si="22"/>
        <v>0</v>
      </c>
      <c r="T147" s="300">
        <f t="shared" si="23"/>
        <v>0</v>
      </c>
      <c r="U147" s="300">
        <f t="shared" si="24"/>
        <v>0</v>
      </c>
      <c r="V147" s="300">
        <f t="shared" si="25"/>
        <v>0</v>
      </c>
      <c r="W147" s="300">
        <f t="shared" si="26"/>
        <v>0</v>
      </c>
      <c r="X147" s="300">
        <f t="shared" si="27"/>
        <v>0</v>
      </c>
      <c r="Y147" s="300">
        <f t="shared" si="28"/>
        <v>0</v>
      </c>
      <c r="Z147"/>
      <c r="AA147"/>
      <c r="AB147"/>
    </row>
    <row r="148" spans="1:28" x14ac:dyDescent="0.35">
      <c r="A148" s="299"/>
      <c r="B148" s="515">
        <v>0.21481452065873199</v>
      </c>
      <c r="C148" s="515">
        <v>3.6352825192629001E-2</v>
      </c>
      <c r="D148" s="515">
        <v>1.9731759582537181</v>
      </c>
      <c r="E148" s="515">
        <v>0.22609690175118599</v>
      </c>
      <c r="F148" s="515">
        <v>5.4055059474790003E-3</v>
      </c>
      <c r="G148" s="299"/>
      <c r="H148" s="300">
        <f t="shared" si="20"/>
        <v>0</v>
      </c>
      <c r="I148" s="299"/>
      <c r="J148" s="1"/>
      <c r="K148" s="299"/>
      <c r="L148" s="1"/>
      <c r="M148" s="299"/>
      <c r="N148" s="299"/>
      <c r="O148" s="299"/>
      <c r="P148" s="299"/>
      <c r="Q148" s="298"/>
      <c r="R148" s="300">
        <f t="shared" si="21"/>
        <v>0</v>
      </c>
      <c r="S148" s="300">
        <f t="shared" si="22"/>
        <v>0</v>
      </c>
      <c r="T148" s="300">
        <f t="shared" si="23"/>
        <v>0</v>
      </c>
      <c r="U148" s="300">
        <f t="shared" si="24"/>
        <v>0</v>
      </c>
      <c r="V148" s="300">
        <f t="shared" si="25"/>
        <v>0</v>
      </c>
      <c r="W148" s="300">
        <f t="shared" si="26"/>
        <v>0</v>
      </c>
      <c r="X148" s="300">
        <f t="shared" si="27"/>
        <v>0</v>
      </c>
      <c r="Y148" s="300">
        <f t="shared" si="28"/>
        <v>0</v>
      </c>
      <c r="Z148"/>
      <c r="AA148"/>
      <c r="AB148"/>
    </row>
    <row r="149" spans="1:28" x14ac:dyDescent="0.35">
      <c r="A149" s="299"/>
      <c r="B149" s="515">
        <v>1.3296238958E-5</v>
      </c>
      <c r="C149" s="515">
        <v>-3.2949732314928331</v>
      </c>
      <c r="D149" s="515">
        <v>2.7117594399028642</v>
      </c>
      <c r="E149" s="515">
        <v>7.6278548471516994E-2</v>
      </c>
      <c r="F149" s="515">
        <v>4.1496208757869003E-2</v>
      </c>
      <c r="G149" s="299"/>
      <c r="H149" s="300">
        <f t="shared" si="20"/>
        <v>0</v>
      </c>
      <c r="I149" s="299"/>
      <c r="J149" s="1"/>
      <c r="K149" s="299"/>
      <c r="L149" s="1"/>
      <c r="M149" s="299"/>
      <c r="N149" s="299"/>
      <c r="O149" s="299"/>
      <c r="P149" s="299"/>
      <c r="Q149" s="298"/>
      <c r="R149" s="300">
        <f t="shared" si="21"/>
        <v>0</v>
      </c>
      <c r="S149" s="300">
        <f t="shared" si="22"/>
        <v>0</v>
      </c>
      <c r="T149" s="300">
        <f t="shared" si="23"/>
        <v>0</v>
      </c>
      <c r="U149" s="300">
        <f t="shared" si="24"/>
        <v>0</v>
      </c>
      <c r="V149" s="300">
        <f t="shared" si="25"/>
        <v>0</v>
      </c>
      <c r="W149" s="300">
        <f t="shared" si="26"/>
        <v>0</v>
      </c>
      <c r="X149" s="300">
        <f t="shared" si="27"/>
        <v>0</v>
      </c>
      <c r="Y149" s="300">
        <f t="shared" si="28"/>
        <v>0</v>
      </c>
      <c r="Z149"/>
      <c r="AA149"/>
      <c r="AB149"/>
    </row>
    <row r="150" spans="1:28" x14ac:dyDescent="0.35">
      <c r="A150" s="299"/>
      <c r="B150" s="515">
        <v>6.5992129713300001E-4</v>
      </c>
      <c r="C150" s="515">
        <v>-0.62090546433998695</v>
      </c>
      <c r="D150" s="515">
        <v>1.969076987166932</v>
      </c>
      <c r="E150" s="515">
        <v>2.7433146999999999E-8</v>
      </c>
      <c r="F150" s="515">
        <v>4.8954879646462002E-2</v>
      </c>
      <c r="G150" s="299"/>
      <c r="H150" s="300">
        <f t="shared" si="20"/>
        <v>0</v>
      </c>
      <c r="I150" s="299"/>
      <c r="J150" s="1"/>
      <c r="K150" s="299"/>
      <c r="L150" s="1"/>
      <c r="M150" s="299"/>
      <c r="N150" s="299"/>
      <c r="O150" s="299"/>
      <c r="P150" s="299"/>
      <c r="Q150" s="298"/>
      <c r="R150" s="300">
        <f t="shared" si="21"/>
        <v>0</v>
      </c>
      <c r="S150" s="300">
        <f t="shared" si="22"/>
        <v>0</v>
      </c>
      <c r="T150" s="300">
        <f t="shared" si="23"/>
        <v>0</v>
      </c>
      <c r="U150" s="300">
        <f t="shared" si="24"/>
        <v>0</v>
      </c>
      <c r="V150" s="300">
        <f t="shared" si="25"/>
        <v>0</v>
      </c>
      <c r="W150" s="300">
        <f t="shared" si="26"/>
        <v>0</v>
      </c>
      <c r="X150" s="300">
        <f t="shared" si="27"/>
        <v>0</v>
      </c>
      <c r="Y150" s="300">
        <f t="shared" si="28"/>
        <v>0</v>
      </c>
      <c r="Z150"/>
      <c r="AA150"/>
      <c r="AB150"/>
    </row>
    <row r="151" spans="1:28" x14ac:dyDescent="0.35">
      <c r="A151" s="299"/>
      <c r="B151" s="515">
        <v>4.454954346726125</v>
      </c>
      <c r="C151" s="515">
        <v>9.5908313959673003E-2</v>
      </c>
      <c r="D151" s="515">
        <v>1.3867693146178921</v>
      </c>
      <c r="E151" s="515">
        <v>1.9497068020999999E-5</v>
      </c>
      <c r="F151" s="515">
        <v>6.2344873847156999E-2</v>
      </c>
      <c r="G151" s="299"/>
      <c r="H151" s="300">
        <f t="shared" si="20"/>
        <v>0</v>
      </c>
      <c r="I151" s="299"/>
      <c r="J151" s="1"/>
      <c r="K151" s="299"/>
      <c r="L151" s="1"/>
      <c r="M151" s="299"/>
      <c r="N151" s="299"/>
      <c r="O151" s="299"/>
      <c r="P151" s="299"/>
      <c r="Q151" s="298"/>
      <c r="R151" s="300">
        <f t="shared" si="21"/>
        <v>0</v>
      </c>
      <c r="S151" s="300">
        <f t="shared" si="22"/>
        <v>0</v>
      </c>
      <c r="T151" s="300">
        <f t="shared" si="23"/>
        <v>0</v>
      </c>
      <c r="U151" s="300">
        <f t="shared" si="24"/>
        <v>0</v>
      </c>
      <c r="V151" s="300">
        <f t="shared" si="25"/>
        <v>0</v>
      </c>
      <c r="W151" s="300">
        <f t="shared" si="26"/>
        <v>0</v>
      </c>
      <c r="X151" s="300">
        <f t="shared" si="27"/>
        <v>0</v>
      </c>
      <c r="Y151" s="300">
        <f t="shared" si="28"/>
        <v>0</v>
      </c>
      <c r="Z151"/>
      <c r="AA151"/>
      <c r="AB151"/>
    </row>
    <row r="152" spans="1:28" x14ac:dyDescent="0.35">
      <c r="A152" s="299"/>
      <c r="B152" s="515">
        <v>4.0577131811149999E-3</v>
      </c>
      <c r="C152" s="515">
        <v>-1.122138645226618</v>
      </c>
      <c r="D152" s="515">
        <v>0.56016693158325004</v>
      </c>
      <c r="E152" s="515">
        <v>2.200847638E-6</v>
      </c>
      <c r="F152" s="515">
        <v>6.6858301652059998E-2</v>
      </c>
      <c r="G152" s="299"/>
      <c r="H152" s="300">
        <f t="shared" si="20"/>
        <v>0</v>
      </c>
      <c r="I152" s="299"/>
      <c r="J152" s="1"/>
      <c r="K152" s="299"/>
      <c r="L152" s="1"/>
      <c r="M152" s="299"/>
      <c r="N152" s="299"/>
      <c r="O152" s="299"/>
      <c r="P152" s="299"/>
      <c r="Q152" s="298"/>
      <c r="R152" s="300">
        <f t="shared" si="21"/>
        <v>0</v>
      </c>
      <c r="S152" s="300">
        <f t="shared" si="22"/>
        <v>0</v>
      </c>
      <c r="T152" s="300">
        <f t="shared" si="23"/>
        <v>0</v>
      </c>
      <c r="U152" s="300">
        <f t="shared" si="24"/>
        <v>0</v>
      </c>
      <c r="V152" s="300">
        <f t="shared" si="25"/>
        <v>0</v>
      </c>
      <c r="W152" s="300">
        <f t="shared" si="26"/>
        <v>0</v>
      </c>
      <c r="X152" s="300">
        <f t="shared" si="27"/>
        <v>0</v>
      </c>
      <c r="Y152" s="300">
        <f t="shared" si="28"/>
        <v>0</v>
      </c>
      <c r="Z152"/>
      <c r="AA152"/>
      <c r="AB152"/>
    </row>
    <row r="153" spans="1:28" x14ac:dyDescent="0.35">
      <c r="A153" s="299"/>
      <c r="B153" s="515">
        <v>3.0448882525140001E-3</v>
      </c>
      <c r="C153" s="515">
        <v>-0.83699151418304196</v>
      </c>
      <c r="D153" s="515">
        <v>2.0053380039061328</v>
      </c>
      <c r="E153" s="515">
        <v>2.2931549737183001E-2</v>
      </c>
      <c r="F153" s="515">
        <v>4.7081191530604E-2</v>
      </c>
      <c r="G153" s="299"/>
      <c r="H153" s="300">
        <f t="shared" si="20"/>
        <v>0</v>
      </c>
      <c r="I153" s="299"/>
      <c r="J153" s="1"/>
      <c r="K153" s="299"/>
      <c r="L153" s="1"/>
      <c r="M153" s="299"/>
      <c r="N153" s="299"/>
      <c r="O153" s="299"/>
      <c r="P153" s="299"/>
      <c r="Q153" s="298"/>
      <c r="R153" s="300">
        <f t="shared" si="21"/>
        <v>0</v>
      </c>
      <c r="S153" s="300">
        <f t="shared" si="22"/>
        <v>0</v>
      </c>
      <c r="T153" s="300">
        <f t="shared" si="23"/>
        <v>0</v>
      </c>
      <c r="U153" s="300">
        <f t="shared" si="24"/>
        <v>0</v>
      </c>
      <c r="V153" s="300">
        <f t="shared" si="25"/>
        <v>0</v>
      </c>
      <c r="W153" s="300">
        <f t="shared" si="26"/>
        <v>0</v>
      </c>
      <c r="X153" s="300">
        <f t="shared" si="27"/>
        <v>0</v>
      </c>
      <c r="Y153" s="300">
        <f t="shared" si="28"/>
        <v>0</v>
      </c>
      <c r="Z153"/>
      <c r="AA153"/>
      <c r="AB153"/>
    </row>
    <row r="154" spans="1:28" x14ac:dyDescent="0.35">
      <c r="A154" s="299"/>
      <c r="B154" s="515">
        <v>6.868620122288843</v>
      </c>
      <c r="C154" s="515">
        <v>1.7713967817560999E-2</v>
      </c>
      <c r="D154" s="515">
        <v>1.2272206092768749</v>
      </c>
      <c r="E154" s="515">
        <v>0.155048597424986</v>
      </c>
      <c r="F154" s="515">
        <v>5.5388039570881002E-2</v>
      </c>
      <c r="G154" s="299"/>
      <c r="H154" s="300">
        <f t="shared" si="20"/>
        <v>0</v>
      </c>
      <c r="I154" s="299"/>
      <c r="J154" s="1"/>
      <c r="K154" s="299"/>
      <c r="L154" s="1"/>
      <c r="M154" s="299"/>
      <c r="N154" s="299"/>
      <c r="O154" s="299"/>
      <c r="P154" s="299"/>
      <c r="Q154" s="298"/>
      <c r="R154" s="300">
        <f t="shared" si="21"/>
        <v>0</v>
      </c>
      <c r="S154" s="300">
        <f t="shared" si="22"/>
        <v>0</v>
      </c>
      <c r="T154" s="300">
        <f t="shared" si="23"/>
        <v>0</v>
      </c>
      <c r="U154" s="300">
        <f t="shared" si="24"/>
        <v>0</v>
      </c>
      <c r="V154" s="300">
        <f t="shared" si="25"/>
        <v>0</v>
      </c>
      <c r="W154" s="300">
        <f t="shared" si="26"/>
        <v>0</v>
      </c>
      <c r="X154" s="300">
        <f t="shared" si="27"/>
        <v>0</v>
      </c>
      <c r="Y154" s="300">
        <f t="shared" si="28"/>
        <v>0</v>
      </c>
      <c r="Z154"/>
      <c r="AA154"/>
      <c r="AB154"/>
    </row>
    <row r="155" spans="1:28" x14ac:dyDescent="0.35">
      <c r="A155" s="299"/>
      <c r="B155" s="515">
        <v>1.6494359360990409</v>
      </c>
      <c r="C155" s="515">
        <v>-1.6781737244901E-2</v>
      </c>
      <c r="D155" s="515">
        <v>7.0048281072160002E-3</v>
      </c>
      <c r="E155" s="515">
        <v>7.2925139509292997E-2</v>
      </c>
      <c r="F155" s="515">
        <v>6.6799414304637997E-2</v>
      </c>
      <c r="G155" s="299"/>
      <c r="H155" s="300">
        <f t="shared" si="20"/>
        <v>0</v>
      </c>
      <c r="I155" s="299"/>
      <c r="J155" s="1"/>
      <c r="K155" s="299"/>
      <c r="L155" s="1"/>
      <c r="M155" s="299"/>
      <c r="N155" s="299"/>
      <c r="O155" s="299"/>
      <c r="P155" s="299"/>
      <c r="Q155" s="298"/>
      <c r="R155" s="300">
        <f t="shared" si="21"/>
        <v>0</v>
      </c>
      <c r="S155" s="300">
        <f t="shared" si="22"/>
        <v>0</v>
      </c>
      <c r="T155" s="300">
        <f t="shared" si="23"/>
        <v>0</v>
      </c>
      <c r="U155" s="300">
        <f t="shared" si="24"/>
        <v>0</v>
      </c>
      <c r="V155" s="300">
        <f t="shared" si="25"/>
        <v>0</v>
      </c>
      <c r="W155" s="300">
        <f t="shared" si="26"/>
        <v>0</v>
      </c>
      <c r="X155" s="300">
        <f t="shared" si="27"/>
        <v>0</v>
      </c>
      <c r="Y155" s="300">
        <f t="shared" si="28"/>
        <v>0</v>
      </c>
      <c r="Z155"/>
      <c r="AA155"/>
      <c r="AB155"/>
    </row>
    <row r="156" spans="1:28" x14ac:dyDescent="0.35">
      <c r="A156" s="299"/>
      <c r="B156" s="515">
        <v>2.5128107460006142</v>
      </c>
      <c r="C156" s="515">
        <v>7.1750792884331005E-2</v>
      </c>
      <c r="D156" s="515">
        <v>1.9808652900414669</v>
      </c>
      <c r="E156" s="515">
        <v>0.21453094732844499</v>
      </c>
      <c r="F156" s="515">
        <v>1.3784198094861E-2</v>
      </c>
      <c r="G156" s="299"/>
      <c r="H156" s="300">
        <f t="shared" si="20"/>
        <v>0</v>
      </c>
      <c r="I156" s="299"/>
      <c r="J156" s="1"/>
      <c r="K156" s="299"/>
      <c r="L156" s="1"/>
      <c r="M156" s="299"/>
      <c r="N156" s="299"/>
      <c r="O156" s="299"/>
      <c r="P156" s="299"/>
      <c r="Q156" s="298"/>
      <c r="R156" s="300">
        <f t="shared" si="21"/>
        <v>0</v>
      </c>
      <c r="S156" s="300">
        <f t="shared" si="22"/>
        <v>0</v>
      </c>
      <c r="T156" s="300">
        <f t="shared" si="23"/>
        <v>0</v>
      </c>
      <c r="U156" s="300">
        <f t="shared" si="24"/>
        <v>0</v>
      </c>
      <c r="V156" s="300">
        <f t="shared" si="25"/>
        <v>0</v>
      </c>
      <c r="W156" s="300">
        <f t="shared" si="26"/>
        <v>0</v>
      </c>
      <c r="X156" s="300">
        <f t="shared" si="27"/>
        <v>0</v>
      </c>
      <c r="Y156" s="300">
        <f t="shared" si="28"/>
        <v>0</v>
      </c>
      <c r="Z156"/>
      <c r="AA156"/>
      <c r="AB156"/>
    </row>
    <row r="157" spans="1:28" x14ac:dyDescent="0.35">
      <c r="A157" s="299"/>
      <c r="B157" s="515">
        <v>1.9155745014161001E-2</v>
      </c>
      <c r="C157" s="515">
        <v>4.2356921206565E-2</v>
      </c>
      <c r="D157" s="515">
        <v>9.8294970073529997E-3</v>
      </c>
      <c r="E157" s="515">
        <v>0.105476647372652</v>
      </c>
      <c r="F157" s="515">
        <v>5.4898213465671003E-2</v>
      </c>
      <c r="G157" s="299"/>
      <c r="H157" s="300">
        <f t="shared" si="20"/>
        <v>0</v>
      </c>
      <c r="I157" s="299"/>
      <c r="J157" s="1"/>
      <c r="K157" s="299"/>
      <c r="L157" s="1"/>
      <c r="M157" s="299"/>
      <c r="N157" s="299"/>
      <c r="O157" s="299"/>
      <c r="P157" s="299"/>
      <c r="Q157" s="298"/>
      <c r="R157" s="300">
        <f t="shared" si="21"/>
        <v>0</v>
      </c>
      <c r="S157" s="300">
        <f t="shared" si="22"/>
        <v>0</v>
      </c>
      <c r="T157" s="300">
        <f t="shared" si="23"/>
        <v>0</v>
      </c>
      <c r="U157" s="300">
        <f t="shared" si="24"/>
        <v>0</v>
      </c>
      <c r="V157" s="300">
        <f t="shared" si="25"/>
        <v>0</v>
      </c>
      <c r="W157" s="300">
        <f t="shared" si="26"/>
        <v>0</v>
      </c>
      <c r="X157" s="300">
        <f t="shared" si="27"/>
        <v>0</v>
      </c>
      <c r="Y157" s="300">
        <f t="shared" si="28"/>
        <v>0</v>
      </c>
      <c r="Z157"/>
      <c r="AA157"/>
      <c r="AB157"/>
    </row>
    <row r="158" spans="1:28" x14ac:dyDescent="0.35">
      <c r="A158" s="299"/>
      <c r="B158" s="515">
        <v>0.19285801234993299</v>
      </c>
      <c r="C158" s="515">
        <v>5.2741248963823997E-2</v>
      </c>
      <c r="D158" s="515">
        <v>1.4814729242748319</v>
      </c>
      <c r="E158" s="515">
        <v>0.200479142523871</v>
      </c>
      <c r="F158" s="515">
        <v>1.6169355698612001E-2</v>
      </c>
      <c r="G158" s="299"/>
      <c r="H158" s="300">
        <f t="shared" si="20"/>
        <v>0</v>
      </c>
      <c r="I158" s="299"/>
      <c r="J158" s="1"/>
      <c r="K158" s="299"/>
      <c r="L158" s="1"/>
      <c r="M158" s="299"/>
      <c r="N158" s="299"/>
      <c r="O158" s="299"/>
      <c r="P158" s="299"/>
      <c r="Q158" s="298"/>
      <c r="R158" s="300">
        <f t="shared" si="21"/>
        <v>0</v>
      </c>
      <c r="S158" s="300">
        <f t="shared" si="22"/>
        <v>0</v>
      </c>
      <c r="T158" s="300">
        <f t="shared" si="23"/>
        <v>0</v>
      </c>
      <c r="U158" s="300">
        <f t="shared" si="24"/>
        <v>0</v>
      </c>
      <c r="V158" s="300">
        <f t="shared" si="25"/>
        <v>0</v>
      </c>
      <c r="W158" s="300">
        <f t="shared" si="26"/>
        <v>0</v>
      </c>
      <c r="X158" s="300">
        <f t="shared" si="27"/>
        <v>0</v>
      </c>
      <c r="Y158" s="300">
        <f t="shared" si="28"/>
        <v>0</v>
      </c>
      <c r="Z158"/>
      <c r="AA158"/>
      <c r="AB158"/>
    </row>
    <row r="159" spans="1:28" x14ac:dyDescent="0.35">
      <c r="A159" s="299"/>
      <c r="B159" s="515">
        <v>0.124385174427644</v>
      </c>
      <c r="C159" s="515">
        <v>6.7045806554187001E-2</v>
      </c>
      <c r="D159" s="515">
        <v>0.27452903359486103</v>
      </c>
      <c r="E159" s="515">
        <v>0.119370681996362</v>
      </c>
      <c r="F159" s="515">
        <v>4.8408363106666998E-2</v>
      </c>
      <c r="G159" s="299"/>
      <c r="H159" s="300">
        <f t="shared" si="20"/>
        <v>0</v>
      </c>
      <c r="I159" s="299"/>
      <c r="J159" s="1"/>
      <c r="K159" s="299"/>
      <c r="L159" s="1"/>
      <c r="M159" s="299"/>
      <c r="N159" s="299"/>
      <c r="O159" s="299"/>
      <c r="P159" s="299"/>
      <c r="Q159" s="298"/>
      <c r="R159" s="300">
        <f t="shared" si="21"/>
        <v>0</v>
      </c>
      <c r="S159" s="300">
        <f t="shared" si="22"/>
        <v>0</v>
      </c>
      <c r="T159" s="300">
        <f t="shared" si="23"/>
        <v>0</v>
      </c>
      <c r="U159" s="300">
        <f t="shared" si="24"/>
        <v>0</v>
      </c>
      <c r="V159" s="300">
        <f t="shared" si="25"/>
        <v>0</v>
      </c>
      <c r="W159" s="300">
        <f t="shared" si="26"/>
        <v>0</v>
      </c>
      <c r="X159" s="300">
        <f t="shared" si="27"/>
        <v>0</v>
      </c>
      <c r="Y159" s="300">
        <f t="shared" si="28"/>
        <v>0</v>
      </c>
      <c r="Z159"/>
      <c r="AA159"/>
      <c r="AB159"/>
    </row>
    <row r="160" spans="1:28" x14ac:dyDescent="0.35">
      <c r="A160" s="299"/>
      <c r="B160" s="515">
        <v>10.15545165205703</v>
      </c>
      <c r="C160" s="515">
        <v>-2.2428577617425298</v>
      </c>
      <c r="D160" s="515">
        <v>1.085094621474648</v>
      </c>
      <c r="E160" s="515">
        <v>0.270994145172196</v>
      </c>
      <c r="F160" s="515">
        <v>7.3629659057228999E-2</v>
      </c>
      <c r="G160" s="299"/>
      <c r="H160" s="300">
        <f t="shared" si="20"/>
        <v>0</v>
      </c>
      <c r="I160" s="299"/>
      <c r="J160" s="1"/>
      <c r="K160" s="299"/>
      <c r="L160" s="1"/>
      <c r="M160" s="299"/>
      <c r="N160" s="299"/>
      <c r="O160" s="299"/>
      <c r="P160" s="299"/>
      <c r="Q160" s="298"/>
      <c r="R160" s="300">
        <f t="shared" si="21"/>
        <v>0</v>
      </c>
      <c r="S160" s="300">
        <f t="shared" si="22"/>
        <v>0</v>
      </c>
      <c r="T160" s="300">
        <f t="shared" si="23"/>
        <v>0</v>
      </c>
      <c r="U160" s="300">
        <f t="shared" si="24"/>
        <v>0</v>
      </c>
      <c r="V160" s="300">
        <f t="shared" si="25"/>
        <v>0</v>
      </c>
      <c r="W160" s="300">
        <f t="shared" si="26"/>
        <v>0</v>
      </c>
      <c r="X160" s="300">
        <f t="shared" si="27"/>
        <v>0</v>
      </c>
      <c r="Y160" s="300">
        <f t="shared" si="28"/>
        <v>0</v>
      </c>
      <c r="Z160"/>
      <c r="AA160"/>
      <c r="AB160"/>
    </row>
    <row r="161" spans="1:28" x14ac:dyDescent="0.35">
      <c r="A161" s="299"/>
      <c r="B161" s="515">
        <v>7.5449331880611359</v>
      </c>
      <c r="C161" s="515">
        <v>0.104133012935216</v>
      </c>
      <c r="D161" s="515">
        <v>1.3903734895348521</v>
      </c>
      <c r="E161" s="515">
        <v>0.13163869768474001</v>
      </c>
      <c r="F161" s="515">
        <v>5.6028177008280999E-2</v>
      </c>
      <c r="G161" s="299"/>
      <c r="H161" s="300">
        <f t="shared" si="20"/>
        <v>0</v>
      </c>
      <c r="I161" s="299"/>
      <c r="J161" s="1"/>
      <c r="K161" s="299"/>
      <c r="L161" s="1"/>
      <c r="M161" s="299"/>
      <c r="N161" s="299"/>
      <c r="O161" s="299"/>
      <c r="P161" s="299"/>
      <c r="Q161" s="298"/>
      <c r="R161" s="300">
        <f t="shared" si="21"/>
        <v>0</v>
      </c>
      <c r="S161" s="300">
        <f t="shared" si="22"/>
        <v>0</v>
      </c>
      <c r="T161" s="300">
        <f t="shared" si="23"/>
        <v>0</v>
      </c>
      <c r="U161" s="300">
        <f t="shared" si="24"/>
        <v>0</v>
      </c>
      <c r="V161" s="300">
        <f t="shared" si="25"/>
        <v>0</v>
      </c>
      <c r="W161" s="300">
        <f t="shared" si="26"/>
        <v>0</v>
      </c>
      <c r="X161" s="300">
        <f t="shared" si="27"/>
        <v>0</v>
      </c>
      <c r="Y161" s="300">
        <f t="shared" si="28"/>
        <v>0</v>
      </c>
      <c r="Z161"/>
      <c r="AA161"/>
      <c r="AB161"/>
    </row>
    <row r="162" spans="1:28" x14ac:dyDescent="0.35">
      <c r="A162" s="299"/>
      <c r="B162" s="515">
        <v>10.853763942862569</v>
      </c>
      <c r="C162" s="515">
        <v>0.16799788069228799</v>
      </c>
      <c r="D162" s="515">
        <v>1.345657464293484</v>
      </c>
      <c r="E162" s="515">
        <v>3.3732206200000002E-7</v>
      </c>
      <c r="F162" s="515">
        <v>7.6095735589406993E-2</v>
      </c>
      <c r="G162" s="299"/>
      <c r="H162" s="300">
        <f t="shared" si="20"/>
        <v>0</v>
      </c>
      <c r="I162" s="299"/>
      <c r="J162" s="1"/>
      <c r="K162" s="299"/>
      <c r="L162" s="1"/>
      <c r="M162" s="299"/>
      <c r="N162" s="299"/>
      <c r="O162" s="299"/>
      <c r="P162" s="299"/>
      <c r="Q162" s="298"/>
      <c r="R162" s="300">
        <f t="shared" si="21"/>
        <v>0</v>
      </c>
      <c r="S162" s="300">
        <f t="shared" si="22"/>
        <v>0</v>
      </c>
      <c r="T162" s="300">
        <f t="shared" si="23"/>
        <v>0</v>
      </c>
      <c r="U162" s="300">
        <f t="shared" si="24"/>
        <v>0</v>
      </c>
      <c r="V162" s="300">
        <f t="shared" si="25"/>
        <v>0</v>
      </c>
      <c r="W162" s="300">
        <f t="shared" si="26"/>
        <v>0</v>
      </c>
      <c r="X162" s="300">
        <f t="shared" si="27"/>
        <v>0</v>
      </c>
      <c r="Y162" s="300">
        <f t="shared" si="28"/>
        <v>0</v>
      </c>
      <c r="Z162"/>
      <c r="AA162"/>
      <c r="AB162"/>
    </row>
    <row r="163" spans="1:28" x14ac:dyDescent="0.35">
      <c r="A163" s="299"/>
      <c r="B163" s="515">
        <v>1.653459922411737</v>
      </c>
      <c r="C163" s="515">
        <v>5.1829394176046997E-2</v>
      </c>
      <c r="D163" s="515">
        <v>7.0019886949439997E-3</v>
      </c>
      <c r="E163" s="515">
        <v>0.11020428880730899</v>
      </c>
      <c r="F163" s="515">
        <v>6.0395885306981999E-2</v>
      </c>
      <c r="G163" s="299"/>
      <c r="H163" s="300">
        <f t="shared" si="20"/>
        <v>0</v>
      </c>
      <c r="I163" s="299"/>
      <c r="J163" s="1"/>
      <c r="K163" s="299"/>
      <c r="L163" s="1"/>
      <c r="M163" s="299"/>
      <c r="N163" s="299"/>
      <c r="O163" s="299"/>
      <c r="P163" s="299"/>
      <c r="Q163" s="298"/>
      <c r="R163" s="300">
        <f t="shared" si="21"/>
        <v>0</v>
      </c>
      <c r="S163" s="300">
        <f t="shared" si="22"/>
        <v>0</v>
      </c>
      <c r="T163" s="300">
        <f t="shared" si="23"/>
        <v>0</v>
      </c>
      <c r="U163" s="300">
        <f t="shared" si="24"/>
        <v>0</v>
      </c>
      <c r="V163" s="300">
        <f t="shared" si="25"/>
        <v>0</v>
      </c>
      <c r="W163" s="300">
        <f t="shared" si="26"/>
        <v>0</v>
      </c>
      <c r="X163" s="300">
        <f t="shared" si="27"/>
        <v>0</v>
      </c>
      <c r="Y163" s="300">
        <f t="shared" si="28"/>
        <v>0</v>
      </c>
      <c r="Z163"/>
      <c r="AA163"/>
      <c r="AB163"/>
    </row>
    <row r="164" spans="1:28" x14ac:dyDescent="0.35">
      <c r="A164" s="299"/>
      <c r="B164" s="515">
        <v>1.4441488988E-4</v>
      </c>
      <c r="C164" s="515">
        <v>2.7918722004573002E-2</v>
      </c>
      <c r="D164" s="515">
        <v>1.9818892626652771</v>
      </c>
      <c r="E164" s="515">
        <v>0.22441670081805901</v>
      </c>
      <c r="F164" s="515">
        <v>5.1612884402870004E-3</v>
      </c>
      <c r="G164" s="299"/>
      <c r="H164" s="300">
        <f t="shared" si="20"/>
        <v>0</v>
      </c>
      <c r="I164" s="299"/>
      <c r="J164" s="1"/>
      <c r="K164" s="299"/>
      <c r="L164" s="1"/>
      <c r="M164" s="299"/>
      <c r="N164" s="299"/>
      <c r="O164" s="299"/>
      <c r="P164" s="299"/>
      <c r="Q164" s="298"/>
      <c r="R164" s="300">
        <f t="shared" si="21"/>
        <v>0</v>
      </c>
      <c r="S164" s="300">
        <f t="shared" si="22"/>
        <v>0</v>
      </c>
      <c r="T164" s="300">
        <f t="shared" si="23"/>
        <v>0</v>
      </c>
      <c r="U164" s="300">
        <f t="shared" si="24"/>
        <v>0</v>
      </c>
      <c r="V164" s="300">
        <f t="shared" si="25"/>
        <v>0</v>
      </c>
      <c r="W164" s="300">
        <f t="shared" si="26"/>
        <v>0</v>
      </c>
      <c r="X164" s="300">
        <f t="shared" si="27"/>
        <v>0</v>
      </c>
      <c r="Y164" s="300">
        <f t="shared" si="28"/>
        <v>0</v>
      </c>
      <c r="Z164"/>
      <c r="AA164"/>
      <c r="AB164"/>
    </row>
    <row r="165" spans="1:28" x14ac:dyDescent="0.35">
      <c r="A165" s="299"/>
      <c r="B165" s="515">
        <v>7.9284237295474744</v>
      </c>
      <c r="C165" s="515">
        <v>-1.009599958102658</v>
      </c>
      <c r="D165" s="515">
        <v>3.6778851840267003E-2</v>
      </c>
      <c r="E165" s="515">
        <v>0.270424396753011</v>
      </c>
      <c r="F165" s="515">
        <v>6.1598693655905999E-2</v>
      </c>
      <c r="G165" s="299"/>
      <c r="H165" s="300">
        <f t="shared" si="20"/>
        <v>0</v>
      </c>
      <c r="I165" s="299"/>
      <c r="J165" s="1"/>
      <c r="K165" s="299"/>
      <c r="L165" s="1"/>
      <c r="M165" s="299"/>
      <c r="N165" s="299"/>
      <c r="O165" s="299"/>
      <c r="P165" s="299"/>
      <c r="Q165" s="298"/>
      <c r="R165" s="300">
        <f t="shared" si="21"/>
        <v>0</v>
      </c>
      <c r="S165" s="300">
        <f t="shared" si="22"/>
        <v>0</v>
      </c>
      <c r="T165" s="300">
        <f t="shared" si="23"/>
        <v>0</v>
      </c>
      <c r="U165" s="300">
        <f t="shared" si="24"/>
        <v>0</v>
      </c>
      <c r="V165" s="300">
        <f t="shared" si="25"/>
        <v>0</v>
      </c>
      <c r="W165" s="300">
        <f t="shared" si="26"/>
        <v>0</v>
      </c>
      <c r="X165" s="300">
        <f t="shared" si="27"/>
        <v>0</v>
      </c>
      <c r="Y165" s="300">
        <f t="shared" si="28"/>
        <v>0</v>
      </c>
      <c r="Z165"/>
      <c r="AA165"/>
      <c r="AB165"/>
    </row>
    <row r="166" spans="1:28" x14ac:dyDescent="0.35">
      <c r="A166" s="299"/>
      <c r="B166" s="515">
        <v>0.29715965802806799</v>
      </c>
      <c r="C166" s="515">
        <v>7.3267110780640002E-3</v>
      </c>
      <c r="D166" s="515">
        <v>8.9265014567870005E-3</v>
      </c>
      <c r="E166" s="515">
        <v>9.9685001308149002E-2</v>
      </c>
      <c r="F166" s="515">
        <v>5.7490289516223002E-2</v>
      </c>
      <c r="G166" s="299"/>
      <c r="H166" s="300">
        <f t="shared" si="20"/>
        <v>0</v>
      </c>
      <c r="I166" s="299"/>
      <c r="J166" s="1"/>
      <c r="K166" s="299"/>
      <c r="L166" s="1"/>
      <c r="M166" s="299"/>
      <c r="N166" s="299"/>
      <c r="O166" s="299"/>
      <c r="P166" s="299"/>
      <c r="Q166" s="298"/>
      <c r="R166" s="300">
        <f t="shared" si="21"/>
        <v>0</v>
      </c>
      <c r="S166" s="300">
        <f t="shared" si="22"/>
        <v>0</v>
      </c>
      <c r="T166" s="300">
        <f t="shared" si="23"/>
        <v>0</v>
      </c>
      <c r="U166" s="300">
        <f t="shared" si="24"/>
        <v>0</v>
      </c>
      <c r="V166" s="300">
        <f t="shared" si="25"/>
        <v>0</v>
      </c>
      <c r="W166" s="300">
        <f t="shared" si="26"/>
        <v>0</v>
      </c>
      <c r="X166" s="300">
        <f t="shared" si="27"/>
        <v>0</v>
      </c>
      <c r="Y166" s="300">
        <f t="shared" si="28"/>
        <v>0</v>
      </c>
      <c r="Z166"/>
      <c r="AA166"/>
      <c r="AB166"/>
    </row>
    <row r="167" spans="1:28" x14ac:dyDescent="0.35">
      <c r="A167" s="299"/>
      <c r="B167" s="515">
        <v>2.4868322296600002E-4</v>
      </c>
      <c r="C167" s="515">
        <v>-0.62102705881901199</v>
      </c>
      <c r="D167" s="515">
        <v>1.9690447603833241</v>
      </c>
      <c r="E167" s="515">
        <v>5.16241031E-7</v>
      </c>
      <c r="F167" s="515">
        <v>4.8954980207879001E-2</v>
      </c>
      <c r="G167" s="299"/>
      <c r="H167" s="300">
        <f t="shared" si="20"/>
        <v>0</v>
      </c>
      <c r="I167" s="299"/>
      <c r="J167" s="1"/>
      <c r="K167" s="299"/>
      <c r="L167" s="1"/>
      <c r="M167" s="299"/>
      <c r="N167" s="299"/>
      <c r="O167" s="299"/>
      <c r="P167" s="299"/>
      <c r="Q167" s="298"/>
      <c r="R167" s="300">
        <f t="shared" si="21"/>
        <v>0</v>
      </c>
      <c r="S167" s="300">
        <f t="shared" si="22"/>
        <v>0</v>
      </c>
      <c r="T167" s="300">
        <f t="shared" si="23"/>
        <v>0</v>
      </c>
      <c r="U167" s="300">
        <f t="shared" si="24"/>
        <v>0</v>
      </c>
      <c r="V167" s="300">
        <f t="shared" si="25"/>
        <v>0</v>
      </c>
      <c r="W167" s="300">
        <f t="shared" si="26"/>
        <v>0</v>
      </c>
      <c r="X167" s="300">
        <f t="shared" si="27"/>
        <v>0</v>
      </c>
      <c r="Y167" s="300">
        <f t="shared" si="28"/>
        <v>0</v>
      </c>
      <c r="Z167"/>
      <c r="AA167"/>
      <c r="AB167"/>
    </row>
    <row r="168" spans="1:28" x14ac:dyDescent="0.35">
      <c r="A168" s="299"/>
      <c r="B168" s="515">
        <v>2.5228641894149998E-3</v>
      </c>
      <c r="C168" s="515">
        <v>2.7762869824159001E-2</v>
      </c>
      <c r="D168" s="515">
        <v>1.982062596341849</v>
      </c>
      <c r="E168" s="515">
        <v>0.22442339096927499</v>
      </c>
      <c r="F168" s="515">
        <v>5.1701104660289996E-3</v>
      </c>
      <c r="G168" s="299"/>
      <c r="H168" s="300">
        <f t="shared" si="20"/>
        <v>0</v>
      </c>
      <c r="I168" s="299"/>
      <c r="J168" s="1"/>
      <c r="K168" s="299"/>
      <c r="L168" s="1"/>
      <c r="M168" s="299"/>
      <c r="N168" s="299"/>
      <c r="O168" s="299"/>
      <c r="P168" s="299"/>
      <c r="Q168" s="298"/>
      <c r="R168" s="300">
        <f t="shared" si="21"/>
        <v>0</v>
      </c>
      <c r="S168" s="300">
        <f t="shared" si="22"/>
        <v>0</v>
      </c>
      <c r="T168" s="300">
        <f t="shared" si="23"/>
        <v>0</v>
      </c>
      <c r="U168" s="300">
        <f t="shared" si="24"/>
        <v>0</v>
      </c>
      <c r="V168" s="300">
        <f t="shared" si="25"/>
        <v>0</v>
      </c>
      <c r="W168" s="300">
        <f t="shared" si="26"/>
        <v>0</v>
      </c>
      <c r="X168" s="300">
        <f t="shared" si="27"/>
        <v>0</v>
      </c>
      <c r="Y168" s="300">
        <f t="shared" si="28"/>
        <v>0</v>
      </c>
      <c r="Z168"/>
      <c r="AA168"/>
      <c r="AB168"/>
    </row>
    <row r="169" spans="1:28" x14ac:dyDescent="0.35">
      <c r="A169" s="299"/>
      <c r="B169" s="515">
        <v>10.9501554772443</v>
      </c>
      <c r="C169" s="515">
        <v>0.16798458181557099</v>
      </c>
      <c r="D169" s="515">
        <v>1.0979578068266771</v>
      </c>
      <c r="E169" s="515">
        <v>4.6504822682288997E-2</v>
      </c>
      <c r="F169" s="515">
        <v>7.7273282127119994E-2</v>
      </c>
      <c r="G169" s="299"/>
      <c r="H169" s="300">
        <f t="shared" si="20"/>
        <v>0</v>
      </c>
      <c r="I169" s="299"/>
      <c r="J169" s="1"/>
      <c r="K169" s="299"/>
      <c r="L169" s="1"/>
      <c r="M169" s="299"/>
      <c r="N169" s="299"/>
      <c r="O169" s="299"/>
      <c r="P169" s="299"/>
      <c r="Q169" s="298"/>
      <c r="R169" s="300">
        <f t="shared" si="21"/>
        <v>0</v>
      </c>
      <c r="S169" s="300">
        <f t="shared" si="22"/>
        <v>0</v>
      </c>
      <c r="T169" s="300">
        <f t="shared" si="23"/>
        <v>0</v>
      </c>
      <c r="U169" s="300">
        <f t="shared" si="24"/>
        <v>0</v>
      </c>
      <c r="V169" s="300">
        <f t="shared" si="25"/>
        <v>0</v>
      </c>
      <c r="W169" s="300">
        <f t="shared" si="26"/>
        <v>0</v>
      </c>
      <c r="X169" s="300">
        <f t="shared" si="27"/>
        <v>0</v>
      </c>
      <c r="Y169" s="300">
        <f t="shared" si="28"/>
        <v>0</v>
      </c>
      <c r="Z169"/>
      <c r="AA169"/>
      <c r="AB169"/>
    </row>
    <row r="170" spans="1:28" x14ac:dyDescent="0.35">
      <c r="A170" s="299"/>
      <c r="B170" s="515">
        <v>6.0714895622458194</v>
      </c>
      <c r="C170" s="515">
        <v>0.16799503442473299</v>
      </c>
      <c r="D170" s="515">
        <v>7.0266500703530001E-3</v>
      </c>
      <c r="E170" s="515">
        <v>6.4820098094230004E-3</v>
      </c>
      <c r="F170" s="515">
        <v>8.0123793157877002E-2</v>
      </c>
      <c r="G170" s="299"/>
      <c r="H170" s="300">
        <f t="shared" si="20"/>
        <v>0</v>
      </c>
      <c r="I170" s="299"/>
      <c r="J170" s="1"/>
      <c r="K170" s="299"/>
      <c r="L170" s="1"/>
      <c r="M170" s="299"/>
      <c r="N170" s="299"/>
      <c r="O170" s="299"/>
      <c r="P170" s="299"/>
      <c r="Q170" s="298"/>
      <c r="R170" s="300">
        <f t="shared" si="21"/>
        <v>0</v>
      </c>
      <c r="S170" s="300">
        <f t="shared" si="22"/>
        <v>0</v>
      </c>
      <c r="T170" s="300">
        <f t="shared" si="23"/>
        <v>0</v>
      </c>
      <c r="U170" s="300">
        <f t="shared" si="24"/>
        <v>0</v>
      </c>
      <c r="V170" s="300">
        <f t="shared" si="25"/>
        <v>0</v>
      </c>
      <c r="W170" s="300">
        <f t="shared" si="26"/>
        <v>0</v>
      </c>
      <c r="X170" s="300">
        <f t="shared" si="27"/>
        <v>0</v>
      </c>
      <c r="Y170" s="300">
        <f t="shared" si="28"/>
        <v>0</v>
      </c>
      <c r="Z170"/>
      <c r="AA170"/>
      <c r="AB170"/>
    </row>
    <row r="171" spans="1:28" x14ac:dyDescent="0.35">
      <c r="A171" s="299"/>
      <c r="B171" s="515">
        <v>1.8398846336858E-2</v>
      </c>
      <c r="C171" s="515">
        <v>-3.2874594950118281</v>
      </c>
      <c r="D171" s="515">
        <v>1.131839663556683</v>
      </c>
      <c r="E171" s="515">
        <v>0.27028946677620103</v>
      </c>
      <c r="F171" s="515">
        <v>2.3377942510694999E-2</v>
      </c>
      <c r="G171" s="299"/>
      <c r="H171" s="300">
        <f t="shared" si="20"/>
        <v>0</v>
      </c>
      <c r="I171" s="299"/>
      <c r="J171" s="1"/>
      <c r="K171" s="299"/>
      <c r="L171" s="1"/>
      <c r="M171" s="299"/>
      <c r="N171" s="299"/>
      <c r="O171" s="299"/>
      <c r="P171" s="299"/>
      <c r="Q171" s="298"/>
      <c r="R171" s="300">
        <f t="shared" si="21"/>
        <v>0</v>
      </c>
      <c r="S171" s="300">
        <f t="shared" si="22"/>
        <v>0</v>
      </c>
      <c r="T171" s="300">
        <f t="shared" si="23"/>
        <v>0</v>
      </c>
      <c r="U171" s="300">
        <f t="shared" si="24"/>
        <v>0</v>
      </c>
      <c r="V171" s="300">
        <f t="shared" si="25"/>
        <v>0</v>
      </c>
      <c r="W171" s="300">
        <f t="shared" si="26"/>
        <v>0</v>
      </c>
      <c r="X171" s="300">
        <f t="shared" si="27"/>
        <v>0</v>
      </c>
      <c r="Y171" s="300">
        <f t="shared" si="28"/>
        <v>0</v>
      </c>
      <c r="Z171"/>
      <c r="AA171"/>
      <c r="AB171"/>
    </row>
    <row r="172" spans="1:28" x14ac:dyDescent="0.35">
      <c r="A172" s="299"/>
      <c r="B172" s="515">
        <v>6.7913433830415606</v>
      </c>
      <c r="C172" s="515">
        <v>0.16652580933994501</v>
      </c>
      <c r="D172" s="515">
        <v>0.188025730363966</v>
      </c>
      <c r="E172" s="515">
        <v>7.9332501273391004E-2</v>
      </c>
      <c r="F172" s="515">
        <v>7.2272463914615004E-2</v>
      </c>
      <c r="G172" s="299"/>
      <c r="H172" s="300">
        <f t="shared" si="20"/>
        <v>0</v>
      </c>
      <c r="I172" s="299"/>
      <c r="J172" s="1"/>
      <c r="K172" s="299"/>
      <c r="L172" s="1"/>
      <c r="M172" s="299"/>
      <c r="N172" s="299"/>
      <c r="O172" s="299"/>
      <c r="P172" s="299"/>
      <c r="Q172" s="298"/>
      <c r="R172" s="300">
        <f t="shared" si="21"/>
        <v>0</v>
      </c>
      <c r="S172" s="300">
        <f t="shared" si="22"/>
        <v>0</v>
      </c>
      <c r="T172" s="300">
        <f t="shared" si="23"/>
        <v>0</v>
      </c>
      <c r="U172" s="300">
        <f t="shared" si="24"/>
        <v>0</v>
      </c>
      <c r="V172" s="300">
        <f t="shared" si="25"/>
        <v>0</v>
      </c>
      <c r="W172" s="300">
        <f t="shared" si="26"/>
        <v>0</v>
      </c>
      <c r="X172" s="300">
        <f t="shared" si="27"/>
        <v>0</v>
      </c>
      <c r="Y172" s="300">
        <f t="shared" si="28"/>
        <v>0</v>
      </c>
      <c r="Z172"/>
      <c r="AA172"/>
      <c r="AB172"/>
    </row>
    <row r="173" spans="1:28" x14ac:dyDescent="0.35">
      <c r="A173" s="299"/>
      <c r="B173" s="515">
        <v>0.110211397981273</v>
      </c>
      <c r="C173" s="515">
        <v>-0.550082955062839</v>
      </c>
      <c r="D173" s="515">
        <v>1.76907805686968</v>
      </c>
      <c r="E173" s="515">
        <v>4.6212304501131E-2</v>
      </c>
      <c r="F173" s="515">
        <v>4.5908082566605002E-2</v>
      </c>
      <c r="G173" s="299"/>
      <c r="H173" s="300">
        <f t="shared" si="20"/>
        <v>0</v>
      </c>
      <c r="I173" s="299"/>
      <c r="J173" s="1"/>
      <c r="K173" s="299"/>
      <c r="L173" s="1"/>
      <c r="M173" s="299"/>
      <c r="N173" s="299"/>
      <c r="O173" s="299"/>
      <c r="P173" s="299"/>
      <c r="Q173" s="298"/>
      <c r="R173" s="300">
        <f t="shared" si="21"/>
        <v>0</v>
      </c>
      <c r="S173" s="300">
        <f t="shared" si="22"/>
        <v>0</v>
      </c>
      <c r="T173" s="300">
        <f t="shared" si="23"/>
        <v>0</v>
      </c>
      <c r="U173" s="300">
        <f t="shared" si="24"/>
        <v>0</v>
      </c>
      <c r="V173" s="300">
        <f t="shared" si="25"/>
        <v>0</v>
      </c>
      <c r="W173" s="300">
        <f t="shared" si="26"/>
        <v>0</v>
      </c>
      <c r="X173" s="300">
        <f t="shared" si="27"/>
        <v>0</v>
      </c>
      <c r="Y173" s="300">
        <f t="shared" si="28"/>
        <v>0</v>
      </c>
      <c r="Z173"/>
      <c r="AA173"/>
      <c r="AB173"/>
    </row>
    <row r="174" spans="1:28" x14ac:dyDescent="0.35">
      <c r="A174" s="299"/>
      <c r="B174" s="515">
        <v>6.8240969116006021</v>
      </c>
      <c r="C174" s="515">
        <v>-2.1011512466699891</v>
      </c>
      <c r="D174" s="515">
        <v>0.95498560083278605</v>
      </c>
      <c r="E174" s="515">
        <v>0.20952862414055201</v>
      </c>
      <c r="F174" s="515">
        <v>7.0409300981725001E-2</v>
      </c>
      <c r="G174" s="299"/>
      <c r="H174" s="300">
        <f t="shared" si="20"/>
        <v>0</v>
      </c>
      <c r="I174" s="299"/>
      <c r="J174" s="1"/>
      <c r="K174" s="299"/>
      <c r="L174" s="1"/>
      <c r="M174" s="299"/>
      <c r="N174" s="299"/>
      <c r="O174" s="299"/>
      <c r="P174" s="299"/>
      <c r="Q174" s="298"/>
      <c r="R174" s="300">
        <f t="shared" si="21"/>
        <v>0</v>
      </c>
      <c r="S174" s="300">
        <f t="shared" si="22"/>
        <v>0</v>
      </c>
      <c r="T174" s="300">
        <f t="shared" si="23"/>
        <v>0</v>
      </c>
      <c r="U174" s="300">
        <f t="shared" si="24"/>
        <v>0</v>
      </c>
      <c r="V174" s="300">
        <f t="shared" si="25"/>
        <v>0</v>
      </c>
      <c r="W174" s="300">
        <f t="shared" si="26"/>
        <v>0</v>
      </c>
      <c r="X174" s="300">
        <f t="shared" si="27"/>
        <v>0</v>
      </c>
      <c r="Y174" s="300">
        <f t="shared" si="28"/>
        <v>0</v>
      </c>
      <c r="Z174"/>
      <c r="AA174"/>
      <c r="AB174"/>
    </row>
    <row r="175" spans="1:28" x14ac:dyDescent="0.35">
      <c r="A175" s="299"/>
      <c r="B175" s="515">
        <v>1.468299342153971</v>
      </c>
      <c r="C175" s="515">
        <v>-0.78379951827654704</v>
      </c>
      <c r="D175" s="515">
        <v>2.1849126757875621</v>
      </c>
      <c r="E175" s="515">
        <v>2.7306735395415001E-2</v>
      </c>
      <c r="F175" s="515">
        <v>4.7730472524118002E-2</v>
      </c>
      <c r="G175" s="299"/>
      <c r="H175" s="300">
        <f t="shared" si="20"/>
        <v>0</v>
      </c>
      <c r="I175" s="299"/>
      <c r="J175" s="1"/>
      <c r="K175" s="299"/>
      <c r="L175" s="1"/>
      <c r="M175" s="299"/>
      <c r="N175" s="299"/>
      <c r="O175" s="299"/>
      <c r="P175" s="299"/>
      <c r="Q175" s="298"/>
      <c r="R175" s="300">
        <f t="shared" si="21"/>
        <v>0</v>
      </c>
      <c r="S175" s="300">
        <f t="shared" si="22"/>
        <v>0</v>
      </c>
      <c r="T175" s="300">
        <f t="shared" si="23"/>
        <v>0</v>
      </c>
      <c r="U175" s="300">
        <f t="shared" si="24"/>
        <v>0</v>
      </c>
      <c r="V175" s="300">
        <f t="shared" si="25"/>
        <v>0</v>
      </c>
      <c r="W175" s="300">
        <f t="shared" si="26"/>
        <v>0</v>
      </c>
      <c r="X175" s="300">
        <f t="shared" si="27"/>
        <v>0</v>
      </c>
      <c r="Y175" s="300">
        <f t="shared" si="28"/>
        <v>0</v>
      </c>
      <c r="Z175"/>
      <c r="AA175"/>
      <c r="AB175"/>
    </row>
    <row r="176" spans="1:28" x14ac:dyDescent="0.35">
      <c r="A176" s="299"/>
      <c r="B176" s="515">
        <v>0.21406166952594699</v>
      </c>
      <c r="C176" s="515">
        <v>4.8037559513042997E-2</v>
      </c>
      <c r="D176" s="515">
        <v>1.4551752801174E-2</v>
      </c>
      <c r="E176" s="515">
        <v>0.270552206184624</v>
      </c>
      <c r="F176" s="515">
        <v>4.4351972966940002E-3</v>
      </c>
      <c r="G176" s="299"/>
      <c r="H176" s="300">
        <f t="shared" si="20"/>
        <v>0</v>
      </c>
      <c r="I176" s="299"/>
      <c r="J176" s="1"/>
      <c r="K176" s="299"/>
      <c r="L176" s="1"/>
      <c r="M176" s="299"/>
      <c r="N176" s="299"/>
      <c r="O176" s="299"/>
      <c r="P176" s="299"/>
      <c r="Q176" s="298"/>
      <c r="R176" s="300">
        <f t="shared" si="21"/>
        <v>0</v>
      </c>
      <c r="S176" s="300">
        <f t="shared" si="22"/>
        <v>0</v>
      </c>
      <c r="T176" s="300">
        <f t="shared" si="23"/>
        <v>0</v>
      </c>
      <c r="U176" s="300">
        <f t="shared" si="24"/>
        <v>0</v>
      </c>
      <c r="V176" s="300">
        <f t="shared" si="25"/>
        <v>0</v>
      </c>
      <c r="W176" s="300">
        <f t="shared" si="26"/>
        <v>0</v>
      </c>
      <c r="X176" s="300">
        <f t="shared" si="27"/>
        <v>0</v>
      </c>
      <c r="Y176" s="300">
        <f t="shared" si="28"/>
        <v>0</v>
      </c>
      <c r="Z176"/>
      <c r="AA176"/>
      <c r="AB176"/>
    </row>
    <row r="177" spans="1:28" x14ac:dyDescent="0.35">
      <c r="A177" s="299"/>
      <c r="B177" s="515">
        <v>5.2659694343345436</v>
      </c>
      <c r="C177" s="515">
        <v>-9.4077657460791997E-2</v>
      </c>
      <c r="D177" s="515">
        <v>1.9417035122806001E-2</v>
      </c>
      <c r="E177" s="515">
        <v>9.9965436508326996E-2</v>
      </c>
      <c r="F177" s="515">
        <v>7.4314889000772003E-2</v>
      </c>
      <c r="G177" s="299"/>
      <c r="H177" s="300">
        <f t="shared" si="20"/>
        <v>0</v>
      </c>
      <c r="I177" s="299"/>
      <c r="J177" s="1"/>
      <c r="K177" s="299"/>
      <c r="L177" s="1"/>
      <c r="M177" s="299"/>
      <c r="N177" s="299"/>
      <c r="O177" s="299"/>
      <c r="P177" s="299"/>
      <c r="Q177" s="298"/>
      <c r="R177" s="300">
        <f t="shared" si="21"/>
        <v>0</v>
      </c>
      <c r="S177" s="300">
        <f t="shared" si="22"/>
        <v>0</v>
      </c>
      <c r="T177" s="300">
        <f t="shared" si="23"/>
        <v>0</v>
      </c>
      <c r="U177" s="300">
        <f t="shared" si="24"/>
        <v>0</v>
      </c>
      <c r="V177" s="300">
        <f t="shared" si="25"/>
        <v>0</v>
      </c>
      <c r="W177" s="300">
        <f t="shared" si="26"/>
        <v>0</v>
      </c>
      <c r="X177" s="300">
        <f t="shared" si="27"/>
        <v>0</v>
      </c>
      <c r="Y177" s="300">
        <f t="shared" si="28"/>
        <v>0</v>
      </c>
      <c r="Z177"/>
      <c r="AA177"/>
      <c r="AB177"/>
    </row>
    <row r="178" spans="1:28" x14ac:dyDescent="0.35">
      <c r="A178" s="299"/>
      <c r="B178" s="515">
        <v>24.785457010630001</v>
      </c>
      <c r="C178" s="515">
        <v>-4.3817418426716E-2</v>
      </c>
      <c r="D178" s="515">
        <v>3.2165263050197998E-2</v>
      </c>
      <c r="E178" s="515">
        <v>0.27058333496197001</v>
      </c>
      <c r="F178" s="515">
        <v>8.0577189949122996E-2</v>
      </c>
      <c r="G178" s="299"/>
      <c r="H178" s="300">
        <f t="shared" si="20"/>
        <v>0</v>
      </c>
      <c r="I178" s="299"/>
      <c r="J178" s="1"/>
      <c r="K178" s="299"/>
      <c r="L178" s="1"/>
      <c r="M178" s="299"/>
      <c r="N178" s="299"/>
      <c r="O178" s="299"/>
      <c r="P178" s="299"/>
      <c r="Q178" s="298"/>
      <c r="R178" s="300">
        <f t="shared" si="21"/>
        <v>0</v>
      </c>
      <c r="S178" s="300">
        <f t="shared" si="22"/>
        <v>0</v>
      </c>
      <c r="T178" s="300">
        <f t="shared" si="23"/>
        <v>0</v>
      </c>
      <c r="U178" s="300">
        <f t="shared" si="24"/>
        <v>0</v>
      </c>
      <c r="V178" s="300">
        <f t="shared" si="25"/>
        <v>0</v>
      </c>
      <c r="W178" s="300">
        <f t="shared" si="26"/>
        <v>0</v>
      </c>
      <c r="X178" s="300">
        <f t="shared" si="27"/>
        <v>0</v>
      </c>
      <c r="Y178" s="300">
        <f t="shared" si="28"/>
        <v>0</v>
      </c>
      <c r="Z178"/>
      <c r="AA178"/>
      <c r="AB178"/>
    </row>
    <row r="179" spans="1:28" x14ac:dyDescent="0.35">
      <c r="A179" s="299"/>
      <c r="B179" s="515">
        <v>1.483070452790197</v>
      </c>
      <c r="C179" s="515">
        <v>1.8858918897205999E-2</v>
      </c>
      <c r="D179" s="515">
        <v>2.3953790032441E-2</v>
      </c>
      <c r="E179" s="515">
        <v>9.1762651831039002E-2</v>
      </c>
      <c r="F179" s="515">
        <v>6.2860095424988993E-2</v>
      </c>
      <c r="G179" s="299"/>
      <c r="H179" s="300">
        <f t="shared" si="20"/>
        <v>0</v>
      </c>
      <c r="I179" s="299"/>
      <c r="J179" s="1"/>
      <c r="K179" s="299"/>
      <c r="L179" s="1"/>
      <c r="M179" s="299"/>
      <c r="N179" s="299"/>
      <c r="O179" s="299"/>
      <c r="P179" s="299"/>
      <c r="Q179" s="298"/>
      <c r="R179" s="300">
        <f t="shared" si="21"/>
        <v>0</v>
      </c>
      <c r="S179" s="300">
        <f t="shared" si="22"/>
        <v>0</v>
      </c>
      <c r="T179" s="300">
        <f t="shared" si="23"/>
        <v>0</v>
      </c>
      <c r="U179" s="300">
        <f t="shared" si="24"/>
        <v>0</v>
      </c>
      <c r="V179" s="300">
        <f t="shared" si="25"/>
        <v>0</v>
      </c>
      <c r="W179" s="300">
        <f t="shared" si="26"/>
        <v>0</v>
      </c>
      <c r="X179" s="300">
        <f t="shared" si="27"/>
        <v>0</v>
      </c>
      <c r="Y179" s="300">
        <f t="shared" si="28"/>
        <v>0</v>
      </c>
      <c r="Z179"/>
      <c r="AA179"/>
      <c r="AB179"/>
    </row>
    <row r="180" spans="1:28" x14ac:dyDescent="0.35">
      <c r="A180" s="299"/>
      <c r="B180" s="515">
        <v>1.376813373418017</v>
      </c>
      <c r="C180" s="515">
        <v>6.3433818427917996E-2</v>
      </c>
      <c r="D180" s="515">
        <v>2.0242746606887732</v>
      </c>
      <c r="E180" s="515">
        <v>0.23993059262324901</v>
      </c>
      <c r="F180" s="515">
        <v>4.5535052178919998E-3</v>
      </c>
      <c r="G180" s="299"/>
      <c r="H180" s="300">
        <f t="shared" si="20"/>
        <v>0</v>
      </c>
      <c r="I180" s="299"/>
      <c r="J180" s="1"/>
      <c r="K180" s="299"/>
      <c r="L180" s="1"/>
      <c r="M180" s="299"/>
      <c r="N180" s="299"/>
      <c r="O180" s="299"/>
      <c r="P180" s="299"/>
      <c r="Q180" s="298"/>
      <c r="R180" s="300">
        <f t="shared" si="21"/>
        <v>0</v>
      </c>
      <c r="S180" s="300">
        <f t="shared" si="22"/>
        <v>0</v>
      </c>
      <c r="T180" s="300">
        <f t="shared" si="23"/>
        <v>0</v>
      </c>
      <c r="U180" s="300">
        <f t="shared" si="24"/>
        <v>0</v>
      </c>
      <c r="V180" s="300">
        <f t="shared" si="25"/>
        <v>0</v>
      </c>
      <c r="W180" s="300">
        <f t="shared" si="26"/>
        <v>0</v>
      </c>
      <c r="X180" s="300">
        <f t="shared" si="27"/>
        <v>0</v>
      </c>
      <c r="Y180" s="300">
        <f t="shared" si="28"/>
        <v>0</v>
      </c>
      <c r="Z180"/>
      <c r="AA180"/>
      <c r="AB180"/>
    </row>
    <row r="181" spans="1:28" x14ac:dyDescent="0.35">
      <c r="A181" s="299"/>
      <c r="B181" s="515">
        <v>4.0899552709999999E-6</v>
      </c>
      <c r="C181" s="515">
        <v>-0.620963118130472</v>
      </c>
      <c r="D181" s="515">
        <v>1.9690121556292319</v>
      </c>
      <c r="E181" s="515">
        <v>7.8105014999999998E-8</v>
      </c>
      <c r="F181" s="515">
        <v>4.8954298967346002E-2</v>
      </c>
      <c r="G181" s="299"/>
      <c r="H181" s="300">
        <f t="shared" si="20"/>
        <v>0</v>
      </c>
      <c r="I181" s="299"/>
      <c r="J181" s="1"/>
      <c r="K181" s="299"/>
      <c r="L181" s="1"/>
      <c r="M181" s="299"/>
      <c r="N181" s="299"/>
      <c r="O181" s="299"/>
      <c r="P181" s="299"/>
      <c r="Q181" s="298"/>
      <c r="R181" s="300">
        <f t="shared" si="21"/>
        <v>0</v>
      </c>
      <c r="S181" s="300">
        <f t="shared" si="22"/>
        <v>0</v>
      </c>
      <c r="T181" s="300">
        <f t="shared" si="23"/>
        <v>0</v>
      </c>
      <c r="U181" s="300">
        <f t="shared" si="24"/>
        <v>0</v>
      </c>
      <c r="V181" s="300">
        <f t="shared" si="25"/>
        <v>0</v>
      </c>
      <c r="W181" s="300">
        <f t="shared" si="26"/>
        <v>0</v>
      </c>
      <c r="X181" s="300">
        <f t="shared" si="27"/>
        <v>0</v>
      </c>
      <c r="Y181" s="300">
        <f t="shared" si="28"/>
        <v>0</v>
      </c>
      <c r="Z181"/>
      <c r="AA181"/>
      <c r="AB181"/>
    </row>
    <row r="182" spans="1:28" x14ac:dyDescent="0.35">
      <c r="A182" s="299"/>
      <c r="B182" s="515">
        <v>8.2107731200000003E-7</v>
      </c>
      <c r="C182" s="515">
        <v>3.1826787239742999E-2</v>
      </c>
      <c r="D182" s="515">
        <v>1.890445597008358</v>
      </c>
      <c r="E182" s="515">
        <v>0.172812397591149</v>
      </c>
      <c r="F182" s="515">
        <v>1.5018543852507E-2</v>
      </c>
      <c r="G182" s="299"/>
      <c r="H182" s="300">
        <f t="shared" si="20"/>
        <v>0</v>
      </c>
      <c r="I182" s="299"/>
      <c r="J182" s="1"/>
      <c r="K182" s="299"/>
      <c r="L182" s="1"/>
      <c r="M182" s="299"/>
      <c r="N182" s="299"/>
      <c r="O182" s="299"/>
      <c r="P182" s="299"/>
      <c r="Q182" s="298"/>
      <c r="R182" s="300">
        <f t="shared" si="21"/>
        <v>0</v>
      </c>
      <c r="S182" s="300">
        <f t="shared" si="22"/>
        <v>0</v>
      </c>
      <c r="T182" s="300">
        <f t="shared" si="23"/>
        <v>0</v>
      </c>
      <c r="U182" s="300">
        <f t="shared" si="24"/>
        <v>0</v>
      </c>
      <c r="V182" s="300">
        <f t="shared" si="25"/>
        <v>0</v>
      </c>
      <c r="W182" s="300">
        <f t="shared" si="26"/>
        <v>0</v>
      </c>
      <c r="X182" s="300">
        <f t="shared" si="27"/>
        <v>0</v>
      </c>
      <c r="Y182" s="300">
        <f t="shared" si="28"/>
        <v>0</v>
      </c>
      <c r="Z182"/>
      <c r="AA182"/>
      <c r="AB182"/>
    </row>
    <row r="183" spans="1:28" x14ac:dyDescent="0.35">
      <c r="A183" s="299"/>
      <c r="B183" s="515">
        <v>4.4538324919653913</v>
      </c>
      <c r="C183" s="515">
        <v>9.5920366042936994E-2</v>
      </c>
      <c r="D183" s="515">
        <v>1.3868479384209249</v>
      </c>
      <c r="E183" s="515">
        <v>1.4674690599999999E-7</v>
      </c>
      <c r="F183" s="515">
        <v>6.2342132359714003E-2</v>
      </c>
      <c r="G183" s="299"/>
      <c r="H183" s="300">
        <f t="shared" si="20"/>
        <v>0</v>
      </c>
      <c r="I183" s="299"/>
      <c r="J183" s="1"/>
      <c r="K183" s="299"/>
      <c r="L183" s="1"/>
      <c r="M183" s="299"/>
      <c r="N183" s="299"/>
      <c r="O183" s="299"/>
      <c r="P183" s="299"/>
      <c r="Q183" s="298"/>
      <c r="R183" s="300">
        <f t="shared" si="21"/>
        <v>0</v>
      </c>
      <c r="S183" s="300">
        <f t="shared" si="22"/>
        <v>0</v>
      </c>
      <c r="T183" s="300">
        <f t="shared" si="23"/>
        <v>0</v>
      </c>
      <c r="U183" s="300">
        <f t="shared" si="24"/>
        <v>0</v>
      </c>
      <c r="V183" s="300">
        <f t="shared" si="25"/>
        <v>0</v>
      </c>
      <c r="W183" s="300">
        <f t="shared" si="26"/>
        <v>0</v>
      </c>
      <c r="X183" s="300">
        <f t="shared" si="27"/>
        <v>0</v>
      </c>
      <c r="Y183" s="300">
        <f t="shared" si="28"/>
        <v>0</v>
      </c>
      <c r="Z183"/>
      <c r="AA183"/>
      <c r="AB183"/>
    </row>
    <row r="184" spans="1:28" x14ac:dyDescent="0.35">
      <c r="A184" s="299"/>
      <c r="B184" s="515">
        <v>1.1445149892380111</v>
      </c>
      <c r="C184" s="515">
        <v>1.0783179336064E-2</v>
      </c>
      <c r="D184" s="515">
        <v>1.3735628832451841</v>
      </c>
      <c r="E184" s="515">
        <v>0.148692044052505</v>
      </c>
      <c r="F184" s="515">
        <v>3.3423505791337002E-2</v>
      </c>
      <c r="G184" s="299"/>
      <c r="H184" s="300">
        <f t="shared" si="20"/>
        <v>0</v>
      </c>
      <c r="I184" s="299"/>
      <c r="J184" s="1"/>
      <c r="K184" s="299"/>
      <c r="L184" s="1"/>
      <c r="M184" s="299"/>
      <c r="N184" s="299"/>
      <c r="O184" s="299"/>
      <c r="P184" s="299"/>
      <c r="Q184" s="298"/>
      <c r="R184" s="300">
        <f t="shared" si="21"/>
        <v>0</v>
      </c>
      <c r="S184" s="300">
        <f t="shared" si="22"/>
        <v>0</v>
      </c>
      <c r="T184" s="300">
        <f t="shared" si="23"/>
        <v>0</v>
      </c>
      <c r="U184" s="300">
        <f t="shared" si="24"/>
        <v>0</v>
      </c>
      <c r="V184" s="300">
        <f t="shared" si="25"/>
        <v>0</v>
      </c>
      <c r="W184" s="300">
        <f t="shared" si="26"/>
        <v>0</v>
      </c>
      <c r="X184" s="300">
        <f t="shared" si="27"/>
        <v>0</v>
      </c>
      <c r="Y184" s="300">
        <f t="shared" si="28"/>
        <v>0</v>
      </c>
      <c r="Z184"/>
      <c r="AA184"/>
      <c r="AB184"/>
    </row>
    <row r="185" spans="1:28" x14ac:dyDescent="0.35">
      <c r="A185" s="299"/>
      <c r="B185" s="515">
        <v>8.2085733830000002E-6</v>
      </c>
      <c r="C185" s="515">
        <v>2.7927329539493E-2</v>
      </c>
      <c r="D185" s="515">
        <v>1.9821377541138849</v>
      </c>
      <c r="E185" s="515">
        <v>0.22438849166497701</v>
      </c>
      <c r="F185" s="515">
        <v>5.1617805120239999E-3</v>
      </c>
      <c r="G185" s="299"/>
      <c r="H185" s="300">
        <f t="shared" si="20"/>
        <v>0</v>
      </c>
      <c r="I185" s="299"/>
      <c r="J185" s="1"/>
      <c r="K185" s="299"/>
      <c r="L185" s="1"/>
      <c r="M185" s="299"/>
      <c r="N185" s="299"/>
      <c r="O185" s="299"/>
      <c r="P185" s="299"/>
      <c r="Q185" s="298"/>
      <c r="R185" s="300">
        <f t="shared" si="21"/>
        <v>0</v>
      </c>
      <c r="S185" s="300">
        <f t="shared" si="22"/>
        <v>0</v>
      </c>
      <c r="T185" s="300">
        <f t="shared" si="23"/>
        <v>0</v>
      </c>
      <c r="U185" s="300">
        <f t="shared" si="24"/>
        <v>0</v>
      </c>
      <c r="V185" s="300">
        <f t="shared" si="25"/>
        <v>0</v>
      </c>
      <c r="W185" s="300">
        <f t="shared" si="26"/>
        <v>0</v>
      </c>
      <c r="X185" s="300">
        <f t="shared" si="27"/>
        <v>0</v>
      </c>
      <c r="Y185" s="300">
        <f t="shared" si="28"/>
        <v>0</v>
      </c>
      <c r="Z185"/>
      <c r="AA185"/>
      <c r="AB185"/>
    </row>
    <row r="186" spans="1:28" x14ac:dyDescent="0.35">
      <c r="A186" s="299"/>
      <c r="B186" s="515">
        <v>4.5329494382579272</v>
      </c>
      <c r="C186" s="515">
        <v>-0.50349461707413901</v>
      </c>
      <c r="D186" s="515">
        <v>1.0000486176058849</v>
      </c>
      <c r="E186" s="515">
        <v>6.6715993582799997E-3</v>
      </c>
      <c r="F186" s="515">
        <v>6.9743115765154004E-2</v>
      </c>
      <c r="G186" s="299"/>
      <c r="H186" s="300">
        <f t="shared" si="20"/>
        <v>0</v>
      </c>
      <c r="I186" s="299"/>
      <c r="J186" s="1"/>
      <c r="K186" s="299"/>
      <c r="L186" s="1"/>
      <c r="M186" s="299"/>
      <c r="N186" s="299"/>
      <c r="O186" s="299"/>
      <c r="P186" s="299"/>
      <c r="Q186" s="298"/>
      <c r="R186" s="300">
        <f t="shared" si="21"/>
        <v>0</v>
      </c>
      <c r="S186" s="300">
        <f t="shared" si="22"/>
        <v>0</v>
      </c>
      <c r="T186" s="300">
        <f t="shared" si="23"/>
        <v>0</v>
      </c>
      <c r="U186" s="300">
        <f t="shared" si="24"/>
        <v>0</v>
      </c>
      <c r="V186" s="300">
        <f t="shared" si="25"/>
        <v>0</v>
      </c>
      <c r="W186" s="300">
        <f t="shared" si="26"/>
        <v>0</v>
      </c>
      <c r="X186" s="300">
        <f t="shared" si="27"/>
        <v>0</v>
      </c>
      <c r="Y186" s="300">
        <f t="shared" si="28"/>
        <v>0</v>
      </c>
      <c r="Z186"/>
      <c r="AA186"/>
      <c r="AB186"/>
    </row>
    <row r="187" spans="1:28" x14ac:dyDescent="0.35">
      <c r="A187" s="299"/>
      <c r="B187" s="515">
        <v>6.3763230599772243</v>
      </c>
      <c r="C187" s="515">
        <v>-3.2859008023413003E-2</v>
      </c>
      <c r="D187" s="515">
        <v>1.4948865834305869</v>
      </c>
      <c r="E187" s="515">
        <v>0.108085605970236</v>
      </c>
      <c r="F187" s="515">
        <v>5.6090572945257003E-2</v>
      </c>
      <c r="G187" s="299"/>
      <c r="H187" s="300">
        <f t="shared" si="20"/>
        <v>0</v>
      </c>
      <c r="I187" s="299"/>
      <c r="J187" s="1"/>
      <c r="K187" s="299"/>
      <c r="L187" s="1"/>
      <c r="M187" s="299"/>
      <c r="N187" s="299"/>
      <c r="O187" s="299"/>
      <c r="P187" s="299"/>
      <c r="Q187" s="298"/>
      <c r="R187" s="300">
        <f t="shared" si="21"/>
        <v>0</v>
      </c>
      <c r="S187" s="300">
        <f t="shared" si="22"/>
        <v>0</v>
      </c>
      <c r="T187" s="300">
        <f t="shared" si="23"/>
        <v>0</v>
      </c>
      <c r="U187" s="300">
        <f t="shared" si="24"/>
        <v>0</v>
      </c>
      <c r="V187" s="300">
        <f t="shared" si="25"/>
        <v>0</v>
      </c>
      <c r="W187" s="300">
        <f t="shared" si="26"/>
        <v>0</v>
      </c>
      <c r="X187" s="300">
        <f t="shared" si="27"/>
        <v>0</v>
      </c>
      <c r="Y187" s="300">
        <f t="shared" si="28"/>
        <v>0</v>
      </c>
      <c r="Z187"/>
      <c r="AA187"/>
      <c r="AB187"/>
    </row>
    <row r="188" spans="1:28" x14ac:dyDescent="0.35">
      <c r="A188" s="299"/>
      <c r="B188" s="515">
        <v>2.7736272005999999E-5</v>
      </c>
      <c r="C188" s="515">
        <v>-0.65325442453141302</v>
      </c>
      <c r="D188" s="515">
        <v>1.7117163170483021</v>
      </c>
      <c r="E188" s="515">
        <v>4.5736569705484002E-2</v>
      </c>
      <c r="F188" s="515">
        <v>4.7861949446437999E-2</v>
      </c>
      <c r="G188" s="299"/>
      <c r="H188" s="300">
        <f t="shared" si="20"/>
        <v>0</v>
      </c>
      <c r="I188" s="299"/>
      <c r="J188" s="1"/>
      <c r="K188" s="299"/>
      <c r="L188" s="1"/>
      <c r="M188" s="299"/>
      <c r="N188" s="299"/>
      <c r="O188" s="299"/>
      <c r="P188" s="299"/>
      <c r="Q188" s="298"/>
      <c r="R188" s="300">
        <f t="shared" si="21"/>
        <v>0</v>
      </c>
      <c r="S188" s="300">
        <f t="shared" si="22"/>
        <v>0</v>
      </c>
      <c r="T188" s="300">
        <f t="shared" si="23"/>
        <v>0</v>
      </c>
      <c r="U188" s="300">
        <f t="shared" si="24"/>
        <v>0</v>
      </c>
      <c r="V188" s="300">
        <f t="shared" si="25"/>
        <v>0</v>
      </c>
      <c r="W188" s="300">
        <f t="shared" si="26"/>
        <v>0</v>
      </c>
      <c r="X188" s="300">
        <f t="shared" si="27"/>
        <v>0</v>
      </c>
      <c r="Y188" s="300">
        <f t="shared" si="28"/>
        <v>0</v>
      </c>
      <c r="Z188"/>
      <c r="AA188"/>
      <c r="AB188"/>
    </row>
    <row r="189" spans="1:28" x14ac:dyDescent="0.35">
      <c r="A189" s="299"/>
      <c r="B189" s="515">
        <v>0.61557130003476201</v>
      </c>
      <c r="C189" s="515">
        <v>4.9677835108564002E-2</v>
      </c>
      <c r="D189" s="515">
        <v>1.882831639266912</v>
      </c>
      <c r="E189" s="515">
        <v>0.22423724484364299</v>
      </c>
      <c r="F189" s="515">
        <v>8.0124695049430001E-3</v>
      </c>
      <c r="G189" s="299"/>
      <c r="H189" s="300">
        <f t="shared" si="20"/>
        <v>0</v>
      </c>
      <c r="I189" s="299"/>
      <c r="J189" s="1"/>
      <c r="K189" s="299"/>
      <c r="L189" s="1"/>
      <c r="M189" s="299"/>
      <c r="N189" s="299"/>
      <c r="O189" s="299"/>
      <c r="P189" s="299"/>
      <c r="Q189" s="298"/>
      <c r="R189" s="300">
        <f t="shared" si="21"/>
        <v>0</v>
      </c>
      <c r="S189" s="300">
        <f t="shared" si="22"/>
        <v>0</v>
      </c>
      <c r="T189" s="300">
        <f t="shared" si="23"/>
        <v>0</v>
      </c>
      <c r="U189" s="300">
        <f t="shared" si="24"/>
        <v>0</v>
      </c>
      <c r="V189" s="300">
        <f t="shared" si="25"/>
        <v>0</v>
      </c>
      <c r="W189" s="300">
        <f t="shared" si="26"/>
        <v>0</v>
      </c>
      <c r="X189" s="300">
        <f t="shared" si="27"/>
        <v>0</v>
      </c>
      <c r="Y189" s="300">
        <f t="shared" si="28"/>
        <v>0</v>
      </c>
      <c r="Z189"/>
      <c r="AA189"/>
      <c r="AB189"/>
    </row>
    <row r="190" spans="1:28" x14ac:dyDescent="0.35">
      <c r="A190" s="299"/>
      <c r="B190" s="515">
        <v>0.82043033597838799</v>
      </c>
      <c r="C190" s="515">
        <v>0.110171122037152</v>
      </c>
      <c r="D190" s="515">
        <v>0.94493857130750503</v>
      </c>
      <c r="E190" s="515">
        <v>0.13647233307175299</v>
      </c>
      <c r="F190" s="515">
        <v>3.5955533057227998E-2</v>
      </c>
      <c r="G190" s="299"/>
      <c r="H190" s="300">
        <f t="shared" si="20"/>
        <v>0</v>
      </c>
      <c r="I190" s="299"/>
      <c r="J190" s="1"/>
      <c r="K190" s="299"/>
      <c r="L190" s="1"/>
      <c r="M190" s="299"/>
      <c r="N190" s="299"/>
      <c r="O190" s="299"/>
      <c r="P190" s="299"/>
      <c r="Q190" s="298"/>
      <c r="R190" s="300">
        <f t="shared" si="21"/>
        <v>0</v>
      </c>
      <c r="S190" s="300">
        <f t="shared" si="22"/>
        <v>0</v>
      </c>
      <c r="T190" s="300">
        <f t="shared" si="23"/>
        <v>0</v>
      </c>
      <c r="U190" s="300">
        <f t="shared" si="24"/>
        <v>0</v>
      </c>
      <c r="V190" s="300">
        <f t="shared" si="25"/>
        <v>0</v>
      </c>
      <c r="W190" s="300">
        <f t="shared" si="26"/>
        <v>0</v>
      </c>
      <c r="X190" s="300">
        <f t="shared" si="27"/>
        <v>0</v>
      </c>
      <c r="Y190" s="300">
        <f t="shared" si="28"/>
        <v>0</v>
      </c>
      <c r="Z190"/>
      <c r="AA190"/>
      <c r="AB190"/>
    </row>
    <row r="191" spans="1:28" x14ac:dyDescent="0.35">
      <c r="A191" s="299"/>
      <c r="B191" s="515">
        <v>1.995404527025018</v>
      </c>
      <c r="C191" s="515">
        <v>-0.13682663582660901</v>
      </c>
      <c r="D191" s="515">
        <v>1.176189910166596</v>
      </c>
      <c r="E191" s="515">
        <v>8.7222073074000003E-5</v>
      </c>
      <c r="F191" s="515">
        <v>6.0687221689812998E-2</v>
      </c>
      <c r="G191" s="299"/>
      <c r="H191" s="300">
        <f t="shared" si="20"/>
        <v>0</v>
      </c>
      <c r="I191" s="299"/>
      <c r="J191" s="1"/>
      <c r="K191" s="299"/>
      <c r="L191" s="1"/>
      <c r="M191" s="299"/>
      <c r="N191" s="299"/>
      <c r="O191" s="299"/>
      <c r="P191" s="299"/>
      <c r="Q191" s="298"/>
      <c r="R191" s="300">
        <f t="shared" si="21"/>
        <v>0</v>
      </c>
      <c r="S191" s="300">
        <f t="shared" si="22"/>
        <v>0</v>
      </c>
      <c r="T191" s="300">
        <f t="shared" si="23"/>
        <v>0</v>
      </c>
      <c r="U191" s="300">
        <f t="shared" si="24"/>
        <v>0</v>
      </c>
      <c r="V191" s="300">
        <f t="shared" si="25"/>
        <v>0</v>
      </c>
      <c r="W191" s="300">
        <f t="shared" si="26"/>
        <v>0</v>
      </c>
      <c r="X191" s="300">
        <f t="shared" si="27"/>
        <v>0</v>
      </c>
      <c r="Y191" s="300">
        <f t="shared" si="28"/>
        <v>0</v>
      </c>
      <c r="Z191"/>
      <c r="AA191"/>
      <c r="AB191"/>
    </row>
    <row r="192" spans="1:28" x14ac:dyDescent="0.35">
      <c r="A192" s="299"/>
      <c r="B192" s="515">
        <v>9.881150835359108</v>
      </c>
      <c r="C192" s="515">
        <v>0.16504272558514099</v>
      </c>
      <c r="D192" s="515">
        <v>2.5768171670864182</v>
      </c>
      <c r="E192" s="515">
        <v>7.3088117731799998E-4</v>
      </c>
      <c r="F192" s="515">
        <v>4.4645181765148999E-2</v>
      </c>
      <c r="G192" s="299"/>
      <c r="H192" s="300">
        <f t="shared" si="20"/>
        <v>0</v>
      </c>
      <c r="I192" s="299"/>
      <c r="J192" s="1"/>
      <c r="K192" s="299"/>
      <c r="L192" s="1"/>
      <c r="M192" s="299"/>
      <c r="N192" s="299"/>
      <c r="O192" s="299"/>
      <c r="P192" s="299"/>
      <c r="Q192" s="298"/>
      <c r="R192" s="300">
        <f t="shared" si="21"/>
        <v>0</v>
      </c>
      <c r="S192" s="300">
        <f t="shared" si="22"/>
        <v>0</v>
      </c>
      <c r="T192" s="300">
        <f t="shared" si="23"/>
        <v>0</v>
      </c>
      <c r="U192" s="300">
        <f t="shared" si="24"/>
        <v>0</v>
      </c>
      <c r="V192" s="300">
        <f t="shared" si="25"/>
        <v>0</v>
      </c>
      <c r="W192" s="300">
        <f t="shared" si="26"/>
        <v>0</v>
      </c>
      <c r="X192" s="300">
        <f t="shared" si="27"/>
        <v>0</v>
      </c>
      <c r="Y192" s="300">
        <f t="shared" si="28"/>
        <v>0</v>
      </c>
      <c r="Z192"/>
      <c r="AA192"/>
      <c r="AB192"/>
    </row>
    <row r="193" spans="1:28" x14ac:dyDescent="0.35">
      <c r="A193" s="299"/>
      <c r="B193" s="515">
        <v>14.237145949313319</v>
      </c>
      <c r="C193" s="515">
        <v>-1.997149809731289</v>
      </c>
      <c r="D193" s="515">
        <v>1.7874498532780829</v>
      </c>
      <c r="E193" s="515">
        <v>0.27099996547873501</v>
      </c>
      <c r="F193" s="515">
        <v>7.3431007064472004E-2</v>
      </c>
      <c r="G193" s="299"/>
      <c r="H193" s="300">
        <f t="shared" ref="H193:H256" si="29">SUMPRODUCT(B193:F193,B$61:F$61)</f>
        <v>0</v>
      </c>
      <c r="I193" s="299"/>
      <c r="J193" s="1"/>
      <c r="K193" s="299"/>
      <c r="L193" s="1"/>
      <c r="M193" s="299"/>
      <c r="N193" s="299"/>
      <c r="O193" s="299"/>
      <c r="P193" s="299"/>
      <c r="Q193" s="298"/>
      <c r="R193" s="300">
        <f t="shared" ref="R193:R256" si="30">SUMPRODUCT($B193:$F193,$K$64:$O$64)</f>
        <v>0</v>
      </c>
      <c r="S193" s="300">
        <f t="shared" ref="S193:S256" si="31">SUMPRODUCT($B193:$F193,$K$65:$O$65)</f>
        <v>0</v>
      </c>
      <c r="T193" s="300">
        <f t="shared" ref="T193:T256" si="32">SUMPRODUCT($B193:$F193,$K$66:$O$66)</f>
        <v>0</v>
      </c>
      <c r="U193" s="300">
        <f t="shared" ref="U193:U256" si="33">SUMPRODUCT($B193:$F193,$K$67:$O$67)</f>
        <v>0</v>
      </c>
      <c r="V193" s="300">
        <f t="shared" ref="V193:V256" si="34">SUMPRODUCT($B193:$F193,$K$68:$O$68)</f>
        <v>0</v>
      </c>
      <c r="W193" s="300">
        <f t="shared" ref="W193:W256" si="35">SUMPRODUCT($B193:$F193,$K$69:$O$69)</f>
        <v>0</v>
      </c>
      <c r="X193" s="300">
        <f t="shared" ref="X193:X256" si="36">SUMPRODUCT($B193:$F193,$K$70:$O$70)</f>
        <v>0</v>
      </c>
      <c r="Y193" s="300">
        <f t="shared" ref="Y193:Y256" si="37">SUMPRODUCT($B193:$F193,$K$71:$O$71)</f>
        <v>0</v>
      </c>
      <c r="Z193"/>
      <c r="AA193"/>
      <c r="AB193"/>
    </row>
    <row r="194" spans="1:28" x14ac:dyDescent="0.35">
      <c r="A194" s="299"/>
      <c r="B194" s="515">
        <v>3.8688989297363002E-2</v>
      </c>
      <c r="C194" s="515">
        <v>2.7279370819461E-2</v>
      </c>
      <c r="D194" s="515">
        <v>1.9743442577523631</v>
      </c>
      <c r="E194" s="515">
        <v>0.22384712903061099</v>
      </c>
      <c r="F194" s="515">
        <v>5.5533791001010002E-3</v>
      </c>
      <c r="G194" s="299"/>
      <c r="H194" s="300">
        <f t="shared" si="29"/>
        <v>0</v>
      </c>
      <c r="I194" s="299"/>
      <c r="J194" s="1"/>
      <c r="K194" s="299"/>
      <c r="L194" s="1"/>
      <c r="M194" s="299"/>
      <c r="N194" s="299"/>
      <c r="O194" s="299"/>
      <c r="P194" s="299"/>
      <c r="Q194" s="298"/>
      <c r="R194" s="300">
        <f t="shared" si="30"/>
        <v>0</v>
      </c>
      <c r="S194" s="300">
        <f t="shared" si="31"/>
        <v>0</v>
      </c>
      <c r="T194" s="300">
        <f t="shared" si="32"/>
        <v>0</v>
      </c>
      <c r="U194" s="300">
        <f t="shared" si="33"/>
        <v>0</v>
      </c>
      <c r="V194" s="300">
        <f t="shared" si="34"/>
        <v>0</v>
      </c>
      <c r="W194" s="300">
        <f t="shared" si="35"/>
        <v>0</v>
      </c>
      <c r="X194" s="300">
        <f t="shared" si="36"/>
        <v>0</v>
      </c>
      <c r="Y194" s="300">
        <f t="shared" si="37"/>
        <v>0</v>
      </c>
      <c r="Z194"/>
      <c r="AA194"/>
      <c r="AB194"/>
    </row>
    <row r="195" spans="1:28" x14ac:dyDescent="0.35">
      <c r="A195" s="299"/>
      <c r="B195" s="515">
        <v>8.5932073500000001E-7</v>
      </c>
      <c r="C195" s="515">
        <v>4.9808387511981002E-2</v>
      </c>
      <c r="D195" s="515">
        <v>7.0010589853759997E-3</v>
      </c>
      <c r="E195" s="515">
        <v>2.5935359095130002E-3</v>
      </c>
      <c r="F195" s="515">
        <v>6.7869509700208996E-2</v>
      </c>
      <c r="G195" s="299"/>
      <c r="H195" s="300">
        <f t="shared" si="29"/>
        <v>0</v>
      </c>
      <c r="I195" s="299"/>
      <c r="J195" s="1"/>
      <c r="K195" s="299"/>
      <c r="L195" s="1"/>
      <c r="M195" s="299"/>
      <c r="N195" s="299"/>
      <c r="O195" s="299"/>
      <c r="P195" s="299"/>
      <c r="Q195" s="298"/>
      <c r="R195" s="300">
        <f t="shared" si="30"/>
        <v>0</v>
      </c>
      <c r="S195" s="300">
        <f t="shared" si="31"/>
        <v>0</v>
      </c>
      <c r="T195" s="300">
        <f t="shared" si="32"/>
        <v>0</v>
      </c>
      <c r="U195" s="300">
        <f t="shared" si="33"/>
        <v>0</v>
      </c>
      <c r="V195" s="300">
        <f t="shared" si="34"/>
        <v>0</v>
      </c>
      <c r="W195" s="300">
        <f t="shared" si="35"/>
        <v>0</v>
      </c>
      <c r="X195" s="300">
        <f t="shared" si="36"/>
        <v>0</v>
      </c>
      <c r="Y195" s="300">
        <f t="shared" si="37"/>
        <v>0</v>
      </c>
      <c r="Z195"/>
      <c r="AA195"/>
      <c r="AB195"/>
    </row>
    <row r="196" spans="1:28" x14ac:dyDescent="0.35">
      <c r="A196" s="299"/>
      <c r="B196" s="515">
        <v>1.392569090704149</v>
      </c>
      <c r="C196" s="515">
        <v>-2.7463210604947772</v>
      </c>
      <c r="D196" s="515">
        <v>1.05556176230027</v>
      </c>
      <c r="E196" s="515">
        <v>7.7852891806987998E-2</v>
      </c>
      <c r="F196" s="515">
        <v>6.4308243606604004E-2</v>
      </c>
      <c r="G196" s="299"/>
      <c r="H196" s="300">
        <f t="shared" si="29"/>
        <v>0</v>
      </c>
      <c r="I196" s="299"/>
      <c r="J196" s="1"/>
      <c r="K196" s="299"/>
      <c r="L196" s="1"/>
      <c r="M196" s="299"/>
      <c r="N196" s="299"/>
      <c r="O196" s="299"/>
      <c r="P196" s="299"/>
      <c r="Q196" s="298"/>
      <c r="R196" s="300">
        <f t="shared" si="30"/>
        <v>0</v>
      </c>
      <c r="S196" s="300">
        <f t="shared" si="31"/>
        <v>0</v>
      </c>
      <c r="T196" s="300">
        <f t="shared" si="32"/>
        <v>0</v>
      </c>
      <c r="U196" s="300">
        <f t="shared" si="33"/>
        <v>0</v>
      </c>
      <c r="V196" s="300">
        <f t="shared" si="34"/>
        <v>0</v>
      </c>
      <c r="W196" s="300">
        <f t="shared" si="35"/>
        <v>0</v>
      </c>
      <c r="X196" s="300">
        <f t="shared" si="36"/>
        <v>0</v>
      </c>
      <c r="Y196" s="300">
        <f t="shared" si="37"/>
        <v>0</v>
      </c>
      <c r="Z196"/>
      <c r="AA196"/>
      <c r="AB196"/>
    </row>
    <row r="197" spans="1:28" x14ac:dyDescent="0.35">
      <c r="A197" s="299"/>
      <c r="B197" s="515">
        <v>8.7083622410899996E-4</v>
      </c>
      <c r="C197" s="515">
        <v>2.7934562430925E-2</v>
      </c>
      <c r="D197" s="515">
        <v>1.98216527221946</v>
      </c>
      <c r="E197" s="515">
        <v>0.22442205228622999</v>
      </c>
      <c r="F197" s="515">
        <v>5.1575432960429997E-3</v>
      </c>
      <c r="G197" s="299"/>
      <c r="H197" s="300">
        <f t="shared" si="29"/>
        <v>0</v>
      </c>
      <c r="I197" s="299"/>
      <c r="J197" s="1"/>
      <c r="K197" s="299"/>
      <c r="L197" s="1"/>
      <c r="M197" s="299"/>
      <c r="N197" s="299"/>
      <c r="O197" s="299"/>
      <c r="P197" s="299"/>
      <c r="Q197" s="298"/>
      <c r="R197" s="300">
        <f t="shared" si="30"/>
        <v>0</v>
      </c>
      <c r="S197" s="300">
        <f t="shared" si="31"/>
        <v>0</v>
      </c>
      <c r="T197" s="300">
        <f t="shared" si="32"/>
        <v>0</v>
      </c>
      <c r="U197" s="300">
        <f t="shared" si="33"/>
        <v>0</v>
      </c>
      <c r="V197" s="300">
        <f t="shared" si="34"/>
        <v>0</v>
      </c>
      <c r="W197" s="300">
        <f t="shared" si="35"/>
        <v>0</v>
      </c>
      <c r="X197" s="300">
        <f t="shared" si="36"/>
        <v>0</v>
      </c>
      <c r="Y197" s="300">
        <f t="shared" si="37"/>
        <v>0</v>
      </c>
      <c r="Z197"/>
      <c r="AA197"/>
      <c r="AB197"/>
    </row>
    <row r="198" spans="1:28" x14ac:dyDescent="0.35">
      <c r="A198" s="299"/>
      <c r="B198" s="515">
        <v>8.4689307936234819</v>
      </c>
      <c r="C198" s="515">
        <v>-0.35415612731639201</v>
      </c>
      <c r="D198" s="515">
        <v>1.3314696192170441</v>
      </c>
      <c r="E198" s="515">
        <v>2.3086087446238E-2</v>
      </c>
      <c r="F198" s="515">
        <v>7.2867827085438999E-2</v>
      </c>
      <c r="G198" s="299"/>
      <c r="H198" s="300">
        <f t="shared" si="29"/>
        <v>0</v>
      </c>
      <c r="I198" s="299"/>
      <c r="J198" s="1"/>
      <c r="K198" s="299"/>
      <c r="L198" s="1"/>
      <c r="M198" s="299"/>
      <c r="N198" s="299"/>
      <c r="O198" s="299"/>
      <c r="P198" s="299"/>
      <c r="Q198" s="298"/>
      <c r="R198" s="300">
        <f t="shared" si="30"/>
        <v>0</v>
      </c>
      <c r="S198" s="300">
        <f t="shared" si="31"/>
        <v>0</v>
      </c>
      <c r="T198" s="300">
        <f t="shared" si="32"/>
        <v>0</v>
      </c>
      <c r="U198" s="300">
        <f t="shared" si="33"/>
        <v>0</v>
      </c>
      <c r="V198" s="300">
        <f t="shared" si="34"/>
        <v>0</v>
      </c>
      <c r="W198" s="300">
        <f t="shared" si="35"/>
        <v>0</v>
      </c>
      <c r="X198" s="300">
        <f t="shared" si="36"/>
        <v>0</v>
      </c>
      <c r="Y198" s="300">
        <f t="shared" si="37"/>
        <v>0</v>
      </c>
      <c r="Z198"/>
      <c r="AA198"/>
      <c r="AB198"/>
    </row>
    <row r="199" spans="1:28" x14ac:dyDescent="0.35">
      <c r="A199" s="299"/>
      <c r="B199" s="515">
        <v>0.30534141692334998</v>
      </c>
      <c r="C199" s="515">
        <v>2.5594496398108998E-2</v>
      </c>
      <c r="D199" s="515">
        <v>1.2359799500740829</v>
      </c>
      <c r="E199" s="515">
        <v>0.15529465336911899</v>
      </c>
      <c r="F199" s="515">
        <v>3.0077791798433E-2</v>
      </c>
      <c r="G199" s="299"/>
      <c r="H199" s="300">
        <f t="shared" si="29"/>
        <v>0</v>
      </c>
      <c r="I199" s="299"/>
      <c r="J199" s="1"/>
      <c r="K199" s="299"/>
      <c r="L199" s="1"/>
      <c r="M199" s="299"/>
      <c r="N199" s="299"/>
      <c r="O199" s="299"/>
      <c r="P199" s="299"/>
      <c r="Q199" s="298"/>
      <c r="R199" s="300">
        <f t="shared" si="30"/>
        <v>0</v>
      </c>
      <c r="S199" s="300">
        <f t="shared" si="31"/>
        <v>0</v>
      </c>
      <c r="T199" s="300">
        <f t="shared" si="32"/>
        <v>0</v>
      </c>
      <c r="U199" s="300">
        <f t="shared" si="33"/>
        <v>0</v>
      </c>
      <c r="V199" s="300">
        <f t="shared" si="34"/>
        <v>0</v>
      </c>
      <c r="W199" s="300">
        <f t="shared" si="35"/>
        <v>0</v>
      </c>
      <c r="X199" s="300">
        <f t="shared" si="36"/>
        <v>0</v>
      </c>
      <c r="Y199" s="300">
        <f t="shared" si="37"/>
        <v>0</v>
      </c>
      <c r="Z199"/>
      <c r="AA199"/>
      <c r="AB199"/>
    </row>
    <row r="200" spans="1:28" x14ac:dyDescent="0.35">
      <c r="A200" s="299"/>
      <c r="B200" s="515">
        <v>2.0540380991279E-2</v>
      </c>
      <c r="C200" s="515">
        <v>2.9331938113543999E-2</v>
      </c>
      <c r="D200" s="515">
        <v>1.980370562553917</v>
      </c>
      <c r="E200" s="515">
        <v>0.22445395914967001</v>
      </c>
      <c r="F200" s="515">
        <v>5.1865975241749997E-3</v>
      </c>
      <c r="G200" s="299"/>
      <c r="H200" s="300">
        <f t="shared" si="29"/>
        <v>0</v>
      </c>
      <c r="I200" s="299"/>
      <c r="J200" s="1"/>
      <c r="K200" s="299"/>
      <c r="L200" s="1"/>
      <c r="M200" s="299"/>
      <c r="N200" s="299"/>
      <c r="O200" s="299"/>
      <c r="P200" s="299"/>
      <c r="Q200" s="298"/>
      <c r="R200" s="300">
        <f t="shared" si="30"/>
        <v>0</v>
      </c>
      <c r="S200" s="300">
        <f t="shared" si="31"/>
        <v>0</v>
      </c>
      <c r="T200" s="300">
        <f t="shared" si="32"/>
        <v>0</v>
      </c>
      <c r="U200" s="300">
        <f t="shared" si="33"/>
        <v>0</v>
      </c>
      <c r="V200" s="300">
        <f t="shared" si="34"/>
        <v>0</v>
      </c>
      <c r="W200" s="300">
        <f t="shared" si="35"/>
        <v>0</v>
      </c>
      <c r="X200" s="300">
        <f t="shared" si="36"/>
        <v>0</v>
      </c>
      <c r="Y200" s="300">
        <f t="shared" si="37"/>
        <v>0</v>
      </c>
      <c r="Z200"/>
      <c r="AA200"/>
      <c r="AB200"/>
    </row>
    <row r="201" spans="1:28" x14ac:dyDescent="0.35">
      <c r="A201" s="299"/>
      <c r="B201" s="515">
        <v>8.6241604508074836</v>
      </c>
      <c r="C201" s="515">
        <v>-0.901862083437874</v>
      </c>
      <c r="D201" s="515">
        <v>2.7506058606145949</v>
      </c>
      <c r="E201" s="515">
        <v>5.1085295698650003E-3</v>
      </c>
      <c r="F201" s="515">
        <v>5.8440305369672998E-2</v>
      </c>
      <c r="G201" s="299"/>
      <c r="H201" s="300">
        <f t="shared" si="29"/>
        <v>0</v>
      </c>
      <c r="I201" s="299"/>
      <c r="J201" s="1"/>
      <c r="K201" s="299"/>
      <c r="L201" s="1"/>
      <c r="M201" s="299"/>
      <c r="N201" s="299"/>
      <c r="O201" s="299"/>
      <c r="P201" s="299"/>
      <c r="Q201" s="298"/>
      <c r="R201" s="300">
        <f t="shared" si="30"/>
        <v>0</v>
      </c>
      <c r="S201" s="300">
        <f t="shared" si="31"/>
        <v>0</v>
      </c>
      <c r="T201" s="300">
        <f t="shared" si="32"/>
        <v>0</v>
      </c>
      <c r="U201" s="300">
        <f t="shared" si="33"/>
        <v>0</v>
      </c>
      <c r="V201" s="300">
        <f t="shared" si="34"/>
        <v>0</v>
      </c>
      <c r="W201" s="300">
        <f t="shared" si="35"/>
        <v>0</v>
      </c>
      <c r="X201" s="300">
        <f t="shared" si="36"/>
        <v>0</v>
      </c>
      <c r="Y201" s="300">
        <f t="shared" si="37"/>
        <v>0</v>
      </c>
      <c r="Z201"/>
      <c r="AA201"/>
      <c r="AB201"/>
    </row>
    <row r="202" spans="1:28" x14ac:dyDescent="0.35">
      <c r="A202" s="299"/>
      <c r="B202" s="515">
        <v>4.0359643779816228</v>
      </c>
      <c r="C202" s="515">
        <v>0.16784019897819699</v>
      </c>
      <c r="D202" s="515">
        <v>0.85489017448194504</v>
      </c>
      <c r="E202" s="515">
        <v>7.4536011997438006E-2</v>
      </c>
      <c r="F202" s="515">
        <v>5.2401638883984997E-2</v>
      </c>
      <c r="G202" s="299"/>
      <c r="H202" s="300">
        <f t="shared" si="29"/>
        <v>0</v>
      </c>
      <c r="I202" s="299"/>
      <c r="J202" s="1"/>
      <c r="K202" s="299"/>
      <c r="L202" s="1"/>
      <c r="M202" s="299"/>
      <c r="N202" s="299"/>
      <c r="O202" s="299"/>
      <c r="P202" s="299"/>
      <c r="Q202" s="298"/>
      <c r="R202" s="300">
        <f t="shared" si="30"/>
        <v>0</v>
      </c>
      <c r="S202" s="300">
        <f t="shared" si="31"/>
        <v>0</v>
      </c>
      <c r="T202" s="300">
        <f t="shared" si="32"/>
        <v>0</v>
      </c>
      <c r="U202" s="300">
        <f t="shared" si="33"/>
        <v>0</v>
      </c>
      <c r="V202" s="300">
        <f t="shared" si="34"/>
        <v>0</v>
      </c>
      <c r="W202" s="300">
        <f t="shared" si="35"/>
        <v>0</v>
      </c>
      <c r="X202" s="300">
        <f t="shared" si="36"/>
        <v>0</v>
      </c>
      <c r="Y202" s="300">
        <f t="shared" si="37"/>
        <v>0</v>
      </c>
      <c r="Z202"/>
      <c r="AA202"/>
      <c r="AB202"/>
    </row>
    <row r="203" spans="1:28" x14ac:dyDescent="0.35">
      <c r="A203" s="299"/>
      <c r="B203" s="515">
        <v>12.46872110018335</v>
      </c>
      <c r="C203" s="515">
        <v>-0.235238842791681</v>
      </c>
      <c r="D203" s="515">
        <v>1.317790045011715</v>
      </c>
      <c r="E203" s="515">
        <v>9.9709041008220006E-2</v>
      </c>
      <c r="F203" s="515">
        <v>7.7202341225123997E-2</v>
      </c>
      <c r="G203" s="299"/>
      <c r="H203" s="300">
        <f t="shared" si="29"/>
        <v>0</v>
      </c>
      <c r="I203" s="299"/>
      <c r="J203" s="1"/>
      <c r="K203" s="299"/>
      <c r="L203" s="1"/>
      <c r="M203" s="299"/>
      <c r="N203" s="299"/>
      <c r="O203" s="299"/>
      <c r="P203" s="299"/>
      <c r="Q203" s="298"/>
      <c r="R203" s="300">
        <f t="shared" si="30"/>
        <v>0</v>
      </c>
      <c r="S203" s="300">
        <f t="shared" si="31"/>
        <v>0</v>
      </c>
      <c r="T203" s="300">
        <f t="shared" si="32"/>
        <v>0</v>
      </c>
      <c r="U203" s="300">
        <f t="shared" si="33"/>
        <v>0</v>
      </c>
      <c r="V203" s="300">
        <f t="shared" si="34"/>
        <v>0</v>
      </c>
      <c r="W203" s="300">
        <f t="shared" si="35"/>
        <v>0</v>
      </c>
      <c r="X203" s="300">
        <f t="shared" si="36"/>
        <v>0</v>
      </c>
      <c r="Y203" s="300">
        <f t="shared" si="37"/>
        <v>0</v>
      </c>
      <c r="Z203"/>
      <c r="AA203"/>
      <c r="AB203"/>
    </row>
    <row r="204" spans="1:28" x14ac:dyDescent="0.35">
      <c r="A204" s="299"/>
      <c r="B204" s="515">
        <v>15.335648986684619</v>
      </c>
      <c r="C204" s="515">
        <v>-0.178474553957156</v>
      </c>
      <c r="D204" s="515">
        <v>1.677087730588966</v>
      </c>
      <c r="E204" s="515">
        <v>0.27058529875492698</v>
      </c>
      <c r="F204" s="515">
        <v>4.8078347072423998E-2</v>
      </c>
      <c r="G204" s="299"/>
      <c r="H204" s="300">
        <f t="shared" si="29"/>
        <v>0</v>
      </c>
      <c r="I204" s="299"/>
      <c r="J204" s="1"/>
      <c r="K204" s="299"/>
      <c r="L204" s="1"/>
      <c r="M204" s="299"/>
      <c r="N204" s="299"/>
      <c r="O204" s="299"/>
      <c r="P204" s="299"/>
      <c r="Q204" s="298"/>
      <c r="R204" s="300">
        <f t="shared" si="30"/>
        <v>0</v>
      </c>
      <c r="S204" s="300">
        <f t="shared" si="31"/>
        <v>0</v>
      </c>
      <c r="T204" s="300">
        <f t="shared" si="32"/>
        <v>0</v>
      </c>
      <c r="U204" s="300">
        <f t="shared" si="33"/>
        <v>0</v>
      </c>
      <c r="V204" s="300">
        <f t="shared" si="34"/>
        <v>0</v>
      </c>
      <c r="W204" s="300">
        <f t="shared" si="35"/>
        <v>0</v>
      </c>
      <c r="X204" s="300">
        <f t="shared" si="36"/>
        <v>0</v>
      </c>
      <c r="Y204" s="300">
        <f t="shared" si="37"/>
        <v>0</v>
      </c>
      <c r="Z204"/>
      <c r="AA204"/>
      <c r="AB204"/>
    </row>
    <row r="205" spans="1:28" x14ac:dyDescent="0.35">
      <c r="A205" s="299"/>
      <c r="B205" s="515">
        <v>3.50308033E-6</v>
      </c>
      <c r="C205" s="515">
        <v>2.7926246625267999E-2</v>
      </c>
      <c r="D205" s="515">
        <v>1.9818256741802061</v>
      </c>
      <c r="E205" s="515">
        <v>0.22441141544908799</v>
      </c>
      <c r="F205" s="515">
        <v>5.162510230785E-3</v>
      </c>
      <c r="G205" s="299"/>
      <c r="H205" s="300">
        <f t="shared" si="29"/>
        <v>0</v>
      </c>
      <c r="I205" s="299"/>
      <c r="J205" s="1"/>
      <c r="K205" s="299"/>
      <c r="L205" s="1"/>
      <c r="M205" s="299"/>
      <c r="N205" s="299"/>
      <c r="O205" s="299"/>
      <c r="P205" s="299"/>
      <c r="Q205" s="298"/>
      <c r="R205" s="300">
        <f t="shared" si="30"/>
        <v>0</v>
      </c>
      <c r="S205" s="300">
        <f t="shared" si="31"/>
        <v>0</v>
      </c>
      <c r="T205" s="300">
        <f t="shared" si="32"/>
        <v>0</v>
      </c>
      <c r="U205" s="300">
        <f t="shared" si="33"/>
        <v>0</v>
      </c>
      <c r="V205" s="300">
        <f t="shared" si="34"/>
        <v>0</v>
      </c>
      <c r="W205" s="300">
        <f t="shared" si="35"/>
        <v>0</v>
      </c>
      <c r="X205" s="300">
        <f t="shared" si="36"/>
        <v>0</v>
      </c>
      <c r="Y205" s="300">
        <f t="shared" si="37"/>
        <v>0</v>
      </c>
      <c r="Z205"/>
      <c r="AA205"/>
      <c r="AB205"/>
    </row>
    <row r="206" spans="1:28" x14ac:dyDescent="0.35">
      <c r="A206" s="299"/>
      <c r="B206" s="515">
        <v>4.4535839640168762</v>
      </c>
      <c r="C206" s="515">
        <v>9.5929725913470001E-2</v>
      </c>
      <c r="D206" s="515">
        <v>1.386542533569652</v>
      </c>
      <c r="E206" s="515">
        <v>1.391351001E-6</v>
      </c>
      <c r="F206" s="515">
        <v>6.2345350738357001E-2</v>
      </c>
      <c r="G206" s="299"/>
      <c r="H206" s="300">
        <f t="shared" si="29"/>
        <v>0</v>
      </c>
      <c r="I206" s="299"/>
      <c r="J206" s="1"/>
      <c r="K206" s="299"/>
      <c r="L206" s="1"/>
      <c r="M206" s="299"/>
      <c r="N206" s="299"/>
      <c r="O206" s="299"/>
      <c r="P206" s="299"/>
      <c r="Q206" s="298"/>
      <c r="R206" s="300">
        <f t="shared" si="30"/>
        <v>0</v>
      </c>
      <c r="S206" s="300">
        <f t="shared" si="31"/>
        <v>0</v>
      </c>
      <c r="T206" s="300">
        <f t="shared" si="32"/>
        <v>0</v>
      </c>
      <c r="U206" s="300">
        <f t="shared" si="33"/>
        <v>0</v>
      </c>
      <c r="V206" s="300">
        <f t="shared" si="34"/>
        <v>0</v>
      </c>
      <c r="W206" s="300">
        <f t="shared" si="35"/>
        <v>0</v>
      </c>
      <c r="X206" s="300">
        <f t="shared" si="36"/>
        <v>0</v>
      </c>
      <c r="Y206" s="300">
        <f t="shared" si="37"/>
        <v>0</v>
      </c>
      <c r="Z206"/>
      <c r="AA206"/>
      <c r="AB206"/>
    </row>
    <row r="207" spans="1:28" x14ac:dyDescent="0.35">
      <c r="A207" s="299"/>
      <c r="B207" s="515">
        <v>2.6553903609191449</v>
      </c>
      <c r="C207" s="515">
        <v>-0.34991884269115497</v>
      </c>
      <c r="D207" s="515">
        <v>2.4482647907174528</v>
      </c>
      <c r="E207" s="515">
        <v>0.27079244433411498</v>
      </c>
      <c r="F207" s="515">
        <v>2.184253039713E-3</v>
      </c>
      <c r="G207" s="299"/>
      <c r="H207" s="300">
        <f t="shared" si="29"/>
        <v>0</v>
      </c>
      <c r="I207" s="299"/>
      <c r="J207" s="1"/>
      <c r="K207" s="299"/>
      <c r="L207" s="1"/>
      <c r="M207" s="299"/>
      <c r="N207" s="299"/>
      <c r="O207" s="299"/>
      <c r="P207" s="299"/>
      <c r="Q207" s="298"/>
      <c r="R207" s="300">
        <f t="shared" si="30"/>
        <v>0</v>
      </c>
      <c r="S207" s="300">
        <f t="shared" si="31"/>
        <v>0</v>
      </c>
      <c r="T207" s="300">
        <f t="shared" si="32"/>
        <v>0</v>
      </c>
      <c r="U207" s="300">
        <f t="shared" si="33"/>
        <v>0</v>
      </c>
      <c r="V207" s="300">
        <f t="shared" si="34"/>
        <v>0</v>
      </c>
      <c r="W207" s="300">
        <f t="shared" si="35"/>
        <v>0</v>
      </c>
      <c r="X207" s="300">
        <f t="shared" si="36"/>
        <v>0</v>
      </c>
      <c r="Y207" s="300">
        <f t="shared" si="37"/>
        <v>0</v>
      </c>
      <c r="Z207"/>
      <c r="AA207"/>
      <c r="AB207"/>
    </row>
    <row r="208" spans="1:28" x14ac:dyDescent="0.35">
      <c r="A208" s="299"/>
      <c r="B208" s="515">
        <v>8.9015286512917591</v>
      </c>
      <c r="C208" s="515">
        <v>-1.2885579105559799</v>
      </c>
      <c r="D208" s="515">
        <v>3.33099786912963</v>
      </c>
      <c r="E208" s="515">
        <v>1.04746057E-7</v>
      </c>
      <c r="F208" s="515">
        <v>5.2899966564627997E-2</v>
      </c>
      <c r="G208" s="299"/>
      <c r="H208" s="300">
        <f t="shared" si="29"/>
        <v>0</v>
      </c>
      <c r="I208" s="299"/>
      <c r="J208" s="1"/>
      <c r="K208" s="299"/>
      <c r="L208" s="1"/>
      <c r="M208" s="299"/>
      <c r="N208" s="299"/>
      <c r="O208" s="299"/>
      <c r="P208" s="299"/>
      <c r="Q208" s="298"/>
      <c r="R208" s="300">
        <f t="shared" si="30"/>
        <v>0</v>
      </c>
      <c r="S208" s="300">
        <f t="shared" si="31"/>
        <v>0</v>
      </c>
      <c r="T208" s="300">
        <f t="shared" si="32"/>
        <v>0</v>
      </c>
      <c r="U208" s="300">
        <f t="shared" si="33"/>
        <v>0</v>
      </c>
      <c r="V208" s="300">
        <f t="shared" si="34"/>
        <v>0</v>
      </c>
      <c r="W208" s="300">
        <f t="shared" si="35"/>
        <v>0</v>
      </c>
      <c r="X208" s="300">
        <f t="shared" si="36"/>
        <v>0</v>
      </c>
      <c r="Y208" s="300">
        <f t="shared" si="37"/>
        <v>0</v>
      </c>
      <c r="Z208"/>
      <c r="AA208"/>
      <c r="AB208"/>
    </row>
    <row r="209" spans="1:28" x14ac:dyDescent="0.35">
      <c r="A209" s="299"/>
      <c r="B209" s="515">
        <v>0.42722115748904799</v>
      </c>
      <c r="C209" s="515">
        <v>-0.45914822309541298</v>
      </c>
      <c r="D209" s="515">
        <v>0.38972073913628902</v>
      </c>
      <c r="E209" s="515">
        <v>5.8925503919820002E-2</v>
      </c>
      <c r="F209" s="515">
        <v>6.4639321491264001E-2</v>
      </c>
      <c r="G209" s="299"/>
      <c r="H209" s="300">
        <f t="shared" si="29"/>
        <v>0</v>
      </c>
      <c r="I209" s="299"/>
      <c r="J209" s="1"/>
      <c r="K209" s="299"/>
      <c r="L209" s="1"/>
      <c r="M209" s="299"/>
      <c r="N209" s="299"/>
      <c r="O209" s="299"/>
      <c r="P209" s="299"/>
      <c r="Q209" s="298"/>
      <c r="R209" s="300">
        <f t="shared" si="30"/>
        <v>0</v>
      </c>
      <c r="S209" s="300">
        <f t="shared" si="31"/>
        <v>0</v>
      </c>
      <c r="T209" s="300">
        <f t="shared" si="32"/>
        <v>0</v>
      </c>
      <c r="U209" s="300">
        <f t="shared" si="33"/>
        <v>0</v>
      </c>
      <c r="V209" s="300">
        <f t="shared" si="34"/>
        <v>0</v>
      </c>
      <c r="W209" s="300">
        <f t="shared" si="35"/>
        <v>0</v>
      </c>
      <c r="X209" s="300">
        <f t="shared" si="36"/>
        <v>0</v>
      </c>
      <c r="Y209" s="300">
        <f t="shared" si="37"/>
        <v>0</v>
      </c>
      <c r="Z209"/>
      <c r="AA209"/>
      <c r="AB209"/>
    </row>
    <row r="210" spans="1:28" x14ac:dyDescent="0.35">
      <c r="A210" s="299"/>
      <c r="B210" s="515">
        <v>6.0945318990881487</v>
      </c>
      <c r="C210" s="515">
        <v>7.4137770085409005E-2</v>
      </c>
      <c r="D210" s="515">
        <v>1.152721081511314</v>
      </c>
      <c r="E210" s="515">
        <v>0.14059192228877801</v>
      </c>
      <c r="F210" s="515">
        <v>5.4521201265043999E-2</v>
      </c>
      <c r="G210" s="299"/>
      <c r="H210" s="300">
        <f t="shared" si="29"/>
        <v>0</v>
      </c>
      <c r="I210" s="299"/>
      <c r="J210" s="1"/>
      <c r="K210" s="299"/>
      <c r="L210" s="1"/>
      <c r="M210" s="299"/>
      <c r="N210" s="299"/>
      <c r="O210" s="299"/>
      <c r="P210" s="299"/>
      <c r="Q210" s="298"/>
      <c r="R210" s="300">
        <f t="shared" si="30"/>
        <v>0</v>
      </c>
      <c r="S210" s="300">
        <f t="shared" si="31"/>
        <v>0</v>
      </c>
      <c r="T210" s="300">
        <f t="shared" si="32"/>
        <v>0</v>
      </c>
      <c r="U210" s="300">
        <f t="shared" si="33"/>
        <v>0</v>
      </c>
      <c r="V210" s="300">
        <f t="shared" si="34"/>
        <v>0</v>
      </c>
      <c r="W210" s="300">
        <f t="shared" si="35"/>
        <v>0</v>
      </c>
      <c r="X210" s="300">
        <f t="shared" si="36"/>
        <v>0</v>
      </c>
      <c r="Y210" s="300">
        <f t="shared" si="37"/>
        <v>0</v>
      </c>
      <c r="Z210"/>
      <c r="AA210"/>
      <c r="AB210"/>
    </row>
    <row r="211" spans="1:28" x14ac:dyDescent="0.35">
      <c r="A211" s="299"/>
      <c r="B211" s="515">
        <v>14.22157747067765</v>
      </c>
      <c r="C211" s="515">
        <v>-0.43987222144874699</v>
      </c>
      <c r="D211" s="515">
        <v>1.552820089756678</v>
      </c>
      <c r="E211" s="515">
        <v>0.169691003818075</v>
      </c>
      <c r="F211" s="515">
        <v>7.6055318025047003E-2</v>
      </c>
      <c r="G211" s="299"/>
      <c r="H211" s="300">
        <f t="shared" si="29"/>
        <v>0</v>
      </c>
      <c r="I211" s="299"/>
      <c r="J211" s="1"/>
      <c r="K211" s="299"/>
      <c r="L211" s="1"/>
      <c r="M211" s="299"/>
      <c r="N211" s="299"/>
      <c r="O211" s="299"/>
      <c r="P211" s="299"/>
      <c r="Q211" s="298"/>
      <c r="R211" s="300">
        <f t="shared" si="30"/>
        <v>0</v>
      </c>
      <c r="S211" s="300">
        <f t="shared" si="31"/>
        <v>0</v>
      </c>
      <c r="T211" s="300">
        <f t="shared" si="32"/>
        <v>0</v>
      </c>
      <c r="U211" s="300">
        <f t="shared" si="33"/>
        <v>0</v>
      </c>
      <c r="V211" s="300">
        <f t="shared" si="34"/>
        <v>0</v>
      </c>
      <c r="W211" s="300">
        <f t="shared" si="35"/>
        <v>0</v>
      </c>
      <c r="X211" s="300">
        <f t="shared" si="36"/>
        <v>0</v>
      </c>
      <c r="Y211" s="300">
        <f t="shared" si="37"/>
        <v>0</v>
      </c>
      <c r="Z211"/>
      <c r="AA211"/>
      <c r="AB211"/>
    </row>
    <row r="212" spans="1:28" x14ac:dyDescent="0.35">
      <c r="A212" s="299"/>
      <c r="B212" s="515">
        <v>9.1174181617041263</v>
      </c>
      <c r="C212" s="515">
        <v>-0.84701159396255399</v>
      </c>
      <c r="D212" s="515">
        <v>2.7674945951744458</v>
      </c>
      <c r="E212" s="515">
        <v>2.9300301255400001E-4</v>
      </c>
      <c r="F212" s="515">
        <v>5.9243534038352003E-2</v>
      </c>
      <c r="G212" s="299"/>
      <c r="H212" s="300">
        <f t="shared" si="29"/>
        <v>0</v>
      </c>
      <c r="I212" s="299"/>
      <c r="J212" s="1"/>
      <c r="K212" s="299"/>
      <c r="L212" s="1"/>
      <c r="M212" s="299"/>
      <c r="N212" s="299"/>
      <c r="O212" s="299"/>
      <c r="P212" s="299"/>
      <c r="Q212" s="298"/>
      <c r="R212" s="300">
        <f t="shared" si="30"/>
        <v>0</v>
      </c>
      <c r="S212" s="300">
        <f t="shared" si="31"/>
        <v>0</v>
      </c>
      <c r="T212" s="300">
        <f t="shared" si="32"/>
        <v>0</v>
      </c>
      <c r="U212" s="300">
        <f t="shared" si="33"/>
        <v>0</v>
      </c>
      <c r="V212" s="300">
        <f t="shared" si="34"/>
        <v>0</v>
      </c>
      <c r="W212" s="300">
        <f t="shared" si="35"/>
        <v>0</v>
      </c>
      <c r="X212" s="300">
        <f t="shared" si="36"/>
        <v>0</v>
      </c>
      <c r="Y212" s="300">
        <f t="shared" si="37"/>
        <v>0</v>
      </c>
      <c r="Z212"/>
      <c r="AA212"/>
      <c r="AB212"/>
    </row>
    <row r="213" spans="1:28" x14ac:dyDescent="0.35">
      <c r="A213" s="299"/>
      <c r="B213" s="515">
        <v>2.18038156124E-4</v>
      </c>
      <c r="C213" s="515">
        <v>2.7911170478319001E-2</v>
      </c>
      <c r="D213" s="515">
        <v>1.9818675223643121</v>
      </c>
      <c r="E213" s="515">
        <v>0.224414611264661</v>
      </c>
      <c r="F213" s="515">
        <v>5.1625232145909999E-3</v>
      </c>
      <c r="G213" s="299"/>
      <c r="H213" s="300">
        <f t="shared" si="29"/>
        <v>0</v>
      </c>
      <c r="I213" s="299"/>
      <c r="J213" s="1"/>
      <c r="K213" s="299"/>
      <c r="L213" s="1"/>
      <c r="M213" s="299"/>
      <c r="N213" s="299"/>
      <c r="O213" s="299"/>
      <c r="P213" s="299"/>
      <c r="Q213" s="298"/>
      <c r="R213" s="300">
        <f t="shared" si="30"/>
        <v>0</v>
      </c>
      <c r="S213" s="300">
        <f t="shared" si="31"/>
        <v>0</v>
      </c>
      <c r="T213" s="300">
        <f t="shared" si="32"/>
        <v>0</v>
      </c>
      <c r="U213" s="300">
        <f t="shared" si="33"/>
        <v>0</v>
      </c>
      <c r="V213" s="300">
        <f t="shared" si="34"/>
        <v>0</v>
      </c>
      <c r="W213" s="300">
        <f t="shared" si="35"/>
        <v>0</v>
      </c>
      <c r="X213" s="300">
        <f t="shared" si="36"/>
        <v>0</v>
      </c>
      <c r="Y213" s="300">
        <f t="shared" si="37"/>
        <v>0</v>
      </c>
      <c r="Z213"/>
      <c r="AA213"/>
      <c r="AB213"/>
    </row>
    <row r="214" spans="1:28" x14ac:dyDescent="0.35">
      <c r="A214" s="299"/>
      <c r="B214" s="515">
        <v>1.6167212238509761</v>
      </c>
      <c r="C214" s="515">
        <v>-7.0928966624989997E-3</v>
      </c>
      <c r="D214" s="515">
        <v>1.536465681667307</v>
      </c>
      <c r="E214" s="515">
        <v>0.18576720731639401</v>
      </c>
      <c r="F214" s="515">
        <v>2.6487198862781999E-2</v>
      </c>
      <c r="G214" s="299"/>
      <c r="H214" s="300">
        <f t="shared" si="29"/>
        <v>0</v>
      </c>
      <c r="I214" s="299"/>
      <c r="J214" s="1"/>
      <c r="K214" s="299"/>
      <c r="L214" s="1"/>
      <c r="M214" s="299"/>
      <c r="N214" s="299"/>
      <c r="O214" s="299"/>
      <c r="P214" s="299"/>
      <c r="Q214" s="298"/>
      <c r="R214" s="300">
        <f t="shared" si="30"/>
        <v>0</v>
      </c>
      <c r="S214" s="300">
        <f t="shared" si="31"/>
        <v>0</v>
      </c>
      <c r="T214" s="300">
        <f t="shared" si="32"/>
        <v>0</v>
      </c>
      <c r="U214" s="300">
        <f t="shared" si="33"/>
        <v>0</v>
      </c>
      <c r="V214" s="300">
        <f t="shared" si="34"/>
        <v>0</v>
      </c>
      <c r="W214" s="300">
        <f t="shared" si="35"/>
        <v>0</v>
      </c>
      <c r="X214" s="300">
        <f t="shared" si="36"/>
        <v>0</v>
      </c>
      <c r="Y214" s="300">
        <f t="shared" si="37"/>
        <v>0</v>
      </c>
      <c r="Z214"/>
      <c r="AA214"/>
      <c r="AB214"/>
    </row>
    <row r="215" spans="1:28" x14ac:dyDescent="0.35">
      <c r="A215" s="299"/>
      <c r="B215" s="515">
        <v>14.89378494568324</v>
      </c>
      <c r="C215" s="515">
        <v>-1.520714385268596</v>
      </c>
      <c r="D215" s="515">
        <v>1.7920851541203431</v>
      </c>
      <c r="E215" s="515">
        <v>0.27099993366563802</v>
      </c>
      <c r="F215" s="515">
        <v>7.3266036853223998E-2</v>
      </c>
      <c r="G215" s="299"/>
      <c r="H215" s="300">
        <f t="shared" si="29"/>
        <v>0</v>
      </c>
      <c r="I215" s="299"/>
      <c r="J215" s="1"/>
      <c r="K215" s="299"/>
      <c r="L215" s="1"/>
      <c r="M215" s="299"/>
      <c r="N215" s="299"/>
      <c r="O215" s="299"/>
      <c r="P215" s="299"/>
      <c r="Q215" s="298"/>
      <c r="R215" s="300">
        <f t="shared" si="30"/>
        <v>0</v>
      </c>
      <c r="S215" s="300">
        <f t="shared" si="31"/>
        <v>0</v>
      </c>
      <c r="T215" s="300">
        <f t="shared" si="32"/>
        <v>0</v>
      </c>
      <c r="U215" s="300">
        <f t="shared" si="33"/>
        <v>0</v>
      </c>
      <c r="V215" s="300">
        <f t="shared" si="34"/>
        <v>0</v>
      </c>
      <c r="W215" s="300">
        <f t="shared" si="35"/>
        <v>0</v>
      </c>
      <c r="X215" s="300">
        <f t="shared" si="36"/>
        <v>0</v>
      </c>
      <c r="Y215" s="300">
        <f t="shared" si="37"/>
        <v>0</v>
      </c>
      <c r="Z215"/>
      <c r="AA215"/>
      <c r="AB215"/>
    </row>
    <row r="216" spans="1:28" x14ac:dyDescent="0.35">
      <c r="A216" s="299"/>
      <c r="B216" s="515">
        <v>1.7584254436999999E-5</v>
      </c>
      <c r="C216" s="515">
        <v>4.1231555633822997E-2</v>
      </c>
      <c r="D216" s="515">
        <v>7.0208114109460004E-3</v>
      </c>
      <c r="E216" s="515">
        <v>0.105451959295267</v>
      </c>
      <c r="F216" s="515">
        <v>5.4873320186333001E-2</v>
      </c>
      <c r="G216" s="299"/>
      <c r="H216" s="300">
        <f t="shared" si="29"/>
        <v>0</v>
      </c>
      <c r="I216" s="299"/>
      <c r="J216" s="1"/>
      <c r="K216" s="299"/>
      <c r="L216" s="1"/>
      <c r="M216" s="299"/>
      <c r="N216" s="299"/>
      <c r="O216" s="299"/>
      <c r="P216" s="299"/>
      <c r="Q216" s="298"/>
      <c r="R216" s="300">
        <f t="shared" si="30"/>
        <v>0</v>
      </c>
      <c r="S216" s="300">
        <f t="shared" si="31"/>
        <v>0</v>
      </c>
      <c r="T216" s="300">
        <f t="shared" si="32"/>
        <v>0</v>
      </c>
      <c r="U216" s="300">
        <f t="shared" si="33"/>
        <v>0</v>
      </c>
      <c r="V216" s="300">
        <f t="shared" si="34"/>
        <v>0</v>
      </c>
      <c r="W216" s="300">
        <f t="shared" si="35"/>
        <v>0</v>
      </c>
      <c r="X216" s="300">
        <f t="shared" si="36"/>
        <v>0</v>
      </c>
      <c r="Y216" s="300">
        <f t="shared" si="37"/>
        <v>0</v>
      </c>
      <c r="Z216"/>
      <c r="AA216"/>
      <c r="AB216"/>
    </row>
    <row r="217" spans="1:28" x14ac:dyDescent="0.35">
      <c r="A217" s="299"/>
      <c r="B217" s="515">
        <v>14.36814466758468</v>
      </c>
      <c r="C217" s="515">
        <v>-0.92003539458642303</v>
      </c>
      <c r="D217" s="515">
        <v>1.6731981924262329</v>
      </c>
      <c r="E217" s="515">
        <v>0.21946346204745501</v>
      </c>
      <c r="F217" s="515">
        <v>7.4858407112653E-2</v>
      </c>
      <c r="G217" s="299"/>
      <c r="H217" s="300">
        <f t="shared" si="29"/>
        <v>0</v>
      </c>
      <c r="I217" s="299"/>
      <c r="J217" s="1"/>
      <c r="K217" s="299"/>
      <c r="L217" s="1"/>
      <c r="M217" s="299"/>
      <c r="N217" s="299"/>
      <c r="O217" s="299"/>
      <c r="P217" s="299"/>
      <c r="Q217" s="298"/>
      <c r="R217" s="300">
        <f t="shared" si="30"/>
        <v>0</v>
      </c>
      <c r="S217" s="300">
        <f t="shared" si="31"/>
        <v>0</v>
      </c>
      <c r="T217" s="300">
        <f t="shared" si="32"/>
        <v>0</v>
      </c>
      <c r="U217" s="300">
        <f t="shared" si="33"/>
        <v>0</v>
      </c>
      <c r="V217" s="300">
        <f t="shared" si="34"/>
        <v>0</v>
      </c>
      <c r="W217" s="300">
        <f t="shared" si="35"/>
        <v>0</v>
      </c>
      <c r="X217" s="300">
        <f t="shared" si="36"/>
        <v>0</v>
      </c>
      <c r="Y217" s="300">
        <f t="shared" si="37"/>
        <v>0</v>
      </c>
      <c r="Z217"/>
      <c r="AA217"/>
      <c r="AB217"/>
    </row>
    <row r="218" spans="1:28" x14ac:dyDescent="0.35">
      <c r="A218" s="299"/>
      <c r="B218" s="515">
        <v>9.1155699628355826</v>
      </c>
      <c r="C218" s="515">
        <v>-0.155673958241521</v>
      </c>
      <c r="D218" s="515">
        <v>1.5820173386191789</v>
      </c>
      <c r="E218" s="515">
        <v>0.18369683852923799</v>
      </c>
      <c r="F218" s="515">
        <v>5.5996175383775E-2</v>
      </c>
      <c r="G218" s="299"/>
      <c r="H218" s="300">
        <f t="shared" si="29"/>
        <v>0</v>
      </c>
      <c r="I218" s="299"/>
      <c r="J218" s="1"/>
      <c r="K218" s="299"/>
      <c r="L218" s="1"/>
      <c r="M218" s="299"/>
      <c r="N218" s="299"/>
      <c r="O218" s="299"/>
      <c r="P218" s="299"/>
      <c r="Q218" s="298"/>
      <c r="R218" s="300">
        <f t="shared" si="30"/>
        <v>0</v>
      </c>
      <c r="S218" s="300">
        <f t="shared" si="31"/>
        <v>0</v>
      </c>
      <c r="T218" s="300">
        <f t="shared" si="32"/>
        <v>0</v>
      </c>
      <c r="U218" s="300">
        <f t="shared" si="33"/>
        <v>0</v>
      </c>
      <c r="V218" s="300">
        <f t="shared" si="34"/>
        <v>0</v>
      </c>
      <c r="W218" s="300">
        <f t="shared" si="35"/>
        <v>0</v>
      </c>
      <c r="X218" s="300">
        <f t="shared" si="36"/>
        <v>0</v>
      </c>
      <c r="Y218" s="300">
        <f t="shared" si="37"/>
        <v>0</v>
      </c>
      <c r="Z218"/>
      <c r="AA218"/>
      <c r="AB218"/>
    </row>
    <row r="219" spans="1:28" x14ac:dyDescent="0.35">
      <c r="A219" s="299"/>
      <c r="B219" s="515">
        <v>16.102159557677961</v>
      </c>
      <c r="C219" s="515">
        <v>-1.161298826264366</v>
      </c>
      <c r="D219" s="515">
        <v>3.2373747330715039</v>
      </c>
      <c r="E219" s="515">
        <v>6.6118897650900002E-4</v>
      </c>
      <c r="F219" s="515">
        <v>6.6475672287251E-2</v>
      </c>
      <c r="G219" s="299"/>
      <c r="H219" s="300">
        <f t="shared" si="29"/>
        <v>0</v>
      </c>
      <c r="I219" s="299"/>
      <c r="J219" s="1"/>
      <c r="K219" s="299"/>
      <c r="L219" s="1"/>
      <c r="M219" s="299"/>
      <c r="N219" s="299"/>
      <c r="O219" s="299"/>
      <c r="P219" s="299"/>
      <c r="Q219" s="298"/>
      <c r="R219" s="300">
        <f t="shared" si="30"/>
        <v>0</v>
      </c>
      <c r="S219" s="300">
        <f t="shared" si="31"/>
        <v>0</v>
      </c>
      <c r="T219" s="300">
        <f t="shared" si="32"/>
        <v>0</v>
      </c>
      <c r="U219" s="300">
        <f t="shared" si="33"/>
        <v>0</v>
      </c>
      <c r="V219" s="300">
        <f t="shared" si="34"/>
        <v>0</v>
      </c>
      <c r="W219" s="300">
        <f t="shared" si="35"/>
        <v>0</v>
      </c>
      <c r="X219" s="300">
        <f t="shared" si="36"/>
        <v>0</v>
      </c>
      <c r="Y219" s="300">
        <f t="shared" si="37"/>
        <v>0</v>
      </c>
      <c r="Z219"/>
      <c r="AA219"/>
      <c r="AB219"/>
    </row>
    <row r="220" spans="1:28" x14ac:dyDescent="0.35">
      <c r="A220" s="299"/>
      <c r="B220" s="515">
        <v>10.85436221305102</v>
      </c>
      <c r="C220" s="515">
        <v>0.167999045654568</v>
      </c>
      <c r="D220" s="515">
        <v>1.345387729326472</v>
      </c>
      <c r="E220" s="515">
        <v>5.3318162203000001E-5</v>
      </c>
      <c r="F220" s="515">
        <v>7.6098024866462E-2</v>
      </c>
      <c r="G220" s="299"/>
      <c r="H220" s="300">
        <f t="shared" si="29"/>
        <v>0</v>
      </c>
      <c r="I220" s="299"/>
      <c r="J220" s="1"/>
      <c r="K220" s="299"/>
      <c r="L220" s="1"/>
      <c r="M220" s="299"/>
      <c r="N220" s="299"/>
      <c r="O220" s="299"/>
      <c r="P220" s="299"/>
      <c r="Q220" s="298"/>
      <c r="R220" s="300">
        <f t="shared" si="30"/>
        <v>0</v>
      </c>
      <c r="S220" s="300">
        <f t="shared" si="31"/>
        <v>0</v>
      </c>
      <c r="T220" s="300">
        <f t="shared" si="32"/>
        <v>0</v>
      </c>
      <c r="U220" s="300">
        <f t="shared" si="33"/>
        <v>0</v>
      </c>
      <c r="V220" s="300">
        <f t="shared" si="34"/>
        <v>0</v>
      </c>
      <c r="W220" s="300">
        <f t="shared" si="35"/>
        <v>0</v>
      </c>
      <c r="X220" s="300">
        <f t="shared" si="36"/>
        <v>0</v>
      </c>
      <c r="Y220" s="300">
        <f t="shared" si="37"/>
        <v>0</v>
      </c>
      <c r="Z220"/>
      <c r="AA220"/>
      <c r="AB220"/>
    </row>
    <row r="221" spans="1:28" x14ac:dyDescent="0.35">
      <c r="A221" s="299"/>
      <c r="B221" s="515">
        <v>2.1102962501099999E-4</v>
      </c>
      <c r="C221" s="515">
        <v>2.8313114335778999E-2</v>
      </c>
      <c r="D221" s="515">
        <v>1.977971756566659</v>
      </c>
      <c r="E221" s="515">
        <v>0.22398050630149599</v>
      </c>
      <c r="F221" s="515">
        <v>5.2824888079419999E-3</v>
      </c>
      <c r="G221" s="299"/>
      <c r="H221" s="300">
        <f t="shared" si="29"/>
        <v>0</v>
      </c>
      <c r="I221" s="299"/>
      <c r="J221" s="1"/>
      <c r="K221" s="299"/>
      <c r="L221" s="1"/>
      <c r="M221" s="299"/>
      <c r="N221" s="299"/>
      <c r="O221" s="299"/>
      <c r="P221" s="299"/>
      <c r="Q221" s="298"/>
      <c r="R221" s="300">
        <f t="shared" si="30"/>
        <v>0</v>
      </c>
      <c r="S221" s="300">
        <f t="shared" si="31"/>
        <v>0</v>
      </c>
      <c r="T221" s="300">
        <f t="shared" si="32"/>
        <v>0</v>
      </c>
      <c r="U221" s="300">
        <f t="shared" si="33"/>
        <v>0</v>
      </c>
      <c r="V221" s="300">
        <f t="shared" si="34"/>
        <v>0</v>
      </c>
      <c r="W221" s="300">
        <f t="shared" si="35"/>
        <v>0</v>
      </c>
      <c r="X221" s="300">
        <f t="shared" si="36"/>
        <v>0</v>
      </c>
      <c r="Y221" s="300">
        <f t="shared" si="37"/>
        <v>0</v>
      </c>
      <c r="Z221"/>
      <c r="AA221"/>
      <c r="AB221"/>
    </row>
    <row r="222" spans="1:28" x14ac:dyDescent="0.35">
      <c r="A222" s="299"/>
      <c r="B222" s="515">
        <v>5.1715266793900001E-3</v>
      </c>
      <c r="C222" s="515">
        <v>5.3844968610231997E-2</v>
      </c>
      <c r="D222" s="515">
        <v>2.3238344812807E-2</v>
      </c>
      <c r="E222" s="515">
        <v>9.7920779228980001E-2</v>
      </c>
      <c r="F222" s="515">
        <v>5.5576353579182003E-2</v>
      </c>
      <c r="G222" s="299"/>
      <c r="H222" s="300">
        <f t="shared" si="29"/>
        <v>0</v>
      </c>
      <c r="I222" s="299"/>
      <c r="J222" s="1"/>
      <c r="K222" s="299"/>
      <c r="L222" s="1"/>
      <c r="M222" s="299"/>
      <c r="N222" s="299"/>
      <c r="O222" s="299"/>
      <c r="P222" s="299"/>
      <c r="Q222" s="298"/>
      <c r="R222" s="300">
        <f t="shared" si="30"/>
        <v>0</v>
      </c>
      <c r="S222" s="300">
        <f t="shared" si="31"/>
        <v>0</v>
      </c>
      <c r="T222" s="300">
        <f t="shared" si="32"/>
        <v>0</v>
      </c>
      <c r="U222" s="300">
        <f t="shared" si="33"/>
        <v>0</v>
      </c>
      <c r="V222" s="300">
        <f t="shared" si="34"/>
        <v>0</v>
      </c>
      <c r="W222" s="300">
        <f t="shared" si="35"/>
        <v>0</v>
      </c>
      <c r="X222" s="300">
        <f t="shared" si="36"/>
        <v>0</v>
      </c>
      <c r="Y222" s="300">
        <f t="shared" si="37"/>
        <v>0</v>
      </c>
      <c r="Z222"/>
      <c r="AA222"/>
      <c r="AB222"/>
    </row>
    <row r="223" spans="1:28" x14ac:dyDescent="0.35">
      <c r="A223" s="299"/>
      <c r="B223" s="515">
        <v>4.6561758593144001E-2</v>
      </c>
      <c r="C223" s="515">
        <v>5.3907175128245999E-2</v>
      </c>
      <c r="D223" s="515">
        <v>1.5459201950742909</v>
      </c>
      <c r="E223" s="515">
        <v>0.24233543557328599</v>
      </c>
      <c r="F223" s="515">
        <v>2.020742936478E-3</v>
      </c>
      <c r="G223" s="299"/>
      <c r="H223" s="300">
        <f t="shared" si="29"/>
        <v>0</v>
      </c>
      <c r="I223" s="299"/>
      <c r="J223" s="1"/>
      <c r="K223" s="299"/>
      <c r="L223" s="1"/>
      <c r="M223" s="299"/>
      <c r="N223" s="299"/>
      <c r="O223" s="299"/>
      <c r="P223" s="299"/>
      <c r="Q223" s="298"/>
      <c r="R223" s="300">
        <f t="shared" si="30"/>
        <v>0</v>
      </c>
      <c r="S223" s="300">
        <f t="shared" si="31"/>
        <v>0</v>
      </c>
      <c r="T223" s="300">
        <f t="shared" si="32"/>
        <v>0</v>
      </c>
      <c r="U223" s="300">
        <f t="shared" si="33"/>
        <v>0</v>
      </c>
      <c r="V223" s="300">
        <f t="shared" si="34"/>
        <v>0</v>
      </c>
      <c r="W223" s="300">
        <f t="shared" si="35"/>
        <v>0</v>
      </c>
      <c r="X223" s="300">
        <f t="shared" si="36"/>
        <v>0</v>
      </c>
      <c r="Y223" s="300">
        <f t="shared" si="37"/>
        <v>0</v>
      </c>
      <c r="Z223"/>
      <c r="AA223"/>
      <c r="AB223"/>
    </row>
    <row r="224" spans="1:28" x14ac:dyDescent="0.35">
      <c r="A224" s="299"/>
      <c r="B224" s="515">
        <v>5.809472832514E-3</v>
      </c>
      <c r="C224" s="515">
        <v>-1.9275158578476981</v>
      </c>
      <c r="D224" s="515">
        <v>0.85179500645308004</v>
      </c>
      <c r="E224" s="515">
        <v>2.2511239221852001E-2</v>
      </c>
      <c r="F224" s="515">
        <v>6.4502618517303004E-2</v>
      </c>
      <c r="G224" s="299"/>
      <c r="H224" s="300">
        <f t="shared" si="29"/>
        <v>0</v>
      </c>
      <c r="I224" s="299"/>
      <c r="J224" s="1"/>
      <c r="K224" s="299"/>
      <c r="L224" s="1"/>
      <c r="M224" s="299"/>
      <c r="N224" s="299"/>
      <c r="O224" s="299"/>
      <c r="P224" s="299"/>
      <c r="Q224" s="298"/>
      <c r="R224" s="300">
        <f t="shared" si="30"/>
        <v>0</v>
      </c>
      <c r="S224" s="300">
        <f t="shared" si="31"/>
        <v>0</v>
      </c>
      <c r="T224" s="300">
        <f t="shared" si="32"/>
        <v>0</v>
      </c>
      <c r="U224" s="300">
        <f t="shared" si="33"/>
        <v>0</v>
      </c>
      <c r="V224" s="300">
        <f t="shared" si="34"/>
        <v>0</v>
      </c>
      <c r="W224" s="300">
        <f t="shared" si="35"/>
        <v>0</v>
      </c>
      <c r="X224" s="300">
        <f t="shared" si="36"/>
        <v>0</v>
      </c>
      <c r="Y224" s="300">
        <f t="shared" si="37"/>
        <v>0</v>
      </c>
      <c r="Z224"/>
      <c r="AA224"/>
      <c r="AB224"/>
    </row>
    <row r="225" spans="1:28" x14ac:dyDescent="0.35">
      <c r="A225" s="299"/>
      <c r="B225" s="515">
        <v>0.80087939854477197</v>
      </c>
      <c r="C225" s="515">
        <v>6.7833317321548001E-2</v>
      </c>
      <c r="D225" s="515">
        <v>1.9169128799157911</v>
      </c>
      <c r="E225" s="515">
        <v>0.230422370896322</v>
      </c>
      <c r="F225" s="515">
        <v>5.8681193075829996E-3</v>
      </c>
      <c r="G225" s="299"/>
      <c r="H225" s="300">
        <f t="shared" si="29"/>
        <v>0</v>
      </c>
      <c r="I225" s="299"/>
      <c r="J225" s="1"/>
      <c r="K225" s="299"/>
      <c r="L225" s="1"/>
      <c r="M225" s="299"/>
      <c r="N225" s="299"/>
      <c r="O225" s="299"/>
      <c r="P225" s="299"/>
      <c r="Q225" s="298"/>
      <c r="R225" s="300">
        <f t="shared" si="30"/>
        <v>0</v>
      </c>
      <c r="S225" s="300">
        <f t="shared" si="31"/>
        <v>0</v>
      </c>
      <c r="T225" s="300">
        <f t="shared" si="32"/>
        <v>0</v>
      </c>
      <c r="U225" s="300">
        <f t="shared" si="33"/>
        <v>0</v>
      </c>
      <c r="V225" s="300">
        <f t="shared" si="34"/>
        <v>0</v>
      </c>
      <c r="W225" s="300">
        <f t="shared" si="35"/>
        <v>0</v>
      </c>
      <c r="X225" s="300">
        <f t="shared" si="36"/>
        <v>0</v>
      </c>
      <c r="Y225" s="300">
        <f t="shared" si="37"/>
        <v>0</v>
      </c>
      <c r="Z225"/>
      <c r="AA225"/>
      <c r="AB225"/>
    </row>
    <row r="226" spans="1:28" x14ac:dyDescent="0.35">
      <c r="A226" s="299"/>
      <c r="B226" s="515">
        <v>9.4034310809999992E-6</v>
      </c>
      <c r="C226" s="515">
        <v>-3.2946498713935588</v>
      </c>
      <c r="D226" s="515">
        <v>2.7114256357536148</v>
      </c>
      <c r="E226" s="515">
        <v>7.6305254784942003E-2</v>
      </c>
      <c r="F226" s="515">
        <v>4.1498894510696001E-2</v>
      </c>
      <c r="G226" s="299"/>
      <c r="H226" s="300">
        <f t="shared" si="29"/>
        <v>0</v>
      </c>
      <c r="I226" s="299"/>
      <c r="J226" s="1"/>
      <c r="K226" s="299"/>
      <c r="L226" s="1"/>
      <c r="M226" s="299"/>
      <c r="N226" s="299"/>
      <c r="O226" s="299"/>
      <c r="P226" s="299"/>
      <c r="Q226" s="298"/>
      <c r="R226" s="300">
        <f t="shared" si="30"/>
        <v>0</v>
      </c>
      <c r="S226" s="300">
        <f t="shared" si="31"/>
        <v>0</v>
      </c>
      <c r="T226" s="300">
        <f t="shared" si="32"/>
        <v>0</v>
      </c>
      <c r="U226" s="300">
        <f t="shared" si="33"/>
        <v>0</v>
      </c>
      <c r="V226" s="300">
        <f t="shared" si="34"/>
        <v>0</v>
      </c>
      <c r="W226" s="300">
        <f t="shared" si="35"/>
        <v>0</v>
      </c>
      <c r="X226" s="300">
        <f t="shared" si="36"/>
        <v>0</v>
      </c>
      <c r="Y226" s="300">
        <f t="shared" si="37"/>
        <v>0</v>
      </c>
      <c r="Z226"/>
      <c r="AA226"/>
      <c r="AB226"/>
    </row>
    <row r="227" spans="1:28" x14ac:dyDescent="0.35">
      <c r="A227" s="299"/>
      <c r="B227" s="515">
        <v>4.4539388948450673</v>
      </c>
      <c r="C227" s="515">
        <v>9.5918603789415996E-2</v>
      </c>
      <c r="D227" s="515">
        <v>1.386845635131823</v>
      </c>
      <c r="E227" s="515">
        <v>2.3711695E-8</v>
      </c>
      <c r="F227" s="515">
        <v>6.2342526002567997E-2</v>
      </c>
      <c r="G227" s="299"/>
      <c r="H227" s="300">
        <f t="shared" si="29"/>
        <v>0</v>
      </c>
      <c r="I227" s="299"/>
      <c r="J227" s="1"/>
      <c r="K227" s="299"/>
      <c r="L227" s="1"/>
      <c r="M227" s="299"/>
      <c r="N227" s="299"/>
      <c r="O227" s="299"/>
      <c r="P227" s="299"/>
      <c r="Q227" s="298"/>
      <c r="R227" s="300">
        <f t="shared" si="30"/>
        <v>0</v>
      </c>
      <c r="S227" s="300">
        <f t="shared" si="31"/>
        <v>0</v>
      </c>
      <c r="T227" s="300">
        <f t="shared" si="32"/>
        <v>0</v>
      </c>
      <c r="U227" s="300">
        <f t="shared" si="33"/>
        <v>0</v>
      </c>
      <c r="V227" s="300">
        <f t="shared" si="34"/>
        <v>0</v>
      </c>
      <c r="W227" s="300">
        <f t="shared" si="35"/>
        <v>0</v>
      </c>
      <c r="X227" s="300">
        <f t="shared" si="36"/>
        <v>0</v>
      </c>
      <c r="Y227" s="300">
        <f t="shared" si="37"/>
        <v>0</v>
      </c>
      <c r="Z227"/>
      <c r="AA227"/>
      <c r="AB227"/>
    </row>
    <row r="228" spans="1:28" x14ac:dyDescent="0.35">
      <c r="A228" s="299"/>
      <c r="B228" s="515">
        <v>11.1841166822019</v>
      </c>
      <c r="C228" s="515">
        <v>-0.61165641779728797</v>
      </c>
      <c r="D228" s="515">
        <v>1.556042364083702</v>
      </c>
      <c r="E228" s="515">
        <v>0.18514392540271399</v>
      </c>
      <c r="F228" s="515">
        <v>6.9381816713769001E-2</v>
      </c>
      <c r="G228" s="299"/>
      <c r="H228" s="300">
        <f t="shared" si="29"/>
        <v>0</v>
      </c>
      <c r="I228" s="299"/>
      <c r="J228" s="1"/>
      <c r="K228" s="299"/>
      <c r="L228" s="1"/>
      <c r="M228" s="299"/>
      <c r="N228" s="299"/>
      <c r="O228" s="299"/>
      <c r="P228" s="299"/>
      <c r="Q228" s="298"/>
      <c r="R228" s="300">
        <f t="shared" si="30"/>
        <v>0</v>
      </c>
      <c r="S228" s="300">
        <f t="shared" si="31"/>
        <v>0</v>
      </c>
      <c r="T228" s="300">
        <f t="shared" si="32"/>
        <v>0</v>
      </c>
      <c r="U228" s="300">
        <f t="shared" si="33"/>
        <v>0</v>
      </c>
      <c r="V228" s="300">
        <f t="shared" si="34"/>
        <v>0</v>
      </c>
      <c r="W228" s="300">
        <f t="shared" si="35"/>
        <v>0</v>
      </c>
      <c r="X228" s="300">
        <f t="shared" si="36"/>
        <v>0</v>
      </c>
      <c r="Y228" s="300">
        <f t="shared" si="37"/>
        <v>0</v>
      </c>
      <c r="Z228"/>
      <c r="AA228"/>
      <c r="AB228"/>
    </row>
    <row r="229" spans="1:28" x14ac:dyDescent="0.35">
      <c r="A229" s="299"/>
      <c r="B229" s="515">
        <v>4.6839513412032128</v>
      </c>
      <c r="C229" s="515">
        <v>-0.32246805969111197</v>
      </c>
      <c r="D229" s="515">
        <v>0.405226280617281</v>
      </c>
      <c r="E229" s="515">
        <v>2.9523917221200001E-4</v>
      </c>
      <c r="F229" s="515">
        <v>7.5179472361931995E-2</v>
      </c>
      <c r="G229" s="299"/>
      <c r="H229" s="300">
        <f t="shared" si="29"/>
        <v>0</v>
      </c>
      <c r="I229" s="299"/>
      <c r="J229" s="1"/>
      <c r="K229" s="299"/>
      <c r="L229" s="1"/>
      <c r="M229" s="299"/>
      <c r="N229" s="299"/>
      <c r="O229" s="299"/>
      <c r="P229" s="299"/>
      <c r="Q229" s="298"/>
      <c r="R229" s="300">
        <f t="shared" si="30"/>
        <v>0</v>
      </c>
      <c r="S229" s="300">
        <f t="shared" si="31"/>
        <v>0</v>
      </c>
      <c r="T229" s="300">
        <f t="shared" si="32"/>
        <v>0</v>
      </c>
      <c r="U229" s="300">
        <f t="shared" si="33"/>
        <v>0</v>
      </c>
      <c r="V229" s="300">
        <f t="shared" si="34"/>
        <v>0</v>
      </c>
      <c r="W229" s="300">
        <f t="shared" si="35"/>
        <v>0</v>
      </c>
      <c r="X229" s="300">
        <f t="shared" si="36"/>
        <v>0</v>
      </c>
      <c r="Y229" s="300">
        <f t="shared" si="37"/>
        <v>0</v>
      </c>
      <c r="Z229"/>
      <c r="AA229"/>
      <c r="AB229"/>
    </row>
    <row r="230" spans="1:28" x14ac:dyDescent="0.35">
      <c r="A230" s="299"/>
      <c r="B230" s="515">
        <v>2.9243835767982999E-2</v>
      </c>
      <c r="C230" s="515">
        <v>0.10449831682013599</v>
      </c>
      <c r="D230" s="515">
        <v>2.4672645083938778</v>
      </c>
      <c r="E230" s="515">
        <v>1.473752194326E-3</v>
      </c>
      <c r="F230" s="515">
        <v>2.0933974416458001E-2</v>
      </c>
      <c r="G230" s="299"/>
      <c r="H230" s="300">
        <f t="shared" si="29"/>
        <v>0</v>
      </c>
      <c r="I230" s="299"/>
      <c r="J230" s="1"/>
      <c r="K230" s="299"/>
      <c r="L230" s="1"/>
      <c r="M230" s="299"/>
      <c r="N230" s="299"/>
      <c r="O230" s="299"/>
      <c r="P230" s="299"/>
      <c r="Q230" s="298"/>
      <c r="R230" s="300">
        <f t="shared" si="30"/>
        <v>0</v>
      </c>
      <c r="S230" s="300">
        <f t="shared" si="31"/>
        <v>0</v>
      </c>
      <c r="T230" s="300">
        <f t="shared" si="32"/>
        <v>0</v>
      </c>
      <c r="U230" s="300">
        <f t="shared" si="33"/>
        <v>0</v>
      </c>
      <c r="V230" s="300">
        <f t="shared" si="34"/>
        <v>0</v>
      </c>
      <c r="W230" s="300">
        <f t="shared" si="35"/>
        <v>0</v>
      </c>
      <c r="X230" s="300">
        <f t="shared" si="36"/>
        <v>0</v>
      </c>
      <c r="Y230" s="300">
        <f t="shared" si="37"/>
        <v>0</v>
      </c>
      <c r="Z230"/>
      <c r="AA230"/>
      <c r="AB230"/>
    </row>
    <row r="231" spans="1:28" x14ac:dyDescent="0.35">
      <c r="A231" s="299"/>
      <c r="B231" s="515">
        <v>8.6624465907694237</v>
      </c>
      <c r="C231" s="515">
        <v>-0.18068114173181801</v>
      </c>
      <c r="D231" s="515">
        <v>1.584167011342176</v>
      </c>
      <c r="E231" s="515">
        <v>0.18095397281026401</v>
      </c>
      <c r="F231" s="515">
        <v>5.5596072214209001E-2</v>
      </c>
      <c r="G231" s="299"/>
      <c r="H231" s="300">
        <f t="shared" si="29"/>
        <v>0</v>
      </c>
      <c r="I231" s="299"/>
      <c r="J231" s="1"/>
      <c r="K231" s="299"/>
      <c r="L231" s="1"/>
      <c r="M231" s="299"/>
      <c r="N231" s="299"/>
      <c r="O231" s="299"/>
      <c r="P231" s="299"/>
      <c r="Q231" s="298"/>
      <c r="R231" s="300">
        <f t="shared" si="30"/>
        <v>0</v>
      </c>
      <c r="S231" s="300">
        <f t="shared" si="31"/>
        <v>0</v>
      </c>
      <c r="T231" s="300">
        <f t="shared" si="32"/>
        <v>0</v>
      </c>
      <c r="U231" s="300">
        <f t="shared" si="33"/>
        <v>0</v>
      </c>
      <c r="V231" s="300">
        <f t="shared" si="34"/>
        <v>0</v>
      </c>
      <c r="W231" s="300">
        <f t="shared" si="35"/>
        <v>0</v>
      </c>
      <c r="X231" s="300">
        <f t="shared" si="36"/>
        <v>0</v>
      </c>
      <c r="Y231" s="300">
        <f t="shared" si="37"/>
        <v>0</v>
      </c>
      <c r="Z231"/>
      <c r="AA231"/>
      <c r="AB231"/>
    </row>
    <row r="232" spans="1:28" x14ac:dyDescent="0.35">
      <c r="A232" s="299"/>
      <c r="B232" s="515">
        <v>1.627633453235221</v>
      </c>
      <c r="C232" s="515">
        <v>-6.2301021895700001E-4</v>
      </c>
      <c r="D232" s="515">
        <v>7.0120900572669996E-3</v>
      </c>
      <c r="E232" s="515">
        <v>7.0687653560427999E-2</v>
      </c>
      <c r="F232" s="515">
        <v>6.6667212030428996E-2</v>
      </c>
      <c r="G232" s="299"/>
      <c r="H232" s="300">
        <f t="shared" si="29"/>
        <v>0</v>
      </c>
      <c r="I232" s="299"/>
      <c r="J232" s="1"/>
      <c r="K232" s="299"/>
      <c r="L232" s="1"/>
      <c r="M232" s="299"/>
      <c r="N232" s="299"/>
      <c r="O232" s="299"/>
      <c r="P232" s="299"/>
      <c r="Q232" s="298"/>
      <c r="R232" s="300">
        <f t="shared" si="30"/>
        <v>0</v>
      </c>
      <c r="S232" s="300">
        <f t="shared" si="31"/>
        <v>0</v>
      </c>
      <c r="T232" s="300">
        <f t="shared" si="32"/>
        <v>0</v>
      </c>
      <c r="U232" s="300">
        <f t="shared" si="33"/>
        <v>0</v>
      </c>
      <c r="V232" s="300">
        <f t="shared" si="34"/>
        <v>0</v>
      </c>
      <c r="W232" s="300">
        <f t="shared" si="35"/>
        <v>0</v>
      </c>
      <c r="X232" s="300">
        <f t="shared" si="36"/>
        <v>0</v>
      </c>
      <c r="Y232" s="300">
        <f t="shared" si="37"/>
        <v>0</v>
      </c>
      <c r="Z232"/>
      <c r="AA232"/>
      <c r="AB232"/>
    </row>
    <row r="233" spans="1:28" x14ac:dyDescent="0.35">
      <c r="A233" s="299"/>
      <c r="B233" s="515">
        <v>4.9991860974468647</v>
      </c>
      <c r="C233" s="515">
        <v>0.107807606617951</v>
      </c>
      <c r="D233" s="515">
        <v>1.74494217158246</v>
      </c>
      <c r="E233" s="515">
        <v>0.161133319186783</v>
      </c>
      <c r="F233" s="515">
        <v>3.5998320637833002E-2</v>
      </c>
      <c r="G233" s="299"/>
      <c r="H233" s="300">
        <f t="shared" si="29"/>
        <v>0</v>
      </c>
      <c r="I233" s="299"/>
      <c r="J233" s="1"/>
      <c r="K233" s="299"/>
      <c r="L233" s="1"/>
      <c r="M233" s="299"/>
      <c r="N233" s="299"/>
      <c r="O233" s="299"/>
      <c r="P233" s="299"/>
      <c r="Q233" s="298"/>
      <c r="R233" s="300">
        <f t="shared" si="30"/>
        <v>0</v>
      </c>
      <c r="S233" s="300">
        <f t="shared" si="31"/>
        <v>0</v>
      </c>
      <c r="T233" s="300">
        <f t="shared" si="32"/>
        <v>0</v>
      </c>
      <c r="U233" s="300">
        <f t="shared" si="33"/>
        <v>0</v>
      </c>
      <c r="V233" s="300">
        <f t="shared" si="34"/>
        <v>0</v>
      </c>
      <c r="W233" s="300">
        <f t="shared" si="35"/>
        <v>0</v>
      </c>
      <c r="X233" s="300">
        <f t="shared" si="36"/>
        <v>0</v>
      </c>
      <c r="Y233" s="300">
        <f t="shared" si="37"/>
        <v>0</v>
      </c>
      <c r="Z233"/>
      <c r="AA233"/>
      <c r="AB233"/>
    </row>
    <row r="234" spans="1:28" x14ac:dyDescent="0.35">
      <c r="A234" s="299"/>
      <c r="B234" s="515">
        <v>0.141498750524197</v>
      </c>
      <c r="C234" s="515">
        <v>6.9495522817429004E-2</v>
      </c>
      <c r="D234" s="515">
        <v>7.007975040237E-3</v>
      </c>
      <c r="E234" s="515">
        <v>0.10233293015591401</v>
      </c>
      <c r="F234" s="515">
        <v>5.519134247574E-2</v>
      </c>
      <c r="G234" s="299"/>
      <c r="H234" s="300">
        <f t="shared" si="29"/>
        <v>0</v>
      </c>
      <c r="I234" s="299"/>
      <c r="J234" s="1"/>
      <c r="K234" s="299"/>
      <c r="L234" s="1"/>
      <c r="M234" s="299"/>
      <c r="N234" s="299"/>
      <c r="O234" s="299"/>
      <c r="P234" s="299"/>
      <c r="Q234" s="298"/>
      <c r="R234" s="300">
        <f t="shared" si="30"/>
        <v>0</v>
      </c>
      <c r="S234" s="300">
        <f t="shared" si="31"/>
        <v>0</v>
      </c>
      <c r="T234" s="300">
        <f t="shared" si="32"/>
        <v>0</v>
      </c>
      <c r="U234" s="300">
        <f t="shared" si="33"/>
        <v>0</v>
      </c>
      <c r="V234" s="300">
        <f t="shared" si="34"/>
        <v>0</v>
      </c>
      <c r="W234" s="300">
        <f t="shared" si="35"/>
        <v>0</v>
      </c>
      <c r="X234" s="300">
        <f t="shared" si="36"/>
        <v>0</v>
      </c>
      <c r="Y234" s="300">
        <f t="shared" si="37"/>
        <v>0</v>
      </c>
      <c r="Z234"/>
      <c r="AA234"/>
      <c r="AB234"/>
    </row>
    <row r="235" spans="1:28" x14ac:dyDescent="0.35">
      <c r="A235" s="299"/>
      <c r="B235" s="515">
        <v>0.66088158174647504</v>
      </c>
      <c r="C235" s="515">
        <v>6.6968333470949007E-2</v>
      </c>
      <c r="D235" s="515">
        <v>1.6376955257498069</v>
      </c>
      <c r="E235" s="515">
        <v>0.21065431912330099</v>
      </c>
      <c r="F235" s="515">
        <v>1.3320600813162E-2</v>
      </c>
      <c r="G235" s="299"/>
      <c r="H235" s="300">
        <f t="shared" si="29"/>
        <v>0</v>
      </c>
      <c r="I235" s="299"/>
      <c r="J235" s="1"/>
      <c r="K235" s="299"/>
      <c r="L235" s="1"/>
      <c r="M235" s="299"/>
      <c r="N235" s="299"/>
      <c r="O235" s="299"/>
      <c r="P235" s="299"/>
      <c r="Q235" s="298"/>
      <c r="R235" s="300">
        <f t="shared" si="30"/>
        <v>0</v>
      </c>
      <c r="S235" s="300">
        <f t="shared" si="31"/>
        <v>0</v>
      </c>
      <c r="T235" s="300">
        <f t="shared" si="32"/>
        <v>0</v>
      </c>
      <c r="U235" s="300">
        <f t="shared" si="33"/>
        <v>0</v>
      </c>
      <c r="V235" s="300">
        <f t="shared" si="34"/>
        <v>0</v>
      </c>
      <c r="W235" s="300">
        <f t="shared" si="35"/>
        <v>0</v>
      </c>
      <c r="X235" s="300">
        <f t="shared" si="36"/>
        <v>0</v>
      </c>
      <c r="Y235" s="300">
        <f t="shared" si="37"/>
        <v>0</v>
      </c>
      <c r="Z235"/>
      <c r="AA235"/>
      <c r="AB235"/>
    </row>
    <row r="236" spans="1:28" x14ac:dyDescent="0.35">
      <c r="A236" s="299"/>
      <c r="B236" s="515">
        <v>3.1577607880000001E-6</v>
      </c>
      <c r="C236" s="515">
        <v>0.104507865707805</v>
      </c>
      <c r="D236" s="515">
        <v>0.246385707289551</v>
      </c>
      <c r="E236" s="515">
        <v>9.6851359476001E-2</v>
      </c>
      <c r="F236" s="515">
        <v>5.0078645639154998E-2</v>
      </c>
      <c r="G236" s="299"/>
      <c r="H236" s="300">
        <f t="shared" si="29"/>
        <v>0</v>
      </c>
      <c r="I236" s="299"/>
      <c r="J236" s="1"/>
      <c r="K236" s="299"/>
      <c r="L236" s="1"/>
      <c r="M236" s="299"/>
      <c r="N236" s="299"/>
      <c r="O236" s="299"/>
      <c r="P236" s="299"/>
      <c r="Q236" s="298"/>
      <c r="R236" s="300">
        <f t="shared" si="30"/>
        <v>0</v>
      </c>
      <c r="S236" s="300">
        <f t="shared" si="31"/>
        <v>0</v>
      </c>
      <c r="T236" s="300">
        <f t="shared" si="32"/>
        <v>0</v>
      </c>
      <c r="U236" s="300">
        <f t="shared" si="33"/>
        <v>0</v>
      </c>
      <c r="V236" s="300">
        <f t="shared" si="34"/>
        <v>0</v>
      </c>
      <c r="W236" s="300">
        <f t="shared" si="35"/>
        <v>0</v>
      </c>
      <c r="X236" s="300">
        <f t="shared" si="36"/>
        <v>0</v>
      </c>
      <c r="Y236" s="300">
        <f t="shared" si="37"/>
        <v>0</v>
      </c>
      <c r="Z236"/>
      <c r="AA236"/>
      <c r="AB236"/>
    </row>
    <row r="237" spans="1:28" x14ac:dyDescent="0.35">
      <c r="A237" s="299"/>
      <c r="B237" s="515">
        <v>10.155589237062321</v>
      </c>
      <c r="C237" s="515">
        <v>-2.242812054001408</v>
      </c>
      <c r="D237" s="515">
        <v>1.085012255660035</v>
      </c>
      <c r="E237" s="515">
        <v>0.27099480594960701</v>
      </c>
      <c r="F237" s="515">
        <v>7.3630691695312001E-2</v>
      </c>
      <c r="G237" s="299"/>
      <c r="H237" s="300">
        <f t="shared" si="29"/>
        <v>0</v>
      </c>
      <c r="I237" s="299"/>
      <c r="J237" s="1"/>
      <c r="K237" s="299"/>
      <c r="L237" s="1"/>
      <c r="M237" s="299"/>
      <c r="N237" s="299"/>
      <c r="O237" s="299"/>
      <c r="P237" s="299"/>
      <c r="Q237" s="298"/>
      <c r="R237" s="300">
        <f t="shared" si="30"/>
        <v>0</v>
      </c>
      <c r="S237" s="300">
        <f t="shared" si="31"/>
        <v>0</v>
      </c>
      <c r="T237" s="300">
        <f t="shared" si="32"/>
        <v>0</v>
      </c>
      <c r="U237" s="300">
        <f t="shared" si="33"/>
        <v>0</v>
      </c>
      <c r="V237" s="300">
        <f t="shared" si="34"/>
        <v>0</v>
      </c>
      <c r="W237" s="300">
        <f t="shared" si="35"/>
        <v>0</v>
      </c>
      <c r="X237" s="300">
        <f t="shared" si="36"/>
        <v>0</v>
      </c>
      <c r="Y237" s="300">
        <f t="shared" si="37"/>
        <v>0</v>
      </c>
      <c r="Z237"/>
      <c r="AA237"/>
      <c r="AB237"/>
    </row>
    <row r="238" spans="1:28" x14ac:dyDescent="0.35">
      <c r="A238" s="299"/>
      <c r="B238" s="515">
        <v>6.8695666261581287</v>
      </c>
      <c r="C238" s="515">
        <v>1.7920187895983E-2</v>
      </c>
      <c r="D238" s="515">
        <v>1.2275214891347479</v>
      </c>
      <c r="E238" s="515">
        <v>0.15500661639705199</v>
      </c>
      <c r="F238" s="515">
        <v>5.5387444496242E-2</v>
      </c>
      <c r="G238" s="299"/>
      <c r="H238" s="300">
        <f t="shared" si="29"/>
        <v>0</v>
      </c>
      <c r="I238" s="299"/>
      <c r="J238" s="1"/>
      <c r="K238" s="299"/>
      <c r="L238" s="1"/>
      <c r="M238" s="299"/>
      <c r="N238" s="299"/>
      <c r="O238" s="299"/>
      <c r="P238" s="299"/>
      <c r="Q238" s="298"/>
      <c r="R238" s="300">
        <f t="shared" si="30"/>
        <v>0</v>
      </c>
      <c r="S238" s="300">
        <f t="shared" si="31"/>
        <v>0</v>
      </c>
      <c r="T238" s="300">
        <f t="shared" si="32"/>
        <v>0</v>
      </c>
      <c r="U238" s="300">
        <f t="shared" si="33"/>
        <v>0</v>
      </c>
      <c r="V238" s="300">
        <f t="shared" si="34"/>
        <v>0</v>
      </c>
      <c r="W238" s="300">
        <f t="shared" si="35"/>
        <v>0</v>
      </c>
      <c r="X238" s="300">
        <f t="shared" si="36"/>
        <v>0</v>
      </c>
      <c r="Y238" s="300">
        <f t="shared" si="37"/>
        <v>0</v>
      </c>
      <c r="Z238"/>
      <c r="AA238"/>
      <c r="AB238"/>
    </row>
    <row r="239" spans="1:28" x14ac:dyDescent="0.35">
      <c r="A239" s="299"/>
      <c r="B239" s="515">
        <v>10.858503409200731</v>
      </c>
      <c r="C239" s="515">
        <v>0.16799907809699799</v>
      </c>
      <c r="D239" s="515">
        <v>1.3458326483495811</v>
      </c>
      <c r="E239" s="515">
        <v>5.0306769100000001E-7</v>
      </c>
      <c r="F239" s="515">
        <v>7.6101199643807002E-2</v>
      </c>
      <c r="G239" s="299"/>
      <c r="H239" s="300">
        <f t="shared" si="29"/>
        <v>0</v>
      </c>
      <c r="I239" s="299"/>
      <c r="J239" s="1"/>
      <c r="K239" s="299"/>
      <c r="L239" s="1"/>
      <c r="M239" s="299"/>
      <c r="N239" s="299"/>
      <c r="O239" s="299"/>
      <c r="P239" s="299"/>
      <c r="Q239" s="298"/>
      <c r="R239" s="300">
        <f t="shared" si="30"/>
        <v>0</v>
      </c>
      <c r="S239" s="300">
        <f t="shared" si="31"/>
        <v>0</v>
      </c>
      <c r="T239" s="300">
        <f t="shared" si="32"/>
        <v>0</v>
      </c>
      <c r="U239" s="300">
        <f t="shared" si="33"/>
        <v>0</v>
      </c>
      <c r="V239" s="300">
        <f t="shared" si="34"/>
        <v>0</v>
      </c>
      <c r="W239" s="300">
        <f t="shared" si="35"/>
        <v>0</v>
      </c>
      <c r="X239" s="300">
        <f t="shared" si="36"/>
        <v>0</v>
      </c>
      <c r="Y239" s="300">
        <f t="shared" si="37"/>
        <v>0</v>
      </c>
      <c r="Z239"/>
      <c r="AA239"/>
      <c r="AB239"/>
    </row>
    <row r="240" spans="1:28" x14ac:dyDescent="0.35">
      <c r="A240" s="299"/>
      <c r="B240" s="515">
        <v>1.1857238105827841</v>
      </c>
      <c r="C240" s="515">
        <v>6.7844827218300999E-2</v>
      </c>
      <c r="D240" s="515">
        <v>7.0015356304339998E-3</v>
      </c>
      <c r="E240" s="515">
        <v>0.105647744367693</v>
      </c>
      <c r="F240" s="515">
        <v>5.9031900309971998E-2</v>
      </c>
      <c r="G240" s="299"/>
      <c r="H240" s="300">
        <f t="shared" si="29"/>
        <v>0</v>
      </c>
      <c r="I240" s="299"/>
      <c r="J240" s="1"/>
      <c r="K240" s="299"/>
      <c r="L240" s="1"/>
      <c r="M240" s="299"/>
      <c r="N240" s="299"/>
      <c r="O240" s="299"/>
      <c r="P240" s="299"/>
      <c r="Q240" s="298"/>
      <c r="R240" s="300">
        <f t="shared" si="30"/>
        <v>0</v>
      </c>
      <c r="S240" s="300">
        <f t="shared" si="31"/>
        <v>0</v>
      </c>
      <c r="T240" s="300">
        <f t="shared" si="32"/>
        <v>0</v>
      </c>
      <c r="U240" s="300">
        <f t="shared" si="33"/>
        <v>0</v>
      </c>
      <c r="V240" s="300">
        <f t="shared" si="34"/>
        <v>0</v>
      </c>
      <c r="W240" s="300">
        <f t="shared" si="35"/>
        <v>0</v>
      </c>
      <c r="X240" s="300">
        <f t="shared" si="36"/>
        <v>0</v>
      </c>
      <c r="Y240" s="300">
        <f t="shared" si="37"/>
        <v>0</v>
      </c>
      <c r="Z240"/>
      <c r="AA240"/>
      <c r="AB240"/>
    </row>
    <row r="241" spans="1:28" x14ac:dyDescent="0.35">
      <c r="A241" s="299"/>
      <c r="B241" s="515">
        <v>1.3153858682200001E-4</v>
      </c>
      <c r="C241" s="515">
        <v>2.7927347644655001E-2</v>
      </c>
      <c r="D241" s="515">
        <v>1.9818765137827159</v>
      </c>
      <c r="E241" s="515">
        <v>0.22441569404735001</v>
      </c>
      <c r="F241" s="515">
        <v>5.1614188941859996E-3</v>
      </c>
      <c r="G241" s="299"/>
      <c r="H241" s="300">
        <f t="shared" si="29"/>
        <v>0</v>
      </c>
      <c r="I241" s="299"/>
      <c r="J241" s="1"/>
      <c r="K241" s="299"/>
      <c r="L241" s="1"/>
      <c r="M241" s="299"/>
      <c r="N241" s="299"/>
      <c r="O241" s="299"/>
      <c r="P241" s="299"/>
      <c r="Q241" s="298"/>
      <c r="R241" s="300">
        <f t="shared" si="30"/>
        <v>0</v>
      </c>
      <c r="S241" s="300">
        <f t="shared" si="31"/>
        <v>0</v>
      </c>
      <c r="T241" s="300">
        <f t="shared" si="32"/>
        <v>0</v>
      </c>
      <c r="U241" s="300">
        <f t="shared" si="33"/>
        <v>0</v>
      </c>
      <c r="V241" s="300">
        <f t="shared" si="34"/>
        <v>0</v>
      </c>
      <c r="W241" s="300">
        <f t="shared" si="35"/>
        <v>0</v>
      </c>
      <c r="X241" s="300">
        <f t="shared" si="36"/>
        <v>0</v>
      </c>
      <c r="Y241" s="300">
        <f t="shared" si="37"/>
        <v>0</v>
      </c>
      <c r="Z241"/>
      <c r="AA241"/>
      <c r="AB241"/>
    </row>
    <row r="242" spans="1:28" x14ac:dyDescent="0.35">
      <c r="A242" s="299"/>
      <c r="B242" s="515">
        <v>2.0196374091866449</v>
      </c>
      <c r="C242" s="515">
        <v>-1.2913611184305999E-2</v>
      </c>
      <c r="D242" s="515">
        <v>1.7802460909740949</v>
      </c>
      <c r="E242" s="515">
        <v>0.22464119310876399</v>
      </c>
      <c r="F242" s="515">
        <v>1.6270113378167E-2</v>
      </c>
      <c r="G242" s="299"/>
      <c r="H242" s="300">
        <f t="shared" si="29"/>
        <v>0</v>
      </c>
      <c r="I242" s="299"/>
      <c r="J242" s="1"/>
      <c r="K242" s="299"/>
      <c r="L242" s="1"/>
      <c r="M242" s="299"/>
      <c r="N242" s="299"/>
      <c r="O242" s="299"/>
      <c r="P242" s="299"/>
      <c r="Q242" s="298"/>
      <c r="R242" s="300">
        <f t="shared" si="30"/>
        <v>0</v>
      </c>
      <c r="S242" s="300">
        <f t="shared" si="31"/>
        <v>0</v>
      </c>
      <c r="T242" s="300">
        <f t="shared" si="32"/>
        <v>0</v>
      </c>
      <c r="U242" s="300">
        <f t="shared" si="33"/>
        <v>0</v>
      </c>
      <c r="V242" s="300">
        <f t="shared" si="34"/>
        <v>0</v>
      </c>
      <c r="W242" s="300">
        <f t="shared" si="35"/>
        <v>0</v>
      </c>
      <c r="X242" s="300">
        <f t="shared" si="36"/>
        <v>0</v>
      </c>
      <c r="Y242" s="300">
        <f t="shared" si="37"/>
        <v>0</v>
      </c>
      <c r="Z242"/>
      <c r="AA242"/>
      <c r="AB242"/>
    </row>
    <row r="243" spans="1:28" x14ac:dyDescent="0.35">
      <c r="A243" s="299"/>
      <c r="B243" s="515">
        <v>0.94004912152125997</v>
      </c>
      <c r="C243" s="515">
        <v>6.3038153407841996E-2</v>
      </c>
      <c r="D243" s="515">
        <v>7.6153761495000001E-3</v>
      </c>
      <c r="E243" s="515">
        <v>0.105219830296472</v>
      </c>
      <c r="F243" s="515">
        <v>5.8214198439715002E-2</v>
      </c>
      <c r="G243" s="299"/>
      <c r="H243" s="300">
        <f t="shared" si="29"/>
        <v>0</v>
      </c>
      <c r="I243" s="299"/>
      <c r="J243" s="1"/>
      <c r="K243" s="299"/>
      <c r="L243" s="1"/>
      <c r="M243" s="299"/>
      <c r="N243" s="299"/>
      <c r="O243" s="299"/>
      <c r="P243" s="299"/>
      <c r="Q243" s="298"/>
      <c r="R243" s="300">
        <f t="shared" si="30"/>
        <v>0</v>
      </c>
      <c r="S243" s="300">
        <f t="shared" si="31"/>
        <v>0</v>
      </c>
      <c r="T243" s="300">
        <f t="shared" si="32"/>
        <v>0</v>
      </c>
      <c r="U243" s="300">
        <f t="shared" si="33"/>
        <v>0</v>
      </c>
      <c r="V243" s="300">
        <f t="shared" si="34"/>
        <v>0</v>
      </c>
      <c r="W243" s="300">
        <f t="shared" si="35"/>
        <v>0</v>
      </c>
      <c r="X243" s="300">
        <f t="shared" si="36"/>
        <v>0</v>
      </c>
      <c r="Y243" s="300">
        <f t="shared" si="37"/>
        <v>0</v>
      </c>
      <c r="Z243"/>
      <c r="AA243"/>
      <c r="AB243"/>
    </row>
    <row r="244" spans="1:28" x14ac:dyDescent="0.35">
      <c r="A244" s="299"/>
      <c r="B244" s="515">
        <v>6.9756947765799995E-4</v>
      </c>
      <c r="C244" s="515">
        <v>-0.62152729932824902</v>
      </c>
      <c r="D244" s="515">
        <v>1.969220253430539</v>
      </c>
      <c r="E244" s="515">
        <v>7.3522966000000003E-6</v>
      </c>
      <c r="F244" s="515">
        <v>4.895550488E-2</v>
      </c>
      <c r="G244" s="299"/>
      <c r="H244" s="300">
        <f t="shared" si="29"/>
        <v>0</v>
      </c>
      <c r="I244" s="299"/>
      <c r="J244" s="1"/>
      <c r="K244" s="299"/>
      <c r="L244" s="1"/>
      <c r="M244" s="299"/>
      <c r="N244" s="299"/>
      <c r="O244" s="299"/>
      <c r="P244" s="299"/>
      <c r="Q244" s="298"/>
      <c r="R244" s="300">
        <f t="shared" si="30"/>
        <v>0</v>
      </c>
      <c r="S244" s="300">
        <f t="shared" si="31"/>
        <v>0</v>
      </c>
      <c r="T244" s="300">
        <f t="shared" si="32"/>
        <v>0</v>
      </c>
      <c r="U244" s="300">
        <f t="shared" si="33"/>
        <v>0</v>
      </c>
      <c r="V244" s="300">
        <f t="shared" si="34"/>
        <v>0</v>
      </c>
      <c r="W244" s="300">
        <f t="shared" si="35"/>
        <v>0</v>
      </c>
      <c r="X244" s="300">
        <f t="shared" si="36"/>
        <v>0</v>
      </c>
      <c r="Y244" s="300">
        <f t="shared" si="37"/>
        <v>0</v>
      </c>
      <c r="Z244"/>
      <c r="AA244"/>
      <c r="AB244"/>
    </row>
    <row r="245" spans="1:28" x14ac:dyDescent="0.35">
      <c r="A245" s="299"/>
      <c r="B245" s="515">
        <v>7.9633140655400005E-4</v>
      </c>
      <c r="C245" s="515">
        <v>2.7882915163600999E-2</v>
      </c>
      <c r="D245" s="515">
        <v>1.981963730549968</v>
      </c>
      <c r="E245" s="515">
        <v>0.224420520576569</v>
      </c>
      <c r="F245" s="515">
        <v>5.1628758619829997E-3</v>
      </c>
      <c r="G245" s="299"/>
      <c r="H245" s="300">
        <f t="shared" si="29"/>
        <v>0</v>
      </c>
      <c r="I245" s="299"/>
      <c r="J245" s="1"/>
      <c r="K245" s="299"/>
      <c r="L245" s="1"/>
      <c r="M245" s="299"/>
      <c r="N245" s="299"/>
      <c r="O245" s="299"/>
      <c r="P245" s="299"/>
      <c r="Q245" s="298"/>
      <c r="R245" s="300">
        <f t="shared" si="30"/>
        <v>0</v>
      </c>
      <c r="S245" s="300">
        <f t="shared" si="31"/>
        <v>0</v>
      </c>
      <c r="T245" s="300">
        <f t="shared" si="32"/>
        <v>0</v>
      </c>
      <c r="U245" s="300">
        <f t="shared" si="33"/>
        <v>0</v>
      </c>
      <c r="V245" s="300">
        <f t="shared" si="34"/>
        <v>0</v>
      </c>
      <c r="W245" s="300">
        <f t="shared" si="35"/>
        <v>0</v>
      </c>
      <c r="X245" s="300">
        <f t="shared" si="36"/>
        <v>0</v>
      </c>
      <c r="Y245" s="300">
        <f t="shared" si="37"/>
        <v>0</v>
      </c>
      <c r="Z245"/>
      <c r="AA245"/>
      <c r="AB245"/>
    </row>
    <row r="246" spans="1:28" x14ac:dyDescent="0.35">
      <c r="A246" s="299"/>
      <c r="B246" s="515">
        <v>14.456862734629819</v>
      </c>
      <c r="C246" s="515">
        <v>-0.12965351058994001</v>
      </c>
      <c r="D246" s="515">
        <v>1.199485875935455</v>
      </c>
      <c r="E246" s="515">
        <v>0.147772474815793</v>
      </c>
      <c r="F246" s="515">
        <v>7.8882035409585993E-2</v>
      </c>
      <c r="G246" s="299"/>
      <c r="H246" s="300">
        <f t="shared" si="29"/>
        <v>0</v>
      </c>
      <c r="I246" s="299"/>
      <c r="J246" s="1"/>
      <c r="K246" s="299"/>
      <c r="L246" s="1"/>
      <c r="M246" s="299"/>
      <c r="N246" s="299"/>
      <c r="O246" s="299"/>
      <c r="P246" s="299"/>
      <c r="Q246" s="298"/>
      <c r="R246" s="300">
        <f t="shared" si="30"/>
        <v>0</v>
      </c>
      <c r="S246" s="300">
        <f t="shared" si="31"/>
        <v>0</v>
      </c>
      <c r="T246" s="300">
        <f t="shared" si="32"/>
        <v>0</v>
      </c>
      <c r="U246" s="300">
        <f t="shared" si="33"/>
        <v>0</v>
      </c>
      <c r="V246" s="300">
        <f t="shared" si="34"/>
        <v>0</v>
      </c>
      <c r="W246" s="300">
        <f t="shared" si="35"/>
        <v>0</v>
      </c>
      <c r="X246" s="300">
        <f t="shared" si="36"/>
        <v>0</v>
      </c>
      <c r="Y246" s="300">
        <f t="shared" si="37"/>
        <v>0</v>
      </c>
      <c r="Z246"/>
      <c r="AA246"/>
      <c r="AB246"/>
    </row>
    <row r="247" spans="1:28" x14ac:dyDescent="0.35">
      <c r="A247" s="299"/>
      <c r="B247" s="515">
        <v>6.9506827397566067</v>
      </c>
      <c r="C247" s="515">
        <v>-0.59969699700764401</v>
      </c>
      <c r="D247" s="515">
        <v>0.31195456104227998</v>
      </c>
      <c r="E247" s="515">
        <v>7.5083298761335002E-2</v>
      </c>
      <c r="F247" s="515">
        <v>7.8630033456989004E-2</v>
      </c>
      <c r="G247" s="299"/>
      <c r="H247" s="300">
        <f t="shared" si="29"/>
        <v>0</v>
      </c>
      <c r="I247" s="299"/>
      <c r="J247" s="1"/>
      <c r="K247" s="299"/>
      <c r="L247" s="1"/>
      <c r="M247" s="299"/>
      <c r="N247" s="299"/>
      <c r="O247" s="299"/>
      <c r="P247" s="299"/>
      <c r="Q247" s="298"/>
      <c r="R247" s="300">
        <f t="shared" si="30"/>
        <v>0</v>
      </c>
      <c r="S247" s="300">
        <f t="shared" si="31"/>
        <v>0</v>
      </c>
      <c r="T247" s="300">
        <f t="shared" si="32"/>
        <v>0</v>
      </c>
      <c r="U247" s="300">
        <f t="shared" si="33"/>
        <v>0</v>
      </c>
      <c r="V247" s="300">
        <f t="shared" si="34"/>
        <v>0</v>
      </c>
      <c r="W247" s="300">
        <f t="shared" si="35"/>
        <v>0</v>
      </c>
      <c r="X247" s="300">
        <f t="shared" si="36"/>
        <v>0</v>
      </c>
      <c r="Y247" s="300">
        <f t="shared" si="37"/>
        <v>0</v>
      </c>
      <c r="Z247"/>
      <c r="AA247"/>
      <c r="AB247"/>
    </row>
    <row r="248" spans="1:28" x14ac:dyDescent="0.35">
      <c r="A248" s="299"/>
      <c r="B248" s="515">
        <v>2.5288307500000002E-6</v>
      </c>
      <c r="C248" s="515">
        <v>-1.747578014541165</v>
      </c>
      <c r="D248" s="515">
        <v>1.238908471237276</v>
      </c>
      <c r="E248" s="515">
        <v>0.14960839202594001</v>
      </c>
      <c r="F248" s="515">
        <v>4.9445455844489998E-2</v>
      </c>
      <c r="G248" s="299"/>
      <c r="H248" s="300">
        <f t="shared" si="29"/>
        <v>0</v>
      </c>
      <c r="I248" s="299"/>
      <c r="J248" s="1"/>
      <c r="K248" s="299"/>
      <c r="L248" s="1"/>
      <c r="M248" s="299"/>
      <c r="N248" s="299"/>
      <c r="O248" s="299"/>
      <c r="P248" s="299"/>
      <c r="Q248" s="298"/>
      <c r="R248" s="300">
        <f t="shared" si="30"/>
        <v>0</v>
      </c>
      <c r="S248" s="300">
        <f t="shared" si="31"/>
        <v>0</v>
      </c>
      <c r="T248" s="300">
        <f t="shared" si="32"/>
        <v>0</v>
      </c>
      <c r="U248" s="300">
        <f t="shared" si="33"/>
        <v>0</v>
      </c>
      <c r="V248" s="300">
        <f t="shared" si="34"/>
        <v>0</v>
      </c>
      <c r="W248" s="300">
        <f t="shared" si="35"/>
        <v>0</v>
      </c>
      <c r="X248" s="300">
        <f t="shared" si="36"/>
        <v>0</v>
      </c>
      <c r="Y248" s="300">
        <f t="shared" si="37"/>
        <v>0</v>
      </c>
      <c r="Z248"/>
      <c r="AA248"/>
      <c r="AB248"/>
    </row>
    <row r="249" spans="1:28" x14ac:dyDescent="0.35">
      <c r="A249" s="299"/>
      <c r="B249" s="515">
        <v>4.5710629523263941</v>
      </c>
      <c r="C249" s="515">
        <v>6.1142551039829997E-2</v>
      </c>
      <c r="D249" s="515">
        <v>0.33637018589752898</v>
      </c>
      <c r="E249" s="515">
        <v>9.9677134960869995E-2</v>
      </c>
      <c r="F249" s="515">
        <v>6.6187347645259006E-2</v>
      </c>
      <c r="G249" s="299"/>
      <c r="H249" s="300">
        <f t="shared" si="29"/>
        <v>0</v>
      </c>
      <c r="I249" s="299"/>
      <c r="J249" s="1"/>
      <c r="K249" s="299"/>
      <c r="L249" s="1"/>
      <c r="M249" s="299"/>
      <c r="N249" s="299"/>
      <c r="O249" s="299"/>
      <c r="P249" s="299"/>
      <c r="Q249" s="298"/>
      <c r="R249" s="300">
        <f t="shared" si="30"/>
        <v>0</v>
      </c>
      <c r="S249" s="300">
        <f t="shared" si="31"/>
        <v>0</v>
      </c>
      <c r="T249" s="300">
        <f t="shared" si="32"/>
        <v>0</v>
      </c>
      <c r="U249" s="300">
        <f t="shared" si="33"/>
        <v>0</v>
      </c>
      <c r="V249" s="300">
        <f t="shared" si="34"/>
        <v>0</v>
      </c>
      <c r="W249" s="300">
        <f t="shared" si="35"/>
        <v>0</v>
      </c>
      <c r="X249" s="300">
        <f t="shared" si="36"/>
        <v>0</v>
      </c>
      <c r="Y249" s="300">
        <f t="shared" si="37"/>
        <v>0</v>
      </c>
      <c r="Z249"/>
      <c r="AA249"/>
      <c r="AB249"/>
    </row>
    <row r="250" spans="1:28" x14ac:dyDescent="0.35">
      <c r="A250" s="299"/>
      <c r="B250" s="515">
        <v>4.7735741702397999E-2</v>
      </c>
      <c r="C250" s="515">
        <v>-0.25527379576166298</v>
      </c>
      <c r="D250" s="515">
        <v>3.3246082689710401</v>
      </c>
      <c r="E250" s="515">
        <v>7.8490644126296999E-2</v>
      </c>
      <c r="F250" s="515">
        <v>2.40558598874E-3</v>
      </c>
      <c r="G250" s="299"/>
      <c r="H250" s="300">
        <f t="shared" si="29"/>
        <v>0</v>
      </c>
      <c r="I250" s="299"/>
      <c r="J250" s="1"/>
      <c r="K250" s="299"/>
      <c r="L250" s="1"/>
      <c r="M250" s="299"/>
      <c r="N250" s="299"/>
      <c r="O250" s="299"/>
      <c r="P250" s="299"/>
      <c r="Q250" s="298"/>
      <c r="R250" s="300">
        <f t="shared" si="30"/>
        <v>0</v>
      </c>
      <c r="S250" s="300">
        <f t="shared" si="31"/>
        <v>0</v>
      </c>
      <c r="T250" s="300">
        <f t="shared" si="32"/>
        <v>0</v>
      </c>
      <c r="U250" s="300">
        <f t="shared" si="33"/>
        <v>0</v>
      </c>
      <c r="V250" s="300">
        <f t="shared" si="34"/>
        <v>0</v>
      </c>
      <c r="W250" s="300">
        <f t="shared" si="35"/>
        <v>0</v>
      </c>
      <c r="X250" s="300">
        <f t="shared" si="36"/>
        <v>0</v>
      </c>
      <c r="Y250" s="300">
        <f t="shared" si="37"/>
        <v>0</v>
      </c>
      <c r="Z250"/>
      <c r="AA250"/>
      <c r="AB250"/>
    </row>
    <row r="251" spans="1:28" x14ac:dyDescent="0.35">
      <c r="A251" s="299"/>
      <c r="B251" s="515">
        <v>11.31633652677267</v>
      </c>
      <c r="C251" s="515">
        <v>-0.74746529612139601</v>
      </c>
      <c r="D251" s="515">
        <v>1.433151359149802</v>
      </c>
      <c r="E251" s="515">
        <v>0.166580421687331</v>
      </c>
      <c r="F251" s="515">
        <v>7.2952465906689995E-2</v>
      </c>
      <c r="G251" s="299"/>
      <c r="H251" s="300">
        <f t="shared" si="29"/>
        <v>0</v>
      </c>
      <c r="I251" s="299"/>
      <c r="J251" s="1"/>
      <c r="K251" s="299"/>
      <c r="L251" s="1"/>
      <c r="M251" s="299"/>
      <c r="N251" s="299"/>
      <c r="O251" s="299"/>
      <c r="P251" s="299"/>
      <c r="Q251" s="298"/>
      <c r="R251" s="300">
        <f t="shared" si="30"/>
        <v>0</v>
      </c>
      <c r="S251" s="300">
        <f t="shared" si="31"/>
        <v>0</v>
      </c>
      <c r="T251" s="300">
        <f t="shared" si="32"/>
        <v>0</v>
      </c>
      <c r="U251" s="300">
        <f t="shared" si="33"/>
        <v>0</v>
      </c>
      <c r="V251" s="300">
        <f t="shared" si="34"/>
        <v>0</v>
      </c>
      <c r="W251" s="300">
        <f t="shared" si="35"/>
        <v>0</v>
      </c>
      <c r="X251" s="300">
        <f t="shared" si="36"/>
        <v>0</v>
      </c>
      <c r="Y251" s="300">
        <f t="shared" si="37"/>
        <v>0</v>
      </c>
      <c r="Z251"/>
      <c r="AA251"/>
      <c r="AB251"/>
    </row>
    <row r="252" spans="1:28" x14ac:dyDescent="0.35">
      <c r="A252" s="299"/>
      <c r="B252" s="515">
        <v>4.7881504705800002E-4</v>
      </c>
      <c r="C252" s="515">
        <v>-0.62045963284647898</v>
      </c>
      <c r="D252" s="515">
        <v>1.971691818890686</v>
      </c>
      <c r="E252" s="515">
        <v>2.7408784987400001E-4</v>
      </c>
      <c r="F252" s="515">
        <v>4.8859922834583999E-2</v>
      </c>
      <c r="G252" s="299"/>
      <c r="H252" s="300">
        <f t="shared" si="29"/>
        <v>0</v>
      </c>
      <c r="I252" s="299"/>
      <c r="J252" s="1"/>
      <c r="K252" s="299"/>
      <c r="L252" s="1"/>
      <c r="M252" s="299"/>
      <c r="N252" s="299"/>
      <c r="O252" s="299"/>
      <c r="P252" s="299"/>
      <c r="Q252" s="298"/>
      <c r="R252" s="300">
        <f t="shared" si="30"/>
        <v>0</v>
      </c>
      <c r="S252" s="300">
        <f t="shared" si="31"/>
        <v>0</v>
      </c>
      <c r="T252" s="300">
        <f t="shared" si="32"/>
        <v>0</v>
      </c>
      <c r="U252" s="300">
        <f t="shared" si="33"/>
        <v>0</v>
      </c>
      <c r="V252" s="300">
        <f t="shared" si="34"/>
        <v>0</v>
      </c>
      <c r="W252" s="300">
        <f t="shared" si="35"/>
        <v>0</v>
      </c>
      <c r="X252" s="300">
        <f t="shared" si="36"/>
        <v>0</v>
      </c>
      <c r="Y252" s="300">
        <f t="shared" si="37"/>
        <v>0</v>
      </c>
      <c r="Z252"/>
      <c r="AA252"/>
      <c r="AB252"/>
    </row>
    <row r="253" spans="1:28" x14ac:dyDescent="0.35">
      <c r="A253" s="299"/>
      <c r="B253" s="515">
        <v>2.846393356603361</v>
      </c>
      <c r="C253" s="515">
        <v>7.2942118751689003E-2</v>
      </c>
      <c r="D253" s="515">
        <v>1.595912701053313</v>
      </c>
      <c r="E253" s="515">
        <v>0.27020741779075302</v>
      </c>
      <c r="F253" s="515">
        <v>4.3825692353630001E-3</v>
      </c>
      <c r="G253" s="299"/>
      <c r="H253" s="300">
        <f t="shared" si="29"/>
        <v>0</v>
      </c>
      <c r="I253" s="299"/>
      <c r="J253" s="1"/>
      <c r="K253" s="299"/>
      <c r="L253" s="1"/>
      <c r="M253" s="299"/>
      <c r="N253" s="299"/>
      <c r="O253" s="299"/>
      <c r="P253" s="299"/>
      <c r="Q253" s="298"/>
      <c r="R253" s="300">
        <f t="shared" si="30"/>
        <v>0</v>
      </c>
      <c r="S253" s="300">
        <f t="shared" si="31"/>
        <v>0</v>
      </c>
      <c r="T253" s="300">
        <f t="shared" si="32"/>
        <v>0</v>
      </c>
      <c r="U253" s="300">
        <f t="shared" si="33"/>
        <v>0</v>
      </c>
      <c r="V253" s="300">
        <f t="shared" si="34"/>
        <v>0</v>
      </c>
      <c r="W253" s="300">
        <f t="shared" si="35"/>
        <v>0</v>
      </c>
      <c r="X253" s="300">
        <f t="shared" si="36"/>
        <v>0</v>
      </c>
      <c r="Y253" s="300">
        <f t="shared" si="37"/>
        <v>0</v>
      </c>
      <c r="Z253"/>
      <c r="AA253"/>
      <c r="AB253"/>
    </row>
    <row r="254" spans="1:28" x14ac:dyDescent="0.35">
      <c r="A254" s="299"/>
      <c r="B254" s="515">
        <v>5.6317186011653302</v>
      </c>
      <c r="C254" s="515">
        <v>2.294214908045E-3</v>
      </c>
      <c r="D254" s="515">
        <v>1.3110364351682001E-2</v>
      </c>
      <c r="E254" s="515">
        <v>9.2943820104360003E-2</v>
      </c>
      <c r="F254" s="515">
        <v>7.4627092559608005E-2</v>
      </c>
      <c r="G254" s="299"/>
      <c r="H254" s="300">
        <f t="shared" si="29"/>
        <v>0</v>
      </c>
      <c r="I254" s="299"/>
      <c r="J254" s="1"/>
      <c r="K254" s="299"/>
      <c r="L254" s="1"/>
      <c r="M254" s="299"/>
      <c r="N254" s="299"/>
      <c r="O254" s="299"/>
      <c r="P254" s="299"/>
      <c r="Q254" s="298"/>
      <c r="R254" s="300">
        <f t="shared" si="30"/>
        <v>0</v>
      </c>
      <c r="S254" s="300">
        <f t="shared" si="31"/>
        <v>0</v>
      </c>
      <c r="T254" s="300">
        <f t="shared" si="32"/>
        <v>0</v>
      </c>
      <c r="U254" s="300">
        <f t="shared" si="33"/>
        <v>0</v>
      </c>
      <c r="V254" s="300">
        <f t="shared" si="34"/>
        <v>0</v>
      </c>
      <c r="W254" s="300">
        <f t="shared" si="35"/>
        <v>0</v>
      </c>
      <c r="X254" s="300">
        <f t="shared" si="36"/>
        <v>0</v>
      </c>
      <c r="Y254" s="300">
        <f t="shared" si="37"/>
        <v>0</v>
      </c>
      <c r="Z254"/>
      <c r="AA254"/>
      <c r="AB254"/>
    </row>
    <row r="255" spans="1:28" x14ac:dyDescent="0.35">
      <c r="A255" s="299"/>
      <c r="B255" s="515">
        <v>11.575483859143811</v>
      </c>
      <c r="C255" s="515">
        <v>1.4966287806136999E-2</v>
      </c>
      <c r="D255" s="515">
        <v>0.89306108563173603</v>
      </c>
      <c r="E255" s="515">
        <v>0.27059496926910498</v>
      </c>
      <c r="F255" s="515">
        <v>3.9673945644175999E-2</v>
      </c>
      <c r="G255" s="299"/>
      <c r="H255" s="300">
        <f t="shared" si="29"/>
        <v>0</v>
      </c>
      <c r="I255" s="299"/>
      <c r="J255" s="1"/>
      <c r="K255" s="299"/>
      <c r="L255" s="1"/>
      <c r="M255" s="299"/>
      <c r="N255" s="299"/>
      <c r="O255" s="299"/>
      <c r="P255" s="299"/>
      <c r="Q255" s="298"/>
      <c r="R255" s="300">
        <f t="shared" si="30"/>
        <v>0</v>
      </c>
      <c r="S255" s="300">
        <f t="shared" si="31"/>
        <v>0</v>
      </c>
      <c r="T255" s="300">
        <f t="shared" si="32"/>
        <v>0</v>
      </c>
      <c r="U255" s="300">
        <f t="shared" si="33"/>
        <v>0</v>
      </c>
      <c r="V255" s="300">
        <f t="shared" si="34"/>
        <v>0</v>
      </c>
      <c r="W255" s="300">
        <f t="shared" si="35"/>
        <v>0</v>
      </c>
      <c r="X255" s="300">
        <f t="shared" si="36"/>
        <v>0</v>
      </c>
      <c r="Y255" s="300">
        <f t="shared" si="37"/>
        <v>0</v>
      </c>
      <c r="Z255"/>
      <c r="AA255"/>
      <c r="AB255"/>
    </row>
    <row r="256" spans="1:28" x14ac:dyDescent="0.35">
      <c r="A256" s="299"/>
      <c r="B256" s="515">
        <v>1.980189962738419</v>
      </c>
      <c r="C256" s="515">
        <v>2.6405799760113001E-2</v>
      </c>
      <c r="D256" s="515">
        <v>0.354806614405065</v>
      </c>
      <c r="E256" s="515">
        <v>0.114136927056131</v>
      </c>
      <c r="F256" s="515">
        <v>5.7338112368183002E-2</v>
      </c>
      <c r="G256" s="299"/>
      <c r="H256" s="300">
        <f t="shared" si="29"/>
        <v>0</v>
      </c>
      <c r="I256" s="299"/>
      <c r="J256" s="1"/>
      <c r="K256" s="299"/>
      <c r="L256" s="1"/>
      <c r="M256" s="299"/>
      <c r="N256" s="299"/>
      <c r="O256" s="299"/>
      <c r="P256" s="299"/>
      <c r="Q256" s="298"/>
      <c r="R256" s="300">
        <f t="shared" si="30"/>
        <v>0</v>
      </c>
      <c r="S256" s="300">
        <f t="shared" si="31"/>
        <v>0</v>
      </c>
      <c r="T256" s="300">
        <f t="shared" si="32"/>
        <v>0</v>
      </c>
      <c r="U256" s="300">
        <f t="shared" si="33"/>
        <v>0</v>
      </c>
      <c r="V256" s="300">
        <f t="shared" si="34"/>
        <v>0</v>
      </c>
      <c r="W256" s="300">
        <f t="shared" si="35"/>
        <v>0</v>
      </c>
      <c r="X256" s="300">
        <f t="shared" si="36"/>
        <v>0</v>
      </c>
      <c r="Y256" s="300">
        <f t="shared" si="37"/>
        <v>0</v>
      </c>
      <c r="Z256"/>
      <c r="AA256"/>
      <c r="AB256"/>
    </row>
    <row r="257" spans="1:28" x14ac:dyDescent="0.35">
      <c r="A257" s="299"/>
      <c r="B257" s="515">
        <v>1.726118828659402</v>
      </c>
      <c r="C257" s="515">
        <v>6.9303515622441997E-2</v>
      </c>
      <c r="D257" s="515">
        <v>2.0073235022291391</v>
      </c>
      <c r="E257" s="515">
        <v>0.243796392290001</v>
      </c>
      <c r="F257" s="515">
        <v>5.0862723277819996E-3</v>
      </c>
      <c r="G257" s="299"/>
      <c r="H257" s="300">
        <f t="shared" ref="H257:H320" si="38">SUMPRODUCT(B257:F257,B$61:F$61)</f>
        <v>0</v>
      </c>
      <c r="I257" s="299"/>
      <c r="J257" s="1"/>
      <c r="K257" s="299"/>
      <c r="L257" s="1"/>
      <c r="M257" s="299"/>
      <c r="N257" s="299"/>
      <c r="O257" s="299"/>
      <c r="P257" s="299"/>
      <c r="Q257" s="298"/>
      <c r="R257" s="300">
        <f t="shared" ref="R257:R320" si="39">SUMPRODUCT($B257:$F257,$K$64:$O$64)</f>
        <v>0</v>
      </c>
      <c r="S257" s="300">
        <f t="shared" ref="S257:S320" si="40">SUMPRODUCT($B257:$F257,$K$65:$O$65)</f>
        <v>0</v>
      </c>
      <c r="T257" s="300">
        <f t="shared" ref="T257:T320" si="41">SUMPRODUCT($B257:$F257,$K$66:$O$66)</f>
        <v>0</v>
      </c>
      <c r="U257" s="300">
        <f t="shared" ref="U257:U320" si="42">SUMPRODUCT($B257:$F257,$K$67:$O$67)</f>
        <v>0</v>
      </c>
      <c r="V257" s="300">
        <f t="shared" ref="V257:V320" si="43">SUMPRODUCT($B257:$F257,$K$68:$O$68)</f>
        <v>0</v>
      </c>
      <c r="W257" s="300">
        <f t="shared" ref="W257:W320" si="44">SUMPRODUCT($B257:$F257,$K$69:$O$69)</f>
        <v>0</v>
      </c>
      <c r="X257" s="300">
        <f t="shared" ref="X257:X320" si="45">SUMPRODUCT($B257:$F257,$K$70:$O$70)</f>
        <v>0</v>
      </c>
      <c r="Y257" s="300">
        <f t="shared" ref="Y257:Y320" si="46">SUMPRODUCT($B257:$F257,$K$71:$O$71)</f>
        <v>0</v>
      </c>
      <c r="Z257"/>
      <c r="AA257"/>
      <c r="AB257"/>
    </row>
    <row r="258" spans="1:28" x14ac:dyDescent="0.35">
      <c r="A258" s="299"/>
      <c r="B258" s="515">
        <v>3.1117141889999999E-6</v>
      </c>
      <c r="C258" s="515">
        <v>-2.9198440277766018</v>
      </c>
      <c r="D258" s="515">
        <v>2.40368438467996</v>
      </c>
      <c r="E258" s="515">
        <v>9.3010109130579E-2</v>
      </c>
      <c r="F258" s="515">
        <v>4.4339672900283997E-2</v>
      </c>
      <c r="G258" s="299"/>
      <c r="H258" s="300">
        <f t="shared" si="38"/>
        <v>0</v>
      </c>
      <c r="I258" s="299"/>
      <c r="J258" s="1"/>
      <c r="K258" s="299"/>
      <c r="L258" s="1"/>
      <c r="M258" s="299"/>
      <c r="N258" s="299"/>
      <c r="O258" s="299"/>
      <c r="P258" s="299"/>
      <c r="Q258" s="298"/>
      <c r="R258" s="300">
        <f t="shared" si="39"/>
        <v>0</v>
      </c>
      <c r="S258" s="300">
        <f t="shared" si="40"/>
        <v>0</v>
      </c>
      <c r="T258" s="300">
        <f t="shared" si="41"/>
        <v>0</v>
      </c>
      <c r="U258" s="300">
        <f t="shared" si="42"/>
        <v>0</v>
      </c>
      <c r="V258" s="300">
        <f t="shared" si="43"/>
        <v>0</v>
      </c>
      <c r="W258" s="300">
        <f t="shared" si="44"/>
        <v>0</v>
      </c>
      <c r="X258" s="300">
        <f t="shared" si="45"/>
        <v>0</v>
      </c>
      <c r="Y258" s="300">
        <f t="shared" si="46"/>
        <v>0</v>
      </c>
      <c r="Z258"/>
      <c r="AA258"/>
      <c r="AB258"/>
    </row>
    <row r="259" spans="1:28" x14ac:dyDescent="0.35">
      <c r="A259" s="299"/>
      <c r="B259" s="515">
        <v>6.6518795999999995E-7</v>
      </c>
      <c r="C259" s="515">
        <v>-3.2949494093810232</v>
      </c>
      <c r="D259" s="515">
        <v>2.4448771046084579</v>
      </c>
      <c r="E259" s="515">
        <v>0.121053502367882</v>
      </c>
      <c r="F259" s="515">
        <v>4.1888478511249001E-2</v>
      </c>
      <c r="G259" s="299"/>
      <c r="H259" s="300">
        <f t="shared" si="38"/>
        <v>0</v>
      </c>
      <c r="I259" s="299"/>
      <c r="J259" s="1"/>
      <c r="K259" s="299"/>
      <c r="L259" s="1"/>
      <c r="M259" s="299"/>
      <c r="N259" s="299"/>
      <c r="O259" s="299"/>
      <c r="P259" s="299"/>
      <c r="Q259" s="298"/>
      <c r="R259" s="300">
        <f t="shared" si="39"/>
        <v>0</v>
      </c>
      <c r="S259" s="300">
        <f t="shared" si="40"/>
        <v>0</v>
      </c>
      <c r="T259" s="300">
        <f t="shared" si="41"/>
        <v>0</v>
      </c>
      <c r="U259" s="300">
        <f t="shared" si="42"/>
        <v>0</v>
      </c>
      <c r="V259" s="300">
        <f t="shared" si="43"/>
        <v>0</v>
      </c>
      <c r="W259" s="300">
        <f t="shared" si="44"/>
        <v>0</v>
      </c>
      <c r="X259" s="300">
        <f t="shared" si="45"/>
        <v>0</v>
      </c>
      <c r="Y259" s="300">
        <f t="shared" si="46"/>
        <v>0</v>
      </c>
      <c r="Z259"/>
      <c r="AA259"/>
      <c r="AB259"/>
    </row>
    <row r="260" spans="1:28" x14ac:dyDescent="0.35">
      <c r="A260" s="299"/>
      <c r="B260" s="515">
        <v>4.4537884617800456</v>
      </c>
      <c r="C260" s="515">
        <v>9.5909531838758999E-2</v>
      </c>
      <c r="D260" s="515">
        <v>1.386851311200175</v>
      </c>
      <c r="E260" s="515">
        <v>1.769432451E-6</v>
      </c>
      <c r="F260" s="515">
        <v>6.2342010761234003E-2</v>
      </c>
      <c r="G260" s="299"/>
      <c r="H260" s="300">
        <f t="shared" si="38"/>
        <v>0</v>
      </c>
      <c r="I260" s="299"/>
      <c r="J260" s="1"/>
      <c r="K260" s="299"/>
      <c r="L260" s="1"/>
      <c r="M260" s="299"/>
      <c r="N260" s="299"/>
      <c r="O260" s="299"/>
      <c r="P260" s="299"/>
      <c r="Q260" s="298"/>
      <c r="R260" s="300">
        <f t="shared" si="39"/>
        <v>0</v>
      </c>
      <c r="S260" s="300">
        <f t="shared" si="40"/>
        <v>0</v>
      </c>
      <c r="T260" s="300">
        <f t="shared" si="41"/>
        <v>0</v>
      </c>
      <c r="U260" s="300">
        <f t="shared" si="42"/>
        <v>0</v>
      </c>
      <c r="V260" s="300">
        <f t="shared" si="43"/>
        <v>0</v>
      </c>
      <c r="W260" s="300">
        <f t="shared" si="44"/>
        <v>0</v>
      </c>
      <c r="X260" s="300">
        <f t="shared" si="45"/>
        <v>0</v>
      </c>
      <c r="Y260" s="300">
        <f t="shared" si="46"/>
        <v>0</v>
      </c>
      <c r="Z260"/>
      <c r="AA260"/>
      <c r="AB260"/>
    </row>
    <row r="261" spans="1:28" x14ac:dyDescent="0.35">
      <c r="A261" s="299"/>
      <c r="B261" s="515">
        <v>1.597259012416345</v>
      </c>
      <c r="C261" s="515">
        <v>2.9001825990313999E-2</v>
      </c>
      <c r="D261" s="515">
        <v>1.064623545667682</v>
      </c>
      <c r="E261" s="515">
        <v>0.144288895453554</v>
      </c>
      <c r="F261" s="515">
        <v>4.0474316524511E-2</v>
      </c>
      <c r="G261" s="299"/>
      <c r="H261" s="300">
        <f t="shared" si="38"/>
        <v>0</v>
      </c>
      <c r="I261" s="299"/>
      <c r="J261" s="1"/>
      <c r="K261" s="299"/>
      <c r="L261" s="1"/>
      <c r="M261" s="299"/>
      <c r="N261" s="299"/>
      <c r="O261" s="299"/>
      <c r="P261" s="299"/>
      <c r="Q261" s="298"/>
      <c r="R261" s="300">
        <f t="shared" si="39"/>
        <v>0</v>
      </c>
      <c r="S261" s="300">
        <f t="shared" si="40"/>
        <v>0</v>
      </c>
      <c r="T261" s="300">
        <f t="shared" si="41"/>
        <v>0</v>
      </c>
      <c r="U261" s="300">
        <f t="shared" si="42"/>
        <v>0</v>
      </c>
      <c r="V261" s="300">
        <f t="shared" si="43"/>
        <v>0</v>
      </c>
      <c r="W261" s="300">
        <f t="shared" si="44"/>
        <v>0</v>
      </c>
      <c r="X261" s="300">
        <f t="shared" si="45"/>
        <v>0</v>
      </c>
      <c r="Y261" s="300">
        <f t="shared" si="46"/>
        <v>0</v>
      </c>
      <c r="Z261"/>
      <c r="AA261"/>
      <c r="AB261"/>
    </row>
    <row r="262" spans="1:28" x14ac:dyDescent="0.35">
      <c r="A262" s="299"/>
      <c r="B262" s="515">
        <v>2.87523956328E-4</v>
      </c>
      <c r="C262" s="515">
        <v>2.8020799590767E-2</v>
      </c>
      <c r="D262" s="515">
        <v>1.982255375479953</v>
      </c>
      <c r="E262" s="515">
        <v>0.224350004653499</v>
      </c>
      <c r="F262" s="515">
        <v>5.1645130761559998E-3</v>
      </c>
      <c r="G262" s="299"/>
      <c r="H262" s="300">
        <f t="shared" si="38"/>
        <v>0</v>
      </c>
      <c r="I262" s="299"/>
      <c r="J262" s="1"/>
      <c r="K262" s="299"/>
      <c r="L262" s="1"/>
      <c r="M262" s="299"/>
      <c r="N262" s="299"/>
      <c r="O262" s="299"/>
      <c r="P262" s="299"/>
      <c r="Q262" s="298"/>
      <c r="R262" s="300">
        <f t="shared" si="39"/>
        <v>0</v>
      </c>
      <c r="S262" s="300">
        <f t="shared" si="40"/>
        <v>0</v>
      </c>
      <c r="T262" s="300">
        <f t="shared" si="41"/>
        <v>0</v>
      </c>
      <c r="U262" s="300">
        <f t="shared" si="42"/>
        <v>0</v>
      </c>
      <c r="V262" s="300">
        <f t="shared" si="43"/>
        <v>0</v>
      </c>
      <c r="W262" s="300">
        <f t="shared" si="44"/>
        <v>0</v>
      </c>
      <c r="X262" s="300">
        <f t="shared" si="45"/>
        <v>0</v>
      </c>
      <c r="Y262" s="300">
        <f t="shared" si="46"/>
        <v>0</v>
      </c>
      <c r="Z262"/>
      <c r="AA262"/>
      <c r="AB262"/>
    </row>
    <row r="263" spans="1:28" x14ac:dyDescent="0.35">
      <c r="A263" s="299"/>
      <c r="B263" s="515">
        <v>6.9414391414066259</v>
      </c>
      <c r="C263" s="515">
        <v>-1.0989495010366059</v>
      </c>
      <c r="D263" s="515">
        <v>0.99805936232966797</v>
      </c>
      <c r="E263" s="515">
        <v>9.9917631887252001E-2</v>
      </c>
      <c r="F263" s="515">
        <v>7.2572570420126006E-2</v>
      </c>
      <c r="G263" s="299"/>
      <c r="H263" s="300">
        <f t="shared" si="38"/>
        <v>0</v>
      </c>
      <c r="I263" s="299"/>
      <c r="J263" s="1"/>
      <c r="K263" s="299"/>
      <c r="L263" s="1"/>
      <c r="M263" s="299"/>
      <c r="N263" s="299"/>
      <c r="O263" s="299"/>
      <c r="P263" s="299"/>
      <c r="Q263" s="298"/>
      <c r="R263" s="300">
        <f t="shared" si="39"/>
        <v>0</v>
      </c>
      <c r="S263" s="300">
        <f t="shared" si="40"/>
        <v>0</v>
      </c>
      <c r="T263" s="300">
        <f t="shared" si="41"/>
        <v>0</v>
      </c>
      <c r="U263" s="300">
        <f t="shared" si="42"/>
        <v>0</v>
      </c>
      <c r="V263" s="300">
        <f t="shared" si="43"/>
        <v>0</v>
      </c>
      <c r="W263" s="300">
        <f t="shared" si="44"/>
        <v>0</v>
      </c>
      <c r="X263" s="300">
        <f t="shared" si="45"/>
        <v>0</v>
      </c>
      <c r="Y263" s="300">
        <f t="shared" si="46"/>
        <v>0</v>
      </c>
      <c r="Z263"/>
      <c r="AA263"/>
      <c r="AB263"/>
    </row>
    <row r="264" spans="1:28" x14ac:dyDescent="0.35">
      <c r="A264" s="299"/>
      <c r="B264" s="515">
        <v>2.6241457445351388</v>
      </c>
      <c r="C264" s="515">
        <v>-0.63983756888883703</v>
      </c>
      <c r="D264" s="515">
        <v>1.5864088777301359</v>
      </c>
      <c r="E264" s="515">
        <v>9.3632247024823007E-2</v>
      </c>
      <c r="F264" s="515">
        <v>5.2408131252467002E-2</v>
      </c>
      <c r="G264" s="299"/>
      <c r="H264" s="300">
        <f t="shared" si="38"/>
        <v>0</v>
      </c>
      <c r="I264" s="299"/>
      <c r="J264" s="1"/>
      <c r="K264" s="299"/>
      <c r="L264" s="1"/>
      <c r="M264" s="299"/>
      <c r="N264" s="299"/>
      <c r="O264" s="299"/>
      <c r="P264" s="299"/>
      <c r="Q264" s="298"/>
      <c r="R264" s="300">
        <f t="shared" si="39"/>
        <v>0</v>
      </c>
      <c r="S264" s="300">
        <f t="shared" si="40"/>
        <v>0</v>
      </c>
      <c r="T264" s="300">
        <f t="shared" si="41"/>
        <v>0</v>
      </c>
      <c r="U264" s="300">
        <f t="shared" si="42"/>
        <v>0</v>
      </c>
      <c r="V264" s="300">
        <f t="shared" si="43"/>
        <v>0</v>
      </c>
      <c r="W264" s="300">
        <f t="shared" si="44"/>
        <v>0</v>
      </c>
      <c r="X264" s="300">
        <f t="shared" si="45"/>
        <v>0</v>
      </c>
      <c r="Y264" s="300">
        <f t="shared" si="46"/>
        <v>0</v>
      </c>
      <c r="Z264"/>
      <c r="AA264"/>
      <c r="AB264"/>
    </row>
    <row r="265" spans="1:28" x14ac:dyDescent="0.35">
      <c r="A265" s="299"/>
      <c r="B265" s="515">
        <v>0.31144288500230199</v>
      </c>
      <c r="C265" s="515">
        <v>2.9796839439118001E-2</v>
      </c>
      <c r="D265" s="515">
        <v>1.956732012382234</v>
      </c>
      <c r="E265" s="515">
        <v>0.17504791210392101</v>
      </c>
      <c r="F265" s="515">
        <v>1.4859124932975001E-2</v>
      </c>
      <c r="G265" s="299"/>
      <c r="H265" s="300">
        <f t="shared" si="38"/>
        <v>0</v>
      </c>
      <c r="I265" s="299"/>
      <c r="J265" s="1"/>
      <c r="K265" s="299"/>
      <c r="L265" s="1"/>
      <c r="M265" s="299"/>
      <c r="N265" s="299"/>
      <c r="O265" s="299"/>
      <c r="P265" s="299"/>
      <c r="Q265" s="298"/>
      <c r="R265" s="300">
        <f t="shared" si="39"/>
        <v>0</v>
      </c>
      <c r="S265" s="300">
        <f t="shared" si="40"/>
        <v>0</v>
      </c>
      <c r="T265" s="300">
        <f t="shared" si="41"/>
        <v>0</v>
      </c>
      <c r="U265" s="300">
        <f t="shared" si="42"/>
        <v>0</v>
      </c>
      <c r="V265" s="300">
        <f t="shared" si="43"/>
        <v>0</v>
      </c>
      <c r="W265" s="300">
        <f t="shared" si="44"/>
        <v>0</v>
      </c>
      <c r="X265" s="300">
        <f t="shared" si="45"/>
        <v>0</v>
      </c>
      <c r="Y265" s="300">
        <f t="shared" si="46"/>
        <v>0</v>
      </c>
      <c r="Z265"/>
      <c r="AA265"/>
      <c r="AB265"/>
    </row>
    <row r="266" spans="1:28" x14ac:dyDescent="0.35">
      <c r="A266" s="299"/>
      <c r="B266" s="515">
        <v>0.75353169274526799</v>
      </c>
      <c r="C266" s="515">
        <v>6.4325145193953007E-2</v>
      </c>
      <c r="D266" s="515">
        <v>1.919544400944291</v>
      </c>
      <c r="E266" s="515">
        <v>0.22982087446944299</v>
      </c>
      <c r="F266" s="515">
        <v>6.0625494268079999E-3</v>
      </c>
      <c r="G266" s="299"/>
      <c r="H266" s="300">
        <f t="shared" si="38"/>
        <v>0</v>
      </c>
      <c r="I266" s="299"/>
      <c r="J266" s="1"/>
      <c r="K266" s="299"/>
      <c r="L266" s="1"/>
      <c r="M266" s="299"/>
      <c r="N266" s="299"/>
      <c r="O266" s="299"/>
      <c r="P266" s="299"/>
      <c r="Q266" s="298"/>
      <c r="R266" s="300">
        <f t="shared" si="39"/>
        <v>0</v>
      </c>
      <c r="S266" s="300">
        <f t="shared" si="40"/>
        <v>0</v>
      </c>
      <c r="T266" s="300">
        <f t="shared" si="41"/>
        <v>0</v>
      </c>
      <c r="U266" s="300">
        <f t="shared" si="42"/>
        <v>0</v>
      </c>
      <c r="V266" s="300">
        <f t="shared" si="43"/>
        <v>0</v>
      </c>
      <c r="W266" s="300">
        <f t="shared" si="44"/>
        <v>0</v>
      </c>
      <c r="X266" s="300">
        <f t="shared" si="45"/>
        <v>0</v>
      </c>
      <c r="Y266" s="300">
        <f t="shared" si="46"/>
        <v>0</v>
      </c>
      <c r="Z266"/>
      <c r="AA266"/>
      <c r="AB266"/>
    </row>
    <row r="267" spans="1:28" x14ac:dyDescent="0.35">
      <c r="A267" s="299"/>
      <c r="B267" s="515">
        <v>0.75619720624804998</v>
      </c>
      <c r="C267" s="515">
        <v>6.4515415210662994E-2</v>
      </c>
      <c r="D267" s="515">
        <v>1.9186446417675169</v>
      </c>
      <c r="E267" s="515">
        <v>0.22979520892536201</v>
      </c>
      <c r="F267" s="515">
        <v>6.0807444685650001E-3</v>
      </c>
      <c r="G267" s="299"/>
      <c r="H267" s="300">
        <f t="shared" si="38"/>
        <v>0</v>
      </c>
      <c r="I267" s="299"/>
      <c r="J267" s="1"/>
      <c r="K267" s="299"/>
      <c r="L267" s="1"/>
      <c r="M267" s="299"/>
      <c r="N267" s="299"/>
      <c r="O267" s="299"/>
      <c r="P267" s="299"/>
      <c r="Q267" s="298"/>
      <c r="R267" s="300">
        <f t="shared" si="39"/>
        <v>0</v>
      </c>
      <c r="S267" s="300">
        <f t="shared" si="40"/>
        <v>0</v>
      </c>
      <c r="T267" s="300">
        <f t="shared" si="41"/>
        <v>0</v>
      </c>
      <c r="U267" s="300">
        <f t="shared" si="42"/>
        <v>0</v>
      </c>
      <c r="V267" s="300">
        <f t="shared" si="43"/>
        <v>0</v>
      </c>
      <c r="W267" s="300">
        <f t="shared" si="44"/>
        <v>0</v>
      </c>
      <c r="X267" s="300">
        <f t="shared" si="45"/>
        <v>0</v>
      </c>
      <c r="Y267" s="300">
        <f t="shared" si="46"/>
        <v>0</v>
      </c>
      <c r="Z267"/>
      <c r="AA267"/>
      <c r="AB267"/>
    </row>
    <row r="268" spans="1:28" x14ac:dyDescent="0.35">
      <c r="A268" s="299"/>
      <c r="B268" s="515">
        <v>4.4536901535971918</v>
      </c>
      <c r="C268" s="515">
        <v>9.5927889129675994E-2</v>
      </c>
      <c r="D268" s="515">
        <v>1.3866820103023141</v>
      </c>
      <c r="E268" s="515">
        <v>6.5724702999999996E-8</v>
      </c>
      <c r="F268" s="515">
        <v>6.2343889713572E-2</v>
      </c>
      <c r="G268" s="299"/>
      <c r="H268" s="300">
        <f t="shared" si="38"/>
        <v>0</v>
      </c>
      <c r="I268" s="299"/>
      <c r="J268" s="1"/>
      <c r="K268" s="299"/>
      <c r="L268" s="1"/>
      <c r="M268" s="299"/>
      <c r="N268" s="299"/>
      <c r="O268" s="299"/>
      <c r="P268" s="299"/>
      <c r="Q268" s="298"/>
      <c r="R268" s="300">
        <f t="shared" si="39"/>
        <v>0</v>
      </c>
      <c r="S268" s="300">
        <f t="shared" si="40"/>
        <v>0</v>
      </c>
      <c r="T268" s="300">
        <f t="shared" si="41"/>
        <v>0</v>
      </c>
      <c r="U268" s="300">
        <f t="shared" si="42"/>
        <v>0</v>
      </c>
      <c r="V268" s="300">
        <f t="shared" si="43"/>
        <v>0</v>
      </c>
      <c r="W268" s="300">
        <f t="shared" si="44"/>
        <v>0</v>
      </c>
      <c r="X268" s="300">
        <f t="shared" si="45"/>
        <v>0</v>
      </c>
      <c r="Y268" s="300">
        <f t="shared" si="46"/>
        <v>0</v>
      </c>
      <c r="Z268"/>
      <c r="AA268"/>
      <c r="AB268"/>
    </row>
    <row r="269" spans="1:28" x14ac:dyDescent="0.35">
      <c r="A269" s="299"/>
      <c r="B269" s="515">
        <v>7.5186066741124806</v>
      </c>
      <c r="C269" s="515">
        <v>8.6778295712842998E-2</v>
      </c>
      <c r="D269" s="515">
        <v>1.3254442408929761</v>
      </c>
      <c r="E269" s="515">
        <v>6.2027656459322997E-2</v>
      </c>
      <c r="F269" s="515">
        <v>6.5391355086111005E-2</v>
      </c>
      <c r="G269" s="299"/>
      <c r="H269" s="300">
        <f t="shared" si="38"/>
        <v>0</v>
      </c>
      <c r="I269" s="299"/>
      <c r="J269" s="1"/>
      <c r="K269" s="299"/>
      <c r="L269" s="1"/>
      <c r="M269" s="299"/>
      <c r="N269" s="299"/>
      <c r="O269" s="299"/>
      <c r="P269" s="299"/>
      <c r="Q269" s="298"/>
      <c r="R269" s="300">
        <f t="shared" si="39"/>
        <v>0</v>
      </c>
      <c r="S269" s="300">
        <f t="shared" si="40"/>
        <v>0</v>
      </c>
      <c r="T269" s="300">
        <f t="shared" si="41"/>
        <v>0</v>
      </c>
      <c r="U269" s="300">
        <f t="shared" si="42"/>
        <v>0</v>
      </c>
      <c r="V269" s="300">
        <f t="shared" si="43"/>
        <v>0</v>
      </c>
      <c r="W269" s="300">
        <f t="shared" si="44"/>
        <v>0</v>
      </c>
      <c r="X269" s="300">
        <f t="shared" si="45"/>
        <v>0</v>
      </c>
      <c r="Y269" s="300">
        <f t="shared" si="46"/>
        <v>0</v>
      </c>
      <c r="Z269"/>
      <c r="AA269"/>
      <c r="AB269"/>
    </row>
    <row r="270" spans="1:28" x14ac:dyDescent="0.35">
      <c r="A270" s="299"/>
      <c r="B270" s="515">
        <v>14.391570224269991</v>
      </c>
      <c r="C270" s="515">
        <v>-0.93266158750942696</v>
      </c>
      <c r="D270" s="515">
        <v>1.673117993734933</v>
      </c>
      <c r="E270" s="515">
        <v>0.22091291646226399</v>
      </c>
      <c r="F270" s="515">
        <v>7.4881792535805E-2</v>
      </c>
      <c r="G270" s="299"/>
      <c r="H270" s="300">
        <f t="shared" si="38"/>
        <v>0</v>
      </c>
      <c r="I270" s="299"/>
      <c r="J270" s="1"/>
      <c r="K270" s="299"/>
      <c r="L270" s="1"/>
      <c r="M270" s="299"/>
      <c r="N270" s="299"/>
      <c r="O270" s="299"/>
      <c r="P270" s="299"/>
      <c r="Q270" s="298"/>
      <c r="R270" s="300">
        <f t="shared" si="39"/>
        <v>0</v>
      </c>
      <c r="S270" s="300">
        <f t="shared" si="40"/>
        <v>0</v>
      </c>
      <c r="T270" s="300">
        <f t="shared" si="41"/>
        <v>0</v>
      </c>
      <c r="U270" s="300">
        <f t="shared" si="42"/>
        <v>0</v>
      </c>
      <c r="V270" s="300">
        <f t="shared" si="43"/>
        <v>0</v>
      </c>
      <c r="W270" s="300">
        <f t="shared" si="44"/>
        <v>0</v>
      </c>
      <c r="X270" s="300">
        <f t="shared" si="45"/>
        <v>0</v>
      </c>
      <c r="Y270" s="300">
        <f t="shared" si="46"/>
        <v>0</v>
      </c>
      <c r="Z270"/>
      <c r="AA270"/>
      <c r="AB270"/>
    </row>
    <row r="271" spans="1:28" x14ac:dyDescent="0.35">
      <c r="A271" s="299"/>
      <c r="B271" s="515">
        <v>3.020964074799187</v>
      </c>
      <c r="C271" s="515">
        <v>4.6766091921737002E-2</v>
      </c>
      <c r="D271" s="515">
        <v>1.759153795501039</v>
      </c>
      <c r="E271" s="515">
        <v>0.227393494771747</v>
      </c>
      <c r="F271" s="515">
        <v>1.7907203753970001E-2</v>
      </c>
      <c r="G271" s="299"/>
      <c r="H271" s="300">
        <f t="shared" si="38"/>
        <v>0</v>
      </c>
      <c r="I271" s="299"/>
      <c r="J271" s="1"/>
      <c r="K271" s="299"/>
      <c r="L271" s="1"/>
      <c r="M271" s="299"/>
      <c r="N271" s="299"/>
      <c r="O271" s="299"/>
      <c r="P271" s="299"/>
      <c r="Q271" s="298"/>
      <c r="R271" s="300">
        <f t="shared" si="39"/>
        <v>0</v>
      </c>
      <c r="S271" s="300">
        <f t="shared" si="40"/>
        <v>0</v>
      </c>
      <c r="T271" s="300">
        <f t="shared" si="41"/>
        <v>0</v>
      </c>
      <c r="U271" s="300">
        <f t="shared" si="42"/>
        <v>0</v>
      </c>
      <c r="V271" s="300">
        <f t="shared" si="43"/>
        <v>0</v>
      </c>
      <c r="W271" s="300">
        <f t="shared" si="44"/>
        <v>0</v>
      </c>
      <c r="X271" s="300">
        <f t="shared" si="45"/>
        <v>0</v>
      </c>
      <c r="Y271" s="300">
        <f t="shared" si="46"/>
        <v>0</v>
      </c>
      <c r="Z271"/>
      <c r="AA271"/>
      <c r="AB271"/>
    </row>
    <row r="272" spans="1:28" x14ac:dyDescent="0.35">
      <c r="A272" s="299"/>
      <c r="B272" s="515">
        <v>6.3778303300000003E-7</v>
      </c>
      <c r="C272" s="515">
        <v>-9.2886590315540002E-3</v>
      </c>
      <c r="D272" s="515">
        <v>7.0007751308050004E-3</v>
      </c>
      <c r="E272" s="515">
        <v>1.4567750100000001E-7</v>
      </c>
      <c r="F272" s="515">
        <v>6.9125610636062998E-2</v>
      </c>
      <c r="G272" s="299"/>
      <c r="H272" s="300">
        <f t="shared" si="38"/>
        <v>0</v>
      </c>
      <c r="I272" s="299"/>
      <c r="J272" s="1"/>
      <c r="K272" s="299"/>
      <c r="L272" s="1"/>
      <c r="M272" s="299"/>
      <c r="N272" s="299"/>
      <c r="O272" s="299"/>
      <c r="P272" s="299"/>
      <c r="Q272" s="298"/>
      <c r="R272" s="300">
        <f t="shared" si="39"/>
        <v>0</v>
      </c>
      <c r="S272" s="300">
        <f t="shared" si="40"/>
        <v>0</v>
      </c>
      <c r="T272" s="300">
        <f t="shared" si="41"/>
        <v>0</v>
      </c>
      <c r="U272" s="300">
        <f t="shared" si="42"/>
        <v>0</v>
      </c>
      <c r="V272" s="300">
        <f t="shared" si="43"/>
        <v>0</v>
      </c>
      <c r="W272" s="300">
        <f t="shared" si="44"/>
        <v>0</v>
      </c>
      <c r="X272" s="300">
        <f t="shared" si="45"/>
        <v>0</v>
      </c>
      <c r="Y272" s="300">
        <f t="shared" si="46"/>
        <v>0</v>
      </c>
      <c r="Z272"/>
      <c r="AA272"/>
      <c r="AB272"/>
    </row>
    <row r="273" spans="1:28" x14ac:dyDescent="0.35">
      <c r="A273" s="299"/>
      <c r="B273" s="515">
        <v>3.008675770019571</v>
      </c>
      <c r="C273" s="515">
        <v>-2.4769036671770002E-3</v>
      </c>
      <c r="D273" s="515">
        <v>0.73504590643652301</v>
      </c>
      <c r="E273" s="515">
        <v>2.6616625253799998E-4</v>
      </c>
      <c r="F273" s="515">
        <v>6.7675173699811006E-2</v>
      </c>
      <c r="G273" s="299"/>
      <c r="H273" s="300">
        <f t="shared" si="38"/>
        <v>0</v>
      </c>
      <c r="I273" s="299"/>
      <c r="J273" s="1"/>
      <c r="K273" s="299"/>
      <c r="L273" s="1"/>
      <c r="M273" s="299"/>
      <c r="N273" s="299"/>
      <c r="O273" s="299"/>
      <c r="P273" s="299"/>
      <c r="Q273" s="298"/>
      <c r="R273" s="300">
        <f t="shared" si="39"/>
        <v>0</v>
      </c>
      <c r="S273" s="300">
        <f t="shared" si="40"/>
        <v>0</v>
      </c>
      <c r="T273" s="300">
        <f t="shared" si="41"/>
        <v>0</v>
      </c>
      <c r="U273" s="300">
        <f t="shared" si="42"/>
        <v>0</v>
      </c>
      <c r="V273" s="300">
        <f t="shared" si="43"/>
        <v>0</v>
      </c>
      <c r="W273" s="300">
        <f t="shared" si="44"/>
        <v>0</v>
      </c>
      <c r="X273" s="300">
        <f t="shared" si="45"/>
        <v>0</v>
      </c>
      <c r="Y273" s="300">
        <f t="shared" si="46"/>
        <v>0</v>
      </c>
      <c r="Z273"/>
      <c r="AA273"/>
      <c r="AB273"/>
    </row>
    <row r="274" spans="1:28" x14ac:dyDescent="0.35">
      <c r="A274" s="299"/>
      <c r="B274" s="515">
        <v>0.68342169860147695</v>
      </c>
      <c r="C274" s="515">
        <v>6.2053034436372001E-2</v>
      </c>
      <c r="D274" s="515">
        <v>2.030545017658667</v>
      </c>
      <c r="E274" s="515">
        <v>0.22836380983052601</v>
      </c>
      <c r="F274" s="515">
        <v>4.1406109074979998E-3</v>
      </c>
      <c r="G274" s="299"/>
      <c r="H274" s="300">
        <f t="shared" si="38"/>
        <v>0</v>
      </c>
      <c r="I274" s="299"/>
      <c r="J274" s="1"/>
      <c r="K274" s="299"/>
      <c r="L274" s="1"/>
      <c r="M274" s="299"/>
      <c r="N274" s="299"/>
      <c r="O274" s="299"/>
      <c r="P274" s="299"/>
      <c r="Q274" s="298"/>
      <c r="R274" s="300">
        <f t="shared" si="39"/>
        <v>0</v>
      </c>
      <c r="S274" s="300">
        <f t="shared" si="40"/>
        <v>0</v>
      </c>
      <c r="T274" s="300">
        <f t="shared" si="41"/>
        <v>0</v>
      </c>
      <c r="U274" s="300">
        <f t="shared" si="42"/>
        <v>0</v>
      </c>
      <c r="V274" s="300">
        <f t="shared" si="43"/>
        <v>0</v>
      </c>
      <c r="W274" s="300">
        <f t="shared" si="44"/>
        <v>0</v>
      </c>
      <c r="X274" s="300">
        <f t="shared" si="45"/>
        <v>0</v>
      </c>
      <c r="Y274" s="300">
        <f t="shared" si="46"/>
        <v>0</v>
      </c>
      <c r="Z274"/>
      <c r="AA274"/>
      <c r="AB274"/>
    </row>
    <row r="275" spans="1:28" x14ac:dyDescent="0.35">
      <c r="A275" s="299"/>
      <c r="B275" s="515">
        <v>9.5531826349937692</v>
      </c>
      <c r="C275" s="515">
        <v>0.13263206234535599</v>
      </c>
      <c r="D275" s="515">
        <v>1.15773054241442</v>
      </c>
      <c r="E275" s="515">
        <v>4.1142861730000003E-6</v>
      </c>
      <c r="F275" s="515">
        <v>7.5915749752847997E-2</v>
      </c>
      <c r="G275" s="299"/>
      <c r="H275" s="300">
        <f t="shared" si="38"/>
        <v>0</v>
      </c>
      <c r="I275" s="299"/>
      <c r="J275" s="1"/>
      <c r="K275" s="299"/>
      <c r="L275" s="1"/>
      <c r="M275" s="299"/>
      <c r="N275" s="299"/>
      <c r="O275" s="299"/>
      <c r="P275" s="299"/>
      <c r="Q275" s="298"/>
      <c r="R275" s="300">
        <f t="shared" si="39"/>
        <v>0</v>
      </c>
      <c r="S275" s="300">
        <f t="shared" si="40"/>
        <v>0</v>
      </c>
      <c r="T275" s="300">
        <f t="shared" si="41"/>
        <v>0</v>
      </c>
      <c r="U275" s="300">
        <f t="shared" si="42"/>
        <v>0</v>
      </c>
      <c r="V275" s="300">
        <f t="shared" si="43"/>
        <v>0</v>
      </c>
      <c r="W275" s="300">
        <f t="shared" si="44"/>
        <v>0</v>
      </c>
      <c r="X275" s="300">
        <f t="shared" si="45"/>
        <v>0</v>
      </c>
      <c r="Y275" s="300">
        <f t="shared" si="46"/>
        <v>0</v>
      </c>
      <c r="Z275"/>
      <c r="AA275"/>
      <c r="AB275"/>
    </row>
    <row r="276" spans="1:28" x14ac:dyDescent="0.35">
      <c r="A276" s="299"/>
      <c r="B276" s="515">
        <v>4.7574845158118002E-2</v>
      </c>
      <c r="C276" s="515">
        <v>-1.480767085435448</v>
      </c>
      <c r="D276" s="515">
        <v>1.341611949925658</v>
      </c>
      <c r="E276" s="515">
        <v>0.159041112191593</v>
      </c>
      <c r="F276" s="515">
        <v>4.3590288007755003E-2</v>
      </c>
      <c r="G276" s="299"/>
      <c r="H276" s="300">
        <f t="shared" si="38"/>
        <v>0</v>
      </c>
      <c r="I276" s="299"/>
      <c r="J276" s="1"/>
      <c r="K276" s="299"/>
      <c r="L276" s="1"/>
      <c r="M276" s="299"/>
      <c r="N276" s="299"/>
      <c r="O276" s="299"/>
      <c r="P276" s="299"/>
      <c r="Q276" s="298"/>
      <c r="R276" s="300">
        <f t="shared" si="39"/>
        <v>0</v>
      </c>
      <c r="S276" s="300">
        <f t="shared" si="40"/>
        <v>0</v>
      </c>
      <c r="T276" s="300">
        <f t="shared" si="41"/>
        <v>0</v>
      </c>
      <c r="U276" s="300">
        <f t="shared" si="42"/>
        <v>0</v>
      </c>
      <c r="V276" s="300">
        <f t="shared" si="43"/>
        <v>0</v>
      </c>
      <c r="W276" s="300">
        <f t="shared" si="44"/>
        <v>0</v>
      </c>
      <c r="X276" s="300">
        <f t="shared" si="45"/>
        <v>0</v>
      </c>
      <c r="Y276" s="300">
        <f t="shared" si="46"/>
        <v>0</v>
      </c>
      <c r="Z276"/>
      <c r="AA276"/>
      <c r="AB276"/>
    </row>
    <row r="277" spans="1:28" x14ac:dyDescent="0.35">
      <c r="A277" s="299"/>
      <c r="B277" s="515">
        <v>8.3289567457589999E-3</v>
      </c>
      <c r="C277" s="515">
        <v>2.8524898438249999E-2</v>
      </c>
      <c r="D277" s="515">
        <v>1.9814513771579561</v>
      </c>
      <c r="E277" s="515">
        <v>0.22442723337624601</v>
      </c>
      <c r="F277" s="515">
        <v>5.1678047900010002E-3</v>
      </c>
      <c r="G277" s="299"/>
      <c r="H277" s="300">
        <f t="shared" si="38"/>
        <v>0</v>
      </c>
      <c r="I277" s="299"/>
      <c r="J277" s="1"/>
      <c r="K277" s="299"/>
      <c r="L277" s="1"/>
      <c r="M277" s="299"/>
      <c r="N277" s="299"/>
      <c r="O277" s="299"/>
      <c r="P277" s="299"/>
      <c r="Q277" s="298"/>
      <c r="R277" s="300">
        <f t="shared" si="39"/>
        <v>0</v>
      </c>
      <c r="S277" s="300">
        <f t="shared" si="40"/>
        <v>0</v>
      </c>
      <c r="T277" s="300">
        <f t="shared" si="41"/>
        <v>0</v>
      </c>
      <c r="U277" s="300">
        <f t="shared" si="42"/>
        <v>0</v>
      </c>
      <c r="V277" s="300">
        <f t="shared" si="43"/>
        <v>0</v>
      </c>
      <c r="W277" s="300">
        <f t="shared" si="44"/>
        <v>0</v>
      </c>
      <c r="X277" s="300">
        <f t="shared" si="45"/>
        <v>0</v>
      </c>
      <c r="Y277" s="300">
        <f t="shared" si="46"/>
        <v>0</v>
      </c>
      <c r="Z277"/>
      <c r="AA277"/>
      <c r="AB277"/>
    </row>
    <row r="278" spans="1:28" x14ac:dyDescent="0.35">
      <c r="A278" s="299"/>
      <c r="B278" s="515">
        <v>9.4803661864155977</v>
      </c>
      <c r="C278" s="515">
        <v>0.14890490148781399</v>
      </c>
      <c r="D278" s="515">
        <v>1.281774900051647</v>
      </c>
      <c r="E278" s="515">
        <v>3.7342041689700001E-4</v>
      </c>
      <c r="F278" s="515">
        <v>7.4080554288061998E-2</v>
      </c>
      <c r="G278" s="299"/>
      <c r="H278" s="300">
        <f t="shared" si="38"/>
        <v>0</v>
      </c>
      <c r="I278" s="299"/>
      <c r="J278" s="1"/>
      <c r="K278" s="299"/>
      <c r="L278" s="1"/>
      <c r="M278" s="299"/>
      <c r="N278" s="299"/>
      <c r="O278" s="299"/>
      <c r="P278" s="299"/>
      <c r="Q278" s="298"/>
      <c r="R278" s="300">
        <f t="shared" si="39"/>
        <v>0</v>
      </c>
      <c r="S278" s="300">
        <f t="shared" si="40"/>
        <v>0</v>
      </c>
      <c r="T278" s="300">
        <f t="shared" si="41"/>
        <v>0</v>
      </c>
      <c r="U278" s="300">
        <f t="shared" si="42"/>
        <v>0</v>
      </c>
      <c r="V278" s="300">
        <f t="shared" si="43"/>
        <v>0</v>
      </c>
      <c r="W278" s="300">
        <f t="shared" si="44"/>
        <v>0</v>
      </c>
      <c r="X278" s="300">
        <f t="shared" si="45"/>
        <v>0</v>
      </c>
      <c r="Y278" s="300">
        <f t="shared" si="46"/>
        <v>0</v>
      </c>
      <c r="Z278"/>
      <c r="AA278"/>
      <c r="AB278"/>
    </row>
    <row r="279" spans="1:28" x14ac:dyDescent="0.35">
      <c r="A279" s="299"/>
      <c r="B279" s="515">
        <v>3.20583219712011</v>
      </c>
      <c r="C279" s="515">
        <v>0.13128422396728001</v>
      </c>
      <c r="D279" s="515">
        <v>1.209964057430694</v>
      </c>
      <c r="E279" s="515">
        <v>9.4587891908875996E-2</v>
      </c>
      <c r="F279" s="515">
        <v>4.4769083049825999E-2</v>
      </c>
      <c r="G279" s="299"/>
      <c r="H279" s="300">
        <f t="shared" si="38"/>
        <v>0</v>
      </c>
      <c r="I279" s="299"/>
      <c r="J279" s="1"/>
      <c r="K279" s="299"/>
      <c r="L279" s="1"/>
      <c r="M279" s="299"/>
      <c r="N279" s="299"/>
      <c r="O279" s="299"/>
      <c r="P279" s="299"/>
      <c r="Q279" s="298"/>
      <c r="R279" s="300">
        <f t="shared" si="39"/>
        <v>0</v>
      </c>
      <c r="S279" s="300">
        <f t="shared" si="40"/>
        <v>0</v>
      </c>
      <c r="T279" s="300">
        <f t="shared" si="41"/>
        <v>0</v>
      </c>
      <c r="U279" s="300">
        <f t="shared" si="42"/>
        <v>0</v>
      </c>
      <c r="V279" s="300">
        <f t="shared" si="43"/>
        <v>0</v>
      </c>
      <c r="W279" s="300">
        <f t="shared" si="44"/>
        <v>0</v>
      </c>
      <c r="X279" s="300">
        <f t="shared" si="45"/>
        <v>0</v>
      </c>
      <c r="Y279" s="300">
        <f t="shared" si="46"/>
        <v>0</v>
      </c>
      <c r="Z279"/>
      <c r="AA279"/>
      <c r="AB279"/>
    </row>
    <row r="280" spans="1:28" x14ac:dyDescent="0.35">
      <c r="A280" s="299"/>
      <c r="B280" s="515">
        <v>10.87403162198172</v>
      </c>
      <c r="C280" s="515">
        <v>0.16712727551036199</v>
      </c>
      <c r="D280" s="515">
        <v>1.345945867377617</v>
      </c>
      <c r="E280" s="515">
        <v>4.0272276677899999E-4</v>
      </c>
      <c r="F280" s="515">
        <v>7.6115118560111994E-2</v>
      </c>
      <c r="G280" s="299"/>
      <c r="H280" s="300">
        <f t="shared" si="38"/>
        <v>0</v>
      </c>
      <c r="I280" s="299"/>
      <c r="J280" s="1"/>
      <c r="K280" s="299"/>
      <c r="L280" s="1"/>
      <c r="M280" s="299"/>
      <c r="N280" s="299"/>
      <c r="O280" s="299"/>
      <c r="P280" s="299"/>
      <c r="Q280" s="298"/>
      <c r="R280" s="300">
        <f t="shared" si="39"/>
        <v>0</v>
      </c>
      <c r="S280" s="300">
        <f t="shared" si="40"/>
        <v>0</v>
      </c>
      <c r="T280" s="300">
        <f t="shared" si="41"/>
        <v>0</v>
      </c>
      <c r="U280" s="300">
        <f t="shared" si="42"/>
        <v>0</v>
      </c>
      <c r="V280" s="300">
        <f t="shared" si="43"/>
        <v>0</v>
      </c>
      <c r="W280" s="300">
        <f t="shared" si="44"/>
        <v>0</v>
      </c>
      <c r="X280" s="300">
        <f t="shared" si="45"/>
        <v>0</v>
      </c>
      <c r="Y280" s="300">
        <f t="shared" si="46"/>
        <v>0</v>
      </c>
      <c r="Z280"/>
      <c r="AA280"/>
      <c r="AB280"/>
    </row>
    <row r="281" spans="1:28" x14ac:dyDescent="0.35">
      <c r="A281" s="299"/>
      <c r="B281" s="515">
        <v>6.8592444545893816</v>
      </c>
      <c r="C281" s="515">
        <v>9.3767861070132005E-2</v>
      </c>
      <c r="D281" s="515">
        <v>1.847029539185032</v>
      </c>
      <c r="E281" s="515">
        <v>0.18654806255283801</v>
      </c>
      <c r="F281" s="515">
        <v>3.4442462140702998E-2</v>
      </c>
      <c r="G281" s="299"/>
      <c r="H281" s="300">
        <f t="shared" si="38"/>
        <v>0</v>
      </c>
      <c r="I281" s="299"/>
      <c r="J281" s="1"/>
      <c r="K281" s="299"/>
      <c r="L281" s="1"/>
      <c r="M281" s="299"/>
      <c r="N281" s="299"/>
      <c r="O281" s="299"/>
      <c r="P281" s="299"/>
      <c r="Q281" s="298"/>
      <c r="R281" s="300">
        <f t="shared" si="39"/>
        <v>0</v>
      </c>
      <c r="S281" s="300">
        <f t="shared" si="40"/>
        <v>0</v>
      </c>
      <c r="T281" s="300">
        <f t="shared" si="41"/>
        <v>0</v>
      </c>
      <c r="U281" s="300">
        <f t="shared" si="42"/>
        <v>0</v>
      </c>
      <c r="V281" s="300">
        <f t="shared" si="43"/>
        <v>0</v>
      </c>
      <c r="W281" s="300">
        <f t="shared" si="44"/>
        <v>0</v>
      </c>
      <c r="X281" s="300">
        <f t="shared" si="45"/>
        <v>0</v>
      </c>
      <c r="Y281" s="300">
        <f t="shared" si="46"/>
        <v>0</v>
      </c>
      <c r="Z281"/>
      <c r="AA281"/>
      <c r="AB281"/>
    </row>
    <row r="282" spans="1:28" x14ac:dyDescent="0.35">
      <c r="A282" s="299"/>
      <c r="B282" s="515">
        <v>3.5508291928840001E-3</v>
      </c>
      <c r="C282" s="515">
        <v>5.0336803281769003E-2</v>
      </c>
      <c r="D282" s="515">
        <v>1.787219502615484</v>
      </c>
      <c r="E282" s="515">
        <v>0.21842519761666601</v>
      </c>
      <c r="F282" s="515">
        <v>7.23673394889E-3</v>
      </c>
      <c r="G282" s="299"/>
      <c r="H282" s="300">
        <f t="shared" si="38"/>
        <v>0</v>
      </c>
      <c r="I282" s="299"/>
      <c r="J282" s="1"/>
      <c r="K282" s="299"/>
      <c r="L282" s="1"/>
      <c r="M282" s="299"/>
      <c r="N282" s="299"/>
      <c r="O282" s="299"/>
      <c r="P282" s="299"/>
      <c r="Q282" s="298"/>
      <c r="R282" s="300">
        <f t="shared" si="39"/>
        <v>0</v>
      </c>
      <c r="S282" s="300">
        <f t="shared" si="40"/>
        <v>0</v>
      </c>
      <c r="T282" s="300">
        <f t="shared" si="41"/>
        <v>0</v>
      </c>
      <c r="U282" s="300">
        <f t="shared" si="42"/>
        <v>0</v>
      </c>
      <c r="V282" s="300">
        <f t="shared" si="43"/>
        <v>0</v>
      </c>
      <c r="W282" s="300">
        <f t="shared" si="44"/>
        <v>0</v>
      </c>
      <c r="X282" s="300">
        <f t="shared" si="45"/>
        <v>0</v>
      </c>
      <c r="Y282" s="300">
        <f t="shared" si="46"/>
        <v>0</v>
      </c>
      <c r="Z282"/>
      <c r="AA282"/>
      <c r="AB282"/>
    </row>
    <row r="283" spans="1:28" x14ac:dyDescent="0.35">
      <c r="A283" s="299"/>
      <c r="B283" s="515">
        <v>7.2436179176394E-2</v>
      </c>
      <c r="C283" s="515">
        <v>-0.60507073362751096</v>
      </c>
      <c r="D283" s="515">
        <v>1.641864447438754</v>
      </c>
      <c r="E283" s="515">
        <v>1.0756081945971E-2</v>
      </c>
      <c r="F283" s="515">
        <v>5.2522900655938003E-2</v>
      </c>
      <c r="G283" s="299"/>
      <c r="H283" s="300">
        <f t="shared" si="38"/>
        <v>0</v>
      </c>
      <c r="I283" s="299"/>
      <c r="J283" s="1"/>
      <c r="K283" s="299"/>
      <c r="L283" s="1"/>
      <c r="M283" s="299"/>
      <c r="N283" s="299"/>
      <c r="O283" s="299"/>
      <c r="P283" s="299"/>
      <c r="Q283" s="298"/>
      <c r="R283" s="300">
        <f t="shared" si="39"/>
        <v>0</v>
      </c>
      <c r="S283" s="300">
        <f t="shared" si="40"/>
        <v>0</v>
      </c>
      <c r="T283" s="300">
        <f t="shared" si="41"/>
        <v>0</v>
      </c>
      <c r="U283" s="300">
        <f t="shared" si="42"/>
        <v>0</v>
      </c>
      <c r="V283" s="300">
        <f t="shared" si="43"/>
        <v>0</v>
      </c>
      <c r="W283" s="300">
        <f t="shared" si="44"/>
        <v>0</v>
      </c>
      <c r="X283" s="300">
        <f t="shared" si="45"/>
        <v>0</v>
      </c>
      <c r="Y283" s="300">
        <f t="shared" si="46"/>
        <v>0</v>
      </c>
      <c r="Z283"/>
      <c r="AA283"/>
      <c r="AB283"/>
    </row>
    <row r="284" spans="1:28" x14ac:dyDescent="0.35">
      <c r="A284" s="299"/>
      <c r="B284" s="515">
        <v>2.7489918316038882</v>
      </c>
      <c r="C284" s="515">
        <v>7.4455737223295002E-2</v>
      </c>
      <c r="D284" s="515">
        <v>2.0004218168426702</v>
      </c>
      <c r="E284" s="515">
        <v>0.250292756652434</v>
      </c>
      <c r="F284" s="515">
        <v>7.2653170640650001E-3</v>
      </c>
      <c r="G284" s="299"/>
      <c r="H284" s="300">
        <f t="shared" si="38"/>
        <v>0</v>
      </c>
      <c r="I284" s="299"/>
      <c r="J284" s="1"/>
      <c r="K284" s="299"/>
      <c r="L284" s="1"/>
      <c r="M284" s="299"/>
      <c r="N284" s="299"/>
      <c r="O284" s="299"/>
      <c r="P284" s="299"/>
      <c r="Q284" s="298"/>
      <c r="R284" s="300">
        <f t="shared" si="39"/>
        <v>0</v>
      </c>
      <c r="S284" s="300">
        <f t="shared" si="40"/>
        <v>0</v>
      </c>
      <c r="T284" s="300">
        <f t="shared" si="41"/>
        <v>0</v>
      </c>
      <c r="U284" s="300">
        <f t="shared" si="42"/>
        <v>0</v>
      </c>
      <c r="V284" s="300">
        <f t="shared" si="43"/>
        <v>0</v>
      </c>
      <c r="W284" s="300">
        <f t="shared" si="44"/>
        <v>0</v>
      </c>
      <c r="X284" s="300">
        <f t="shared" si="45"/>
        <v>0</v>
      </c>
      <c r="Y284" s="300">
        <f t="shared" si="46"/>
        <v>0</v>
      </c>
      <c r="Z284"/>
      <c r="AA284"/>
      <c r="AB284"/>
    </row>
    <row r="285" spans="1:28" x14ac:dyDescent="0.35">
      <c r="A285" s="299"/>
      <c r="B285" s="515">
        <v>8.9016934793373519</v>
      </c>
      <c r="C285" s="515">
        <v>-1.288549671384438</v>
      </c>
      <c r="D285" s="515">
        <v>3.330997909548095</v>
      </c>
      <c r="E285" s="515">
        <v>1.57022113E-7</v>
      </c>
      <c r="F285" s="515">
        <v>5.2900280980383997E-2</v>
      </c>
      <c r="G285" s="299"/>
      <c r="H285" s="300">
        <f t="shared" si="38"/>
        <v>0</v>
      </c>
      <c r="I285" s="299"/>
      <c r="J285" s="1"/>
      <c r="K285" s="299"/>
      <c r="L285" s="1"/>
      <c r="M285" s="299"/>
      <c r="N285" s="299"/>
      <c r="O285" s="299"/>
      <c r="P285" s="299"/>
      <c r="Q285" s="298"/>
      <c r="R285" s="300">
        <f t="shared" si="39"/>
        <v>0</v>
      </c>
      <c r="S285" s="300">
        <f t="shared" si="40"/>
        <v>0</v>
      </c>
      <c r="T285" s="300">
        <f t="shared" si="41"/>
        <v>0</v>
      </c>
      <c r="U285" s="300">
        <f t="shared" si="42"/>
        <v>0</v>
      </c>
      <c r="V285" s="300">
        <f t="shared" si="43"/>
        <v>0</v>
      </c>
      <c r="W285" s="300">
        <f t="shared" si="44"/>
        <v>0</v>
      </c>
      <c r="X285" s="300">
        <f t="shared" si="45"/>
        <v>0</v>
      </c>
      <c r="Y285" s="300">
        <f t="shared" si="46"/>
        <v>0</v>
      </c>
      <c r="Z285"/>
      <c r="AA285"/>
      <c r="AB285"/>
    </row>
    <row r="286" spans="1:28" x14ac:dyDescent="0.35">
      <c r="A286" s="299"/>
      <c r="B286" s="515">
        <v>0.19502792023865601</v>
      </c>
      <c r="C286" s="515">
        <v>-4.0906460550999999E-4</v>
      </c>
      <c r="D286" s="515">
        <v>1.6827226204328E-2</v>
      </c>
      <c r="E286" s="515">
        <v>1.4099163777755001E-2</v>
      </c>
      <c r="F286" s="515">
        <v>6.8070114199355006E-2</v>
      </c>
      <c r="G286" s="299"/>
      <c r="H286" s="300">
        <f t="shared" si="38"/>
        <v>0</v>
      </c>
      <c r="I286" s="299"/>
      <c r="J286" s="1"/>
      <c r="K286" s="299"/>
      <c r="L286" s="1"/>
      <c r="M286" s="299"/>
      <c r="N286" s="299"/>
      <c r="O286" s="299"/>
      <c r="P286" s="299"/>
      <c r="Q286" s="298"/>
      <c r="R286" s="300">
        <f t="shared" si="39"/>
        <v>0</v>
      </c>
      <c r="S286" s="300">
        <f t="shared" si="40"/>
        <v>0</v>
      </c>
      <c r="T286" s="300">
        <f t="shared" si="41"/>
        <v>0</v>
      </c>
      <c r="U286" s="300">
        <f t="shared" si="42"/>
        <v>0</v>
      </c>
      <c r="V286" s="300">
        <f t="shared" si="43"/>
        <v>0</v>
      </c>
      <c r="W286" s="300">
        <f t="shared" si="44"/>
        <v>0</v>
      </c>
      <c r="X286" s="300">
        <f t="shared" si="45"/>
        <v>0</v>
      </c>
      <c r="Y286" s="300">
        <f t="shared" si="46"/>
        <v>0</v>
      </c>
      <c r="Z286"/>
      <c r="AA286"/>
      <c r="AB286"/>
    </row>
    <row r="287" spans="1:28" x14ac:dyDescent="0.35">
      <c r="A287" s="299"/>
      <c r="B287" s="515">
        <v>5.9275442293899347</v>
      </c>
      <c r="C287" s="515">
        <v>3.6998008245975003E-2</v>
      </c>
      <c r="D287" s="515">
        <v>1.266178115270804</v>
      </c>
      <c r="E287" s="515">
        <v>0.148584275591537</v>
      </c>
      <c r="F287" s="515">
        <v>5.2233674162559002E-2</v>
      </c>
      <c r="G287" s="299"/>
      <c r="H287" s="300">
        <f t="shared" si="38"/>
        <v>0</v>
      </c>
      <c r="I287" s="299"/>
      <c r="J287" s="1"/>
      <c r="K287" s="299"/>
      <c r="L287" s="1"/>
      <c r="M287" s="299"/>
      <c r="N287" s="299"/>
      <c r="O287" s="299"/>
      <c r="P287" s="299"/>
      <c r="Q287" s="298"/>
      <c r="R287" s="300">
        <f t="shared" si="39"/>
        <v>0</v>
      </c>
      <c r="S287" s="300">
        <f t="shared" si="40"/>
        <v>0</v>
      </c>
      <c r="T287" s="300">
        <f t="shared" si="41"/>
        <v>0</v>
      </c>
      <c r="U287" s="300">
        <f t="shared" si="42"/>
        <v>0</v>
      </c>
      <c r="V287" s="300">
        <f t="shared" si="43"/>
        <v>0</v>
      </c>
      <c r="W287" s="300">
        <f t="shared" si="44"/>
        <v>0</v>
      </c>
      <c r="X287" s="300">
        <f t="shared" si="45"/>
        <v>0</v>
      </c>
      <c r="Y287" s="300">
        <f t="shared" si="46"/>
        <v>0</v>
      </c>
      <c r="Z287"/>
      <c r="AA287"/>
      <c r="AB287"/>
    </row>
    <row r="288" spans="1:28" x14ac:dyDescent="0.35">
      <c r="A288" s="299"/>
      <c r="B288" s="515">
        <v>10.87496376164875</v>
      </c>
      <c r="C288" s="515">
        <v>0.16751408739004001</v>
      </c>
      <c r="D288" s="515">
        <v>1.099611869769626</v>
      </c>
      <c r="E288" s="515">
        <v>4.6297995672134003E-2</v>
      </c>
      <c r="F288" s="515">
        <v>7.7124427131225998E-2</v>
      </c>
      <c r="G288" s="299"/>
      <c r="H288" s="300">
        <f t="shared" si="38"/>
        <v>0</v>
      </c>
      <c r="I288" s="299"/>
      <c r="J288" s="1"/>
      <c r="K288" s="299"/>
      <c r="L288" s="1"/>
      <c r="M288" s="299"/>
      <c r="N288" s="299"/>
      <c r="O288" s="299"/>
      <c r="P288" s="299"/>
      <c r="Q288" s="298"/>
      <c r="R288" s="300">
        <f t="shared" si="39"/>
        <v>0</v>
      </c>
      <c r="S288" s="300">
        <f t="shared" si="40"/>
        <v>0</v>
      </c>
      <c r="T288" s="300">
        <f t="shared" si="41"/>
        <v>0</v>
      </c>
      <c r="U288" s="300">
        <f t="shared" si="42"/>
        <v>0</v>
      </c>
      <c r="V288" s="300">
        <f t="shared" si="43"/>
        <v>0</v>
      </c>
      <c r="W288" s="300">
        <f t="shared" si="44"/>
        <v>0</v>
      </c>
      <c r="X288" s="300">
        <f t="shared" si="45"/>
        <v>0</v>
      </c>
      <c r="Y288" s="300">
        <f t="shared" si="46"/>
        <v>0</v>
      </c>
      <c r="Z288"/>
      <c r="AA288"/>
      <c r="AB288"/>
    </row>
    <row r="289" spans="1:28" x14ac:dyDescent="0.35">
      <c r="A289" s="299"/>
      <c r="B289" s="515">
        <v>11.92290821605296</v>
      </c>
      <c r="C289" s="515">
        <v>-0.69017911923749697</v>
      </c>
      <c r="D289" s="515">
        <v>2.7866331653003278</v>
      </c>
      <c r="E289" s="515">
        <v>3.8315691930199998E-4</v>
      </c>
      <c r="F289" s="515">
        <v>6.3983730175834003E-2</v>
      </c>
      <c r="G289" s="299"/>
      <c r="H289" s="300">
        <f t="shared" si="38"/>
        <v>0</v>
      </c>
      <c r="I289" s="299"/>
      <c r="J289" s="1"/>
      <c r="K289" s="299"/>
      <c r="L289" s="1"/>
      <c r="M289" s="299"/>
      <c r="N289" s="299"/>
      <c r="O289" s="299"/>
      <c r="P289" s="299"/>
      <c r="Q289" s="298"/>
      <c r="R289" s="300">
        <f t="shared" si="39"/>
        <v>0</v>
      </c>
      <c r="S289" s="300">
        <f t="shared" si="40"/>
        <v>0</v>
      </c>
      <c r="T289" s="300">
        <f t="shared" si="41"/>
        <v>0</v>
      </c>
      <c r="U289" s="300">
        <f t="shared" si="42"/>
        <v>0</v>
      </c>
      <c r="V289" s="300">
        <f t="shared" si="43"/>
        <v>0</v>
      </c>
      <c r="W289" s="300">
        <f t="shared" si="44"/>
        <v>0</v>
      </c>
      <c r="X289" s="300">
        <f t="shared" si="45"/>
        <v>0</v>
      </c>
      <c r="Y289" s="300">
        <f t="shared" si="46"/>
        <v>0</v>
      </c>
      <c r="Z289"/>
      <c r="AA289"/>
      <c r="AB289"/>
    </row>
    <row r="290" spans="1:28" x14ac:dyDescent="0.35">
      <c r="A290" s="299"/>
      <c r="B290" s="515">
        <v>2.24881797414E-4</v>
      </c>
      <c r="C290" s="515">
        <v>2.7907362239345999E-2</v>
      </c>
      <c r="D290" s="515">
        <v>1.9818668515742459</v>
      </c>
      <c r="E290" s="515">
        <v>0.224415560080545</v>
      </c>
      <c r="F290" s="515">
        <v>5.1624252099540004E-3</v>
      </c>
      <c r="G290" s="299"/>
      <c r="H290" s="300">
        <f t="shared" si="38"/>
        <v>0</v>
      </c>
      <c r="I290" s="299"/>
      <c r="J290" s="1"/>
      <c r="K290" s="299"/>
      <c r="L290" s="1"/>
      <c r="M290" s="299"/>
      <c r="N290" s="299"/>
      <c r="O290" s="299"/>
      <c r="P290" s="299"/>
      <c r="Q290" s="298"/>
      <c r="R290" s="300">
        <f t="shared" si="39"/>
        <v>0</v>
      </c>
      <c r="S290" s="300">
        <f t="shared" si="40"/>
        <v>0</v>
      </c>
      <c r="T290" s="300">
        <f t="shared" si="41"/>
        <v>0</v>
      </c>
      <c r="U290" s="300">
        <f t="shared" si="42"/>
        <v>0</v>
      </c>
      <c r="V290" s="300">
        <f t="shared" si="43"/>
        <v>0</v>
      </c>
      <c r="W290" s="300">
        <f t="shared" si="44"/>
        <v>0</v>
      </c>
      <c r="X290" s="300">
        <f t="shared" si="45"/>
        <v>0</v>
      </c>
      <c r="Y290" s="300">
        <f t="shared" si="46"/>
        <v>0</v>
      </c>
      <c r="Z290"/>
      <c r="AA290"/>
      <c r="AB290"/>
    </row>
    <row r="291" spans="1:28" x14ac:dyDescent="0.35">
      <c r="A291" s="299"/>
      <c r="B291" s="515">
        <v>1.418860648455623</v>
      </c>
      <c r="C291" s="515">
        <v>5.3154757072225001E-2</v>
      </c>
      <c r="D291" s="515">
        <v>1.781633149800401</v>
      </c>
      <c r="E291" s="515">
        <v>0.17818971595760799</v>
      </c>
      <c r="F291" s="515">
        <v>2.1339129673590002E-2</v>
      </c>
      <c r="G291" s="299"/>
      <c r="H291" s="300">
        <f t="shared" si="38"/>
        <v>0</v>
      </c>
      <c r="I291" s="299"/>
      <c r="J291" s="1"/>
      <c r="K291" s="299"/>
      <c r="L291" s="1"/>
      <c r="M291" s="299"/>
      <c r="N291" s="299"/>
      <c r="O291" s="299"/>
      <c r="P291" s="299"/>
      <c r="Q291" s="298"/>
      <c r="R291" s="300">
        <f t="shared" si="39"/>
        <v>0</v>
      </c>
      <c r="S291" s="300">
        <f t="shared" si="40"/>
        <v>0</v>
      </c>
      <c r="T291" s="300">
        <f t="shared" si="41"/>
        <v>0</v>
      </c>
      <c r="U291" s="300">
        <f t="shared" si="42"/>
        <v>0</v>
      </c>
      <c r="V291" s="300">
        <f t="shared" si="43"/>
        <v>0</v>
      </c>
      <c r="W291" s="300">
        <f t="shared" si="44"/>
        <v>0</v>
      </c>
      <c r="X291" s="300">
        <f t="shared" si="45"/>
        <v>0</v>
      </c>
      <c r="Y291" s="300">
        <f t="shared" si="46"/>
        <v>0</v>
      </c>
      <c r="Z291"/>
      <c r="AA291"/>
      <c r="AB291"/>
    </row>
    <row r="292" spans="1:28" x14ac:dyDescent="0.35">
      <c r="A292" s="299"/>
      <c r="B292" s="515">
        <v>9.0435036500361914</v>
      </c>
      <c r="C292" s="515">
        <v>0.16799998150376999</v>
      </c>
      <c r="D292" s="515">
        <v>0.71501936114276099</v>
      </c>
      <c r="E292" s="515">
        <v>0.108546908558783</v>
      </c>
      <c r="F292" s="515">
        <v>6.8934514353830995E-2</v>
      </c>
      <c r="G292" s="299"/>
      <c r="H292" s="300">
        <f t="shared" si="38"/>
        <v>0</v>
      </c>
      <c r="I292" s="299"/>
      <c r="J292" s="1"/>
      <c r="K292" s="299"/>
      <c r="L292" s="1"/>
      <c r="M292" s="299"/>
      <c r="N292" s="299"/>
      <c r="O292" s="299"/>
      <c r="P292" s="299"/>
      <c r="Q292" s="298"/>
      <c r="R292" s="300">
        <f t="shared" si="39"/>
        <v>0</v>
      </c>
      <c r="S292" s="300">
        <f t="shared" si="40"/>
        <v>0</v>
      </c>
      <c r="T292" s="300">
        <f t="shared" si="41"/>
        <v>0</v>
      </c>
      <c r="U292" s="300">
        <f t="shared" si="42"/>
        <v>0</v>
      </c>
      <c r="V292" s="300">
        <f t="shared" si="43"/>
        <v>0</v>
      </c>
      <c r="W292" s="300">
        <f t="shared" si="44"/>
        <v>0</v>
      </c>
      <c r="X292" s="300">
        <f t="shared" si="45"/>
        <v>0</v>
      </c>
      <c r="Y292" s="300">
        <f t="shared" si="46"/>
        <v>0</v>
      </c>
      <c r="Z292"/>
      <c r="AA292"/>
      <c r="AB292"/>
    </row>
    <row r="293" spans="1:28" x14ac:dyDescent="0.35">
      <c r="A293" s="299"/>
      <c r="B293" s="515">
        <v>1.9356618367999999E-5</v>
      </c>
      <c r="C293" s="515">
        <v>-1.7250328108753279</v>
      </c>
      <c r="D293" s="515">
        <v>0.73661014896116095</v>
      </c>
      <c r="E293" s="515">
        <v>0.12736606697998001</v>
      </c>
      <c r="F293" s="515">
        <v>6.0461000189871002E-2</v>
      </c>
      <c r="G293" s="299"/>
      <c r="H293" s="300">
        <f t="shared" si="38"/>
        <v>0</v>
      </c>
      <c r="I293" s="299"/>
      <c r="J293" s="1"/>
      <c r="K293" s="299"/>
      <c r="L293" s="1"/>
      <c r="M293" s="299"/>
      <c r="N293" s="299"/>
      <c r="O293" s="299"/>
      <c r="P293" s="299"/>
      <c r="Q293" s="298"/>
      <c r="R293" s="300">
        <f t="shared" si="39"/>
        <v>0</v>
      </c>
      <c r="S293" s="300">
        <f t="shared" si="40"/>
        <v>0</v>
      </c>
      <c r="T293" s="300">
        <f t="shared" si="41"/>
        <v>0</v>
      </c>
      <c r="U293" s="300">
        <f t="shared" si="42"/>
        <v>0</v>
      </c>
      <c r="V293" s="300">
        <f t="shared" si="43"/>
        <v>0</v>
      </c>
      <c r="W293" s="300">
        <f t="shared" si="44"/>
        <v>0</v>
      </c>
      <c r="X293" s="300">
        <f t="shared" si="45"/>
        <v>0</v>
      </c>
      <c r="Y293" s="300">
        <f t="shared" si="46"/>
        <v>0</v>
      </c>
      <c r="Z293"/>
      <c r="AA293"/>
      <c r="AB293"/>
    </row>
    <row r="294" spans="1:28" x14ac:dyDescent="0.35">
      <c r="A294" s="299"/>
      <c r="B294" s="515">
        <v>13.99137439799877</v>
      </c>
      <c r="C294" s="515">
        <v>-1.245172247613757</v>
      </c>
      <c r="D294" s="515">
        <v>1.7500925574086721</v>
      </c>
      <c r="E294" s="515">
        <v>0.24339874356507901</v>
      </c>
      <c r="F294" s="515">
        <v>7.2989117701633993E-2</v>
      </c>
      <c r="G294" s="299"/>
      <c r="H294" s="300">
        <f t="shared" si="38"/>
        <v>0</v>
      </c>
      <c r="I294" s="299"/>
      <c r="J294" s="1"/>
      <c r="K294" s="299"/>
      <c r="L294" s="1"/>
      <c r="M294" s="299"/>
      <c r="N294" s="299"/>
      <c r="O294" s="299"/>
      <c r="P294" s="299"/>
      <c r="Q294" s="298"/>
      <c r="R294" s="300">
        <f t="shared" si="39"/>
        <v>0</v>
      </c>
      <c r="S294" s="300">
        <f t="shared" si="40"/>
        <v>0</v>
      </c>
      <c r="T294" s="300">
        <f t="shared" si="41"/>
        <v>0</v>
      </c>
      <c r="U294" s="300">
        <f t="shared" si="42"/>
        <v>0</v>
      </c>
      <c r="V294" s="300">
        <f t="shared" si="43"/>
        <v>0</v>
      </c>
      <c r="W294" s="300">
        <f t="shared" si="44"/>
        <v>0</v>
      </c>
      <c r="X294" s="300">
        <f t="shared" si="45"/>
        <v>0</v>
      </c>
      <c r="Y294" s="300">
        <f t="shared" si="46"/>
        <v>0</v>
      </c>
      <c r="Z294"/>
      <c r="AA294"/>
      <c r="AB294"/>
    </row>
    <row r="295" spans="1:28" x14ac:dyDescent="0.35">
      <c r="A295" s="299"/>
      <c r="B295" s="515">
        <v>10.210987367426361</v>
      </c>
      <c r="C295" s="515">
        <v>-0.55747087818308205</v>
      </c>
      <c r="D295" s="515">
        <v>1.622914914201097</v>
      </c>
      <c r="E295" s="515">
        <v>0.20779080148298901</v>
      </c>
      <c r="F295" s="515">
        <v>6.0961709696062003E-2</v>
      </c>
      <c r="G295" s="299"/>
      <c r="H295" s="300">
        <f t="shared" si="38"/>
        <v>0</v>
      </c>
      <c r="I295" s="299"/>
      <c r="J295" s="1"/>
      <c r="K295" s="299"/>
      <c r="L295" s="1"/>
      <c r="M295" s="299"/>
      <c r="N295" s="299"/>
      <c r="O295" s="299"/>
      <c r="P295" s="299"/>
      <c r="Q295" s="298"/>
      <c r="R295" s="300">
        <f t="shared" si="39"/>
        <v>0</v>
      </c>
      <c r="S295" s="300">
        <f t="shared" si="40"/>
        <v>0</v>
      </c>
      <c r="T295" s="300">
        <f t="shared" si="41"/>
        <v>0</v>
      </c>
      <c r="U295" s="300">
        <f t="shared" si="42"/>
        <v>0</v>
      </c>
      <c r="V295" s="300">
        <f t="shared" si="43"/>
        <v>0</v>
      </c>
      <c r="W295" s="300">
        <f t="shared" si="44"/>
        <v>0</v>
      </c>
      <c r="X295" s="300">
        <f t="shared" si="45"/>
        <v>0</v>
      </c>
      <c r="Y295" s="300">
        <f t="shared" si="46"/>
        <v>0</v>
      </c>
      <c r="Z295"/>
      <c r="AA295"/>
      <c r="AB295"/>
    </row>
    <row r="296" spans="1:28" x14ac:dyDescent="0.35">
      <c r="A296" s="299"/>
      <c r="B296" s="515">
        <v>10.853186460345251</v>
      </c>
      <c r="C296" s="515">
        <v>0.16798343694503901</v>
      </c>
      <c r="D296" s="515">
        <v>1.345420698443613</v>
      </c>
      <c r="E296" s="515">
        <v>1.4593926760000001E-6</v>
      </c>
      <c r="F296" s="515">
        <v>7.6097279811539006E-2</v>
      </c>
      <c r="G296" s="299"/>
      <c r="H296" s="300">
        <f t="shared" si="38"/>
        <v>0</v>
      </c>
      <c r="I296" s="299"/>
      <c r="J296" s="1"/>
      <c r="K296" s="299"/>
      <c r="L296" s="1"/>
      <c r="M296" s="299"/>
      <c r="N296" s="299"/>
      <c r="O296" s="299"/>
      <c r="P296" s="299"/>
      <c r="Q296" s="298"/>
      <c r="R296" s="300">
        <f t="shared" si="39"/>
        <v>0</v>
      </c>
      <c r="S296" s="300">
        <f t="shared" si="40"/>
        <v>0</v>
      </c>
      <c r="T296" s="300">
        <f t="shared" si="41"/>
        <v>0</v>
      </c>
      <c r="U296" s="300">
        <f t="shared" si="42"/>
        <v>0</v>
      </c>
      <c r="V296" s="300">
        <f t="shared" si="43"/>
        <v>0</v>
      </c>
      <c r="W296" s="300">
        <f t="shared" si="44"/>
        <v>0</v>
      </c>
      <c r="X296" s="300">
        <f t="shared" si="45"/>
        <v>0</v>
      </c>
      <c r="Y296" s="300">
        <f t="shared" si="46"/>
        <v>0</v>
      </c>
      <c r="Z296"/>
      <c r="AA296"/>
      <c r="AB296"/>
    </row>
    <row r="297" spans="1:28" x14ac:dyDescent="0.35">
      <c r="A297" s="299"/>
      <c r="B297" s="515">
        <v>10.864449835825861</v>
      </c>
      <c r="C297" s="515">
        <v>0.16796621365338199</v>
      </c>
      <c r="D297" s="515">
        <v>1.3367354327647609</v>
      </c>
      <c r="E297" s="515">
        <v>1.7563075134219999E-3</v>
      </c>
      <c r="F297" s="515">
        <v>7.6151389043707995E-2</v>
      </c>
      <c r="G297" s="299"/>
      <c r="H297" s="300">
        <f t="shared" si="38"/>
        <v>0</v>
      </c>
      <c r="I297" s="299"/>
      <c r="J297" s="1"/>
      <c r="K297" s="299"/>
      <c r="L297" s="1"/>
      <c r="M297" s="299"/>
      <c r="N297" s="299"/>
      <c r="O297" s="299"/>
      <c r="P297" s="299"/>
      <c r="Q297" s="298"/>
      <c r="R297" s="300">
        <f t="shared" si="39"/>
        <v>0</v>
      </c>
      <c r="S297" s="300">
        <f t="shared" si="40"/>
        <v>0</v>
      </c>
      <c r="T297" s="300">
        <f t="shared" si="41"/>
        <v>0</v>
      </c>
      <c r="U297" s="300">
        <f t="shared" si="42"/>
        <v>0</v>
      </c>
      <c r="V297" s="300">
        <f t="shared" si="43"/>
        <v>0</v>
      </c>
      <c r="W297" s="300">
        <f t="shared" si="44"/>
        <v>0</v>
      </c>
      <c r="X297" s="300">
        <f t="shared" si="45"/>
        <v>0</v>
      </c>
      <c r="Y297" s="300">
        <f t="shared" si="46"/>
        <v>0</v>
      </c>
      <c r="Z297"/>
      <c r="AA297"/>
      <c r="AB297"/>
    </row>
    <row r="298" spans="1:28" x14ac:dyDescent="0.35">
      <c r="A298" s="299"/>
      <c r="B298" s="515">
        <v>5.4996654911109999E-3</v>
      </c>
      <c r="C298" s="515">
        <v>1.386941359954E-2</v>
      </c>
      <c r="D298" s="515">
        <v>1.584974574933256</v>
      </c>
      <c r="E298" s="515">
        <v>0.149218820527418</v>
      </c>
      <c r="F298" s="515">
        <v>2.4364021990705999E-2</v>
      </c>
      <c r="G298" s="299"/>
      <c r="H298" s="300">
        <f t="shared" si="38"/>
        <v>0</v>
      </c>
      <c r="I298" s="299"/>
      <c r="J298" s="1"/>
      <c r="K298" s="299"/>
      <c r="L298" s="1"/>
      <c r="M298" s="299"/>
      <c r="N298" s="299"/>
      <c r="O298" s="299"/>
      <c r="P298" s="299"/>
      <c r="Q298" s="298"/>
      <c r="R298" s="300">
        <f t="shared" si="39"/>
        <v>0</v>
      </c>
      <c r="S298" s="300">
        <f t="shared" si="40"/>
        <v>0</v>
      </c>
      <c r="T298" s="300">
        <f t="shared" si="41"/>
        <v>0</v>
      </c>
      <c r="U298" s="300">
        <f t="shared" si="42"/>
        <v>0</v>
      </c>
      <c r="V298" s="300">
        <f t="shared" si="43"/>
        <v>0</v>
      </c>
      <c r="W298" s="300">
        <f t="shared" si="44"/>
        <v>0</v>
      </c>
      <c r="X298" s="300">
        <f t="shared" si="45"/>
        <v>0</v>
      </c>
      <c r="Y298" s="300">
        <f t="shared" si="46"/>
        <v>0</v>
      </c>
      <c r="Z298"/>
      <c r="AA298"/>
      <c r="AB298"/>
    </row>
    <row r="299" spans="1:28" x14ac:dyDescent="0.35">
      <c r="A299" s="299"/>
      <c r="B299" s="515">
        <v>2.1028321551980001E-3</v>
      </c>
      <c r="C299" s="515">
        <v>8.9087779373101E-2</v>
      </c>
      <c r="D299" s="515">
        <v>0.10029418604073</v>
      </c>
      <c r="E299" s="515">
        <v>9.6920478906596996E-2</v>
      </c>
      <c r="F299" s="515">
        <v>5.2987997300103E-2</v>
      </c>
      <c r="G299" s="299"/>
      <c r="H299" s="300">
        <f t="shared" si="38"/>
        <v>0</v>
      </c>
      <c r="I299" s="299"/>
      <c r="J299" s="1"/>
      <c r="K299" s="299"/>
      <c r="L299" s="1"/>
      <c r="M299" s="299"/>
      <c r="N299" s="299"/>
      <c r="O299" s="299"/>
      <c r="P299" s="299"/>
      <c r="Q299" s="298"/>
      <c r="R299" s="300">
        <f t="shared" si="39"/>
        <v>0</v>
      </c>
      <c r="S299" s="300">
        <f t="shared" si="40"/>
        <v>0</v>
      </c>
      <c r="T299" s="300">
        <f t="shared" si="41"/>
        <v>0</v>
      </c>
      <c r="U299" s="300">
        <f t="shared" si="42"/>
        <v>0</v>
      </c>
      <c r="V299" s="300">
        <f t="shared" si="43"/>
        <v>0</v>
      </c>
      <c r="W299" s="300">
        <f t="shared" si="44"/>
        <v>0</v>
      </c>
      <c r="X299" s="300">
        <f t="shared" si="45"/>
        <v>0</v>
      </c>
      <c r="Y299" s="300">
        <f t="shared" si="46"/>
        <v>0</v>
      </c>
      <c r="Z299"/>
      <c r="AA299"/>
      <c r="AB299"/>
    </row>
    <row r="300" spans="1:28" x14ac:dyDescent="0.35">
      <c r="A300" s="299"/>
      <c r="B300" s="515">
        <v>0.972081536787614</v>
      </c>
      <c r="C300" s="515">
        <v>6.4987078277601001E-2</v>
      </c>
      <c r="D300" s="515">
        <v>1.7085346123112859</v>
      </c>
      <c r="E300" s="515">
        <v>0.25023683726490398</v>
      </c>
      <c r="F300" s="515">
        <v>2.0194209427149999E-3</v>
      </c>
      <c r="G300" s="299"/>
      <c r="H300" s="300">
        <f t="shared" si="38"/>
        <v>0</v>
      </c>
      <c r="I300" s="299"/>
      <c r="J300" s="1"/>
      <c r="K300" s="299"/>
      <c r="L300" s="1"/>
      <c r="M300" s="299"/>
      <c r="N300" s="299"/>
      <c r="O300" s="299"/>
      <c r="P300" s="299"/>
      <c r="Q300" s="298"/>
      <c r="R300" s="300">
        <f t="shared" si="39"/>
        <v>0</v>
      </c>
      <c r="S300" s="300">
        <f t="shared" si="40"/>
        <v>0</v>
      </c>
      <c r="T300" s="300">
        <f t="shared" si="41"/>
        <v>0</v>
      </c>
      <c r="U300" s="300">
        <f t="shared" si="42"/>
        <v>0</v>
      </c>
      <c r="V300" s="300">
        <f t="shared" si="43"/>
        <v>0</v>
      </c>
      <c r="W300" s="300">
        <f t="shared" si="44"/>
        <v>0</v>
      </c>
      <c r="X300" s="300">
        <f t="shared" si="45"/>
        <v>0</v>
      </c>
      <c r="Y300" s="300">
        <f t="shared" si="46"/>
        <v>0</v>
      </c>
      <c r="Z300"/>
      <c r="AA300"/>
      <c r="AB300"/>
    </row>
    <row r="301" spans="1:28" x14ac:dyDescent="0.35">
      <c r="A301" s="299"/>
      <c r="B301" s="515">
        <v>5.1154921637705998E-2</v>
      </c>
      <c r="C301" s="515">
        <v>-3.2948740868113462</v>
      </c>
      <c r="D301" s="515">
        <v>1.028972174832562</v>
      </c>
      <c r="E301" s="515">
        <v>3.8853067589949997E-2</v>
      </c>
      <c r="F301" s="515">
        <v>6.3765079120545007E-2</v>
      </c>
      <c r="G301" s="299"/>
      <c r="H301" s="300">
        <f t="shared" si="38"/>
        <v>0</v>
      </c>
      <c r="I301" s="299"/>
      <c r="J301" s="1"/>
      <c r="K301" s="299"/>
      <c r="L301" s="1"/>
      <c r="M301" s="299"/>
      <c r="N301" s="299"/>
      <c r="O301" s="299"/>
      <c r="P301" s="299"/>
      <c r="Q301" s="298"/>
      <c r="R301" s="300">
        <f t="shared" si="39"/>
        <v>0</v>
      </c>
      <c r="S301" s="300">
        <f t="shared" si="40"/>
        <v>0</v>
      </c>
      <c r="T301" s="300">
        <f t="shared" si="41"/>
        <v>0</v>
      </c>
      <c r="U301" s="300">
        <f t="shared" si="42"/>
        <v>0</v>
      </c>
      <c r="V301" s="300">
        <f t="shared" si="43"/>
        <v>0</v>
      </c>
      <c r="W301" s="300">
        <f t="shared" si="44"/>
        <v>0</v>
      </c>
      <c r="X301" s="300">
        <f t="shared" si="45"/>
        <v>0</v>
      </c>
      <c r="Y301" s="300">
        <f t="shared" si="46"/>
        <v>0</v>
      </c>
      <c r="Z301"/>
      <c r="AA301"/>
      <c r="AB301"/>
    </row>
    <row r="302" spans="1:28" x14ac:dyDescent="0.35">
      <c r="A302" s="299"/>
      <c r="B302" s="515">
        <v>8.7782773130999997E-5</v>
      </c>
      <c r="C302" s="515">
        <v>2.7928008815796001E-2</v>
      </c>
      <c r="D302" s="515">
        <v>1.9818738933534881</v>
      </c>
      <c r="E302" s="515">
        <v>0.22441442964734101</v>
      </c>
      <c r="F302" s="515">
        <v>5.1615707158609997E-3</v>
      </c>
      <c r="G302" s="299"/>
      <c r="H302" s="300">
        <f t="shared" si="38"/>
        <v>0</v>
      </c>
      <c r="I302" s="299"/>
      <c r="J302" s="1"/>
      <c r="K302" s="299"/>
      <c r="L302" s="1"/>
      <c r="M302" s="299"/>
      <c r="N302" s="299"/>
      <c r="O302" s="299"/>
      <c r="P302" s="299"/>
      <c r="Q302" s="298"/>
      <c r="R302" s="300">
        <f t="shared" si="39"/>
        <v>0</v>
      </c>
      <c r="S302" s="300">
        <f t="shared" si="40"/>
        <v>0</v>
      </c>
      <c r="T302" s="300">
        <f t="shared" si="41"/>
        <v>0</v>
      </c>
      <c r="U302" s="300">
        <f t="shared" si="42"/>
        <v>0</v>
      </c>
      <c r="V302" s="300">
        <f t="shared" si="43"/>
        <v>0</v>
      </c>
      <c r="W302" s="300">
        <f t="shared" si="44"/>
        <v>0</v>
      </c>
      <c r="X302" s="300">
        <f t="shared" si="45"/>
        <v>0</v>
      </c>
      <c r="Y302" s="300">
        <f t="shared" si="46"/>
        <v>0</v>
      </c>
      <c r="Z302"/>
      <c r="AA302"/>
      <c r="AB302"/>
    </row>
    <row r="303" spans="1:28" x14ac:dyDescent="0.35">
      <c r="A303" s="299"/>
      <c r="B303" s="515">
        <v>3.094823947202E-3</v>
      </c>
      <c r="C303" s="515">
        <v>-3.2730192920965089</v>
      </c>
      <c r="D303" s="515">
        <v>2.61881735798397</v>
      </c>
      <c r="E303" s="515">
        <v>8.7001511389787997E-2</v>
      </c>
      <c r="F303" s="515">
        <v>4.2041086965316998E-2</v>
      </c>
      <c r="G303" s="299"/>
      <c r="H303" s="300">
        <f t="shared" si="38"/>
        <v>0</v>
      </c>
      <c r="I303" s="299"/>
      <c r="J303" s="1"/>
      <c r="K303" s="299"/>
      <c r="L303" s="1"/>
      <c r="M303" s="299"/>
      <c r="N303" s="299"/>
      <c r="O303" s="299"/>
      <c r="P303" s="299"/>
      <c r="Q303" s="298"/>
      <c r="R303" s="300">
        <f t="shared" si="39"/>
        <v>0</v>
      </c>
      <c r="S303" s="300">
        <f t="shared" si="40"/>
        <v>0</v>
      </c>
      <c r="T303" s="300">
        <f t="shared" si="41"/>
        <v>0</v>
      </c>
      <c r="U303" s="300">
        <f t="shared" si="42"/>
        <v>0</v>
      </c>
      <c r="V303" s="300">
        <f t="shared" si="43"/>
        <v>0</v>
      </c>
      <c r="W303" s="300">
        <f t="shared" si="44"/>
        <v>0</v>
      </c>
      <c r="X303" s="300">
        <f t="shared" si="45"/>
        <v>0</v>
      </c>
      <c r="Y303" s="300">
        <f t="shared" si="46"/>
        <v>0</v>
      </c>
      <c r="Z303"/>
      <c r="AA303"/>
      <c r="AB303"/>
    </row>
    <row r="304" spans="1:28" x14ac:dyDescent="0.35">
      <c r="A304" s="299"/>
      <c r="B304" s="515">
        <v>4.4537998195418931</v>
      </c>
      <c r="C304" s="515">
        <v>9.5918543284724003E-2</v>
      </c>
      <c r="D304" s="515">
        <v>1.386844821684426</v>
      </c>
      <c r="E304" s="515">
        <v>1.2638400000000001E-8</v>
      </c>
      <c r="F304" s="515">
        <v>6.2342132734828998E-2</v>
      </c>
      <c r="G304" s="299"/>
      <c r="H304" s="300">
        <f t="shared" si="38"/>
        <v>0</v>
      </c>
      <c r="I304" s="299"/>
      <c r="J304" s="1"/>
      <c r="K304" s="299"/>
      <c r="L304" s="1"/>
      <c r="M304" s="299"/>
      <c r="N304" s="299"/>
      <c r="O304" s="299"/>
      <c r="P304" s="299"/>
      <c r="Q304" s="298"/>
      <c r="R304" s="300">
        <f t="shared" si="39"/>
        <v>0</v>
      </c>
      <c r="S304" s="300">
        <f t="shared" si="40"/>
        <v>0</v>
      </c>
      <c r="T304" s="300">
        <f t="shared" si="41"/>
        <v>0</v>
      </c>
      <c r="U304" s="300">
        <f t="shared" si="42"/>
        <v>0</v>
      </c>
      <c r="V304" s="300">
        <f t="shared" si="43"/>
        <v>0</v>
      </c>
      <c r="W304" s="300">
        <f t="shared" si="44"/>
        <v>0</v>
      </c>
      <c r="X304" s="300">
        <f t="shared" si="45"/>
        <v>0</v>
      </c>
      <c r="Y304" s="300">
        <f t="shared" si="46"/>
        <v>0</v>
      </c>
      <c r="Z304"/>
      <c r="AA304"/>
      <c r="AB304"/>
    </row>
    <row r="305" spans="1:28" x14ac:dyDescent="0.35">
      <c r="A305" s="299"/>
      <c r="B305" s="515">
        <v>6.8231828247499173</v>
      </c>
      <c r="C305" s="515">
        <v>0.116794992544137</v>
      </c>
      <c r="D305" s="515">
        <v>1.1617277690092569</v>
      </c>
      <c r="E305" s="515">
        <v>3.7466108603347002E-2</v>
      </c>
      <c r="F305" s="515">
        <v>6.8082062355989001E-2</v>
      </c>
      <c r="G305" s="299"/>
      <c r="H305" s="300">
        <f t="shared" si="38"/>
        <v>0</v>
      </c>
      <c r="I305" s="299"/>
      <c r="J305" s="1"/>
      <c r="K305" s="299"/>
      <c r="L305" s="1"/>
      <c r="M305" s="299"/>
      <c r="N305" s="299"/>
      <c r="O305" s="299"/>
      <c r="P305" s="299"/>
      <c r="Q305" s="298"/>
      <c r="R305" s="300">
        <f t="shared" si="39"/>
        <v>0</v>
      </c>
      <c r="S305" s="300">
        <f t="shared" si="40"/>
        <v>0</v>
      </c>
      <c r="T305" s="300">
        <f t="shared" si="41"/>
        <v>0</v>
      </c>
      <c r="U305" s="300">
        <f t="shared" si="42"/>
        <v>0</v>
      </c>
      <c r="V305" s="300">
        <f t="shared" si="43"/>
        <v>0</v>
      </c>
      <c r="W305" s="300">
        <f t="shared" si="44"/>
        <v>0</v>
      </c>
      <c r="X305" s="300">
        <f t="shared" si="45"/>
        <v>0</v>
      </c>
      <c r="Y305" s="300">
        <f t="shared" si="46"/>
        <v>0</v>
      </c>
      <c r="Z305"/>
      <c r="AA305"/>
      <c r="AB305"/>
    </row>
    <row r="306" spans="1:28" x14ac:dyDescent="0.35">
      <c r="A306" s="299"/>
      <c r="B306" s="515">
        <v>12.023232374514791</v>
      </c>
      <c r="C306" s="515">
        <v>-3.2868113275835751</v>
      </c>
      <c r="D306" s="515">
        <v>1.362516812816897</v>
      </c>
      <c r="E306" s="515">
        <v>1.390861840773E-3</v>
      </c>
      <c r="F306" s="515">
        <v>8.0770625775333005E-2</v>
      </c>
      <c r="G306" s="299"/>
      <c r="H306" s="300">
        <f t="shared" si="38"/>
        <v>0</v>
      </c>
      <c r="I306" s="299"/>
      <c r="J306" s="1"/>
      <c r="K306" s="299"/>
      <c r="L306" s="1"/>
      <c r="M306" s="299"/>
      <c r="N306" s="299"/>
      <c r="O306" s="299"/>
      <c r="P306" s="299"/>
      <c r="Q306" s="298"/>
      <c r="R306" s="300">
        <f t="shared" si="39"/>
        <v>0</v>
      </c>
      <c r="S306" s="300">
        <f t="shared" si="40"/>
        <v>0</v>
      </c>
      <c r="T306" s="300">
        <f t="shared" si="41"/>
        <v>0</v>
      </c>
      <c r="U306" s="300">
        <f t="shared" si="42"/>
        <v>0</v>
      </c>
      <c r="V306" s="300">
        <f t="shared" si="43"/>
        <v>0</v>
      </c>
      <c r="W306" s="300">
        <f t="shared" si="44"/>
        <v>0</v>
      </c>
      <c r="X306" s="300">
        <f t="shared" si="45"/>
        <v>0</v>
      </c>
      <c r="Y306" s="300">
        <f t="shared" si="46"/>
        <v>0</v>
      </c>
      <c r="Z306"/>
      <c r="AA306"/>
      <c r="AB306"/>
    </row>
    <row r="307" spans="1:28" x14ac:dyDescent="0.35">
      <c r="A307" s="299"/>
      <c r="B307" s="515">
        <v>3.6219967851059E-2</v>
      </c>
      <c r="C307" s="515">
        <v>0.16735062876635101</v>
      </c>
      <c r="D307" s="515">
        <v>2.395841790688706</v>
      </c>
      <c r="E307" s="515">
        <v>1.565055314196E-3</v>
      </c>
      <c r="F307" s="515">
        <v>1.5587288871116999E-2</v>
      </c>
      <c r="G307" s="299"/>
      <c r="H307" s="300">
        <f t="shared" si="38"/>
        <v>0</v>
      </c>
      <c r="I307" s="299"/>
      <c r="J307" s="1"/>
      <c r="K307" s="299"/>
      <c r="L307" s="1"/>
      <c r="M307" s="299"/>
      <c r="N307" s="299"/>
      <c r="O307" s="299"/>
      <c r="P307" s="299"/>
      <c r="Q307" s="298"/>
      <c r="R307" s="300">
        <f t="shared" si="39"/>
        <v>0</v>
      </c>
      <c r="S307" s="300">
        <f t="shared" si="40"/>
        <v>0</v>
      </c>
      <c r="T307" s="300">
        <f t="shared" si="41"/>
        <v>0</v>
      </c>
      <c r="U307" s="300">
        <f t="shared" si="42"/>
        <v>0</v>
      </c>
      <c r="V307" s="300">
        <f t="shared" si="43"/>
        <v>0</v>
      </c>
      <c r="W307" s="300">
        <f t="shared" si="44"/>
        <v>0</v>
      </c>
      <c r="X307" s="300">
        <f t="shared" si="45"/>
        <v>0</v>
      </c>
      <c r="Y307" s="300">
        <f t="shared" si="46"/>
        <v>0</v>
      </c>
      <c r="Z307"/>
      <c r="AA307"/>
      <c r="AB307"/>
    </row>
    <row r="308" spans="1:28" x14ac:dyDescent="0.35">
      <c r="A308" s="299"/>
      <c r="B308" s="515">
        <v>7.5443416837415302</v>
      </c>
      <c r="C308" s="515">
        <v>0.104123153578617</v>
      </c>
      <c r="D308" s="515">
        <v>1.3903517377913219</v>
      </c>
      <c r="E308" s="515">
        <v>0.13164470513485199</v>
      </c>
      <c r="F308" s="515">
        <v>5.6026423046855997E-2</v>
      </c>
      <c r="G308" s="299"/>
      <c r="H308" s="300">
        <f t="shared" si="38"/>
        <v>0</v>
      </c>
      <c r="I308" s="299"/>
      <c r="J308" s="1"/>
      <c r="K308" s="299"/>
      <c r="L308" s="1"/>
      <c r="M308" s="299"/>
      <c r="N308" s="299"/>
      <c r="O308" s="299"/>
      <c r="P308" s="299"/>
      <c r="Q308" s="298"/>
      <c r="R308" s="300">
        <f t="shared" si="39"/>
        <v>0</v>
      </c>
      <c r="S308" s="300">
        <f t="shared" si="40"/>
        <v>0</v>
      </c>
      <c r="T308" s="300">
        <f t="shared" si="41"/>
        <v>0</v>
      </c>
      <c r="U308" s="300">
        <f t="shared" si="42"/>
        <v>0</v>
      </c>
      <c r="V308" s="300">
        <f t="shared" si="43"/>
        <v>0</v>
      </c>
      <c r="W308" s="300">
        <f t="shared" si="44"/>
        <v>0</v>
      </c>
      <c r="X308" s="300">
        <f t="shared" si="45"/>
        <v>0</v>
      </c>
      <c r="Y308" s="300">
        <f t="shared" si="46"/>
        <v>0</v>
      </c>
      <c r="Z308"/>
      <c r="AA308"/>
      <c r="AB308"/>
    </row>
    <row r="309" spans="1:28" x14ac:dyDescent="0.35">
      <c r="A309" s="299"/>
      <c r="B309" s="515">
        <v>1.64925951266558</v>
      </c>
      <c r="C309" s="515">
        <v>-1.6749951966405999E-2</v>
      </c>
      <c r="D309" s="515">
        <v>7.0006245265419997E-3</v>
      </c>
      <c r="E309" s="515">
        <v>7.2926074746596001E-2</v>
      </c>
      <c r="F309" s="515">
        <v>6.6798553220725004E-2</v>
      </c>
      <c r="G309" s="299"/>
      <c r="H309" s="300">
        <f t="shared" si="38"/>
        <v>0</v>
      </c>
      <c r="I309" s="299"/>
      <c r="J309" s="1"/>
      <c r="K309" s="299"/>
      <c r="L309" s="1"/>
      <c r="M309" s="299"/>
      <c r="N309" s="299"/>
      <c r="O309" s="299"/>
      <c r="P309" s="299"/>
      <c r="Q309" s="298"/>
      <c r="R309" s="300">
        <f t="shared" si="39"/>
        <v>0</v>
      </c>
      <c r="S309" s="300">
        <f t="shared" si="40"/>
        <v>0</v>
      </c>
      <c r="T309" s="300">
        <f t="shared" si="41"/>
        <v>0</v>
      </c>
      <c r="U309" s="300">
        <f t="shared" si="42"/>
        <v>0</v>
      </c>
      <c r="V309" s="300">
        <f t="shared" si="43"/>
        <v>0</v>
      </c>
      <c r="W309" s="300">
        <f t="shared" si="44"/>
        <v>0</v>
      </c>
      <c r="X309" s="300">
        <f t="shared" si="45"/>
        <v>0</v>
      </c>
      <c r="Y309" s="300">
        <f t="shared" si="46"/>
        <v>0</v>
      </c>
      <c r="Z309"/>
      <c r="AA309"/>
      <c r="AB309"/>
    </row>
    <row r="310" spans="1:28" x14ac:dyDescent="0.35">
      <c r="A310" s="299"/>
      <c r="B310" s="515">
        <v>0.99034092408253105</v>
      </c>
      <c r="C310" s="515">
        <v>6.3839439669720999E-2</v>
      </c>
      <c r="D310" s="515">
        <v>1.9794660448369881</v>
      </c>
      <c r="E310" s="515">
        <v>0.21780045546740201</v>
      </c>
      <c r="F310" s="515">
        <v>8.5751915718980005E-3</v>
      </c>
      <c r="G310" s="299"/>
      <c r="H310" s="300">
        <f t="shared" si="38"/>
        <v>0</v>
      </c>
      <c r="I310" s="299"/>
      <c r="J310" s="1"/>
      <c r="K310" s="299"/>
      <c r="L310" s="1"/>
      <c r="M310" s="299"/>
      <c r="N310" s="299"/>
      <c r="O310" s="299"/>
      <c r="P310" s="299"/>
      <c r="Q310" s="298"/>
      <c r="R310" s="300">
        <f t="shared" si="39"/>
        <v>0</v>
      </c>
      <c r="S310" s="300">
        <f t="shared" si="40"/>
        <v>0</v>
      </c>
      <c r="T310" s="300">
        <f t="shared" si="41"/>
        <v>0</v>
      </c>
      <c r="U310" s="300">
        <f t="shared" si="42"/>
        <v>0</v>
      </c>
      <c r="V310" s="300">
        <f t="shared" si="43"/>
        <v>0</v>
      </c>
      <c r="W310" s="300">
        <f t="shared" si="44"/>
        <v>0</v>
      </c>
      <c r="X310" s="300">
        <f t="shared" si="45"/>
        <v>0</v>
      </c>
      <c r="Y310" s="300">
        <f t="shared" si="46"/>
        <v>0</v>
      </c>
      <c r="Z310"/>
      <c r="AA310"/>
      <c r="AB310"/>
    </row>
    <row r="311" spans="1:28" x14ac:dyDescent="0.35">
      <c r="A311" s="299"/>
      <c r="B311" s="515">
        <v>9.0894540254309E-2</v>
      </c>
      <c r="C311" s="515">
        <v>6.6606320077756007E-2</v>
      </c>
      <c r="D311" s="515">
        <v>7.358394359921E-3</v>
      </c>
      <c r="E311" s="515">
        <v>0.10436323270443899</v>
      </c>
      <c r="F311" s="515">
        <v>5.4715097248369003E-2</v>
      </c>
      <c r="G311" s="299"/>
      <c r="H311" s="300">
        <f t="shared" si="38"/>
        <v>0</v>
      </c>
      <c r="I311" s="299"/>
      <c r="J311" s="1"/>
      <c r="K311" s="299"/>
      <c r="L311" s="1"/>
      <c r="M311" s="299"/>
      <c r="N311" s="299"/>
      <c r="O311" s="299"/>
      <c r="P311" s="299"/>
      <c r="Q311" s="298"/>
      <c r="R311" s="300">
        <f t="shared" si="39"/>
        <v>0</v>
      </c>
      <c r="S311" s="300">
        <f t="shared" si="40"/>
        <v>0</v>
      </c>
      <c r="T311" s="300">
        <f t="shared" si="41"/>
        <v>0</v>
      </c>
      <c r="U311" s="300">
        <f t="shared" si="42"/>
        <v>0</v>
      </c>
      <c r="V311" s="300">
        <f t="shared" si="43"/>
        <v>0</v>
      </c>
      <c r="W311" s="300">
        <f t="shared" si="44"/>
        <v>0</v>
      </c>
      <c r="X311" s="300">
        <f t="shared" si="45"/>
        <v>0</v>
      </c>
      <c r="Y311" s="300">
        <f t="shared" si="46"/>
        <v>0</v>
      </c>
      <c r="Z311"/>
      <c r="AA311"/>
      <c r="AB311"/>
    </row>
    <row r="312" spans="1:28" x14ac:dyDescent="0.35">
      <c r="A312" s="299"/>
      <c r="B312" s="515">
        <v>9.6255874441949999E-3</v>
      </c>
      <c r="C312" s="515">
        <v>0.16775293991516599</v>
      </c>
      <c r="D312" s="515">
        <v>0.50258825582376798</v>
      </c>
      <c r="E312" s="515">
        <v>8.9418677949543002E-2</v>
      </c>
      <c r="F312" s="515">
        <v>3.7411274992379E-2</v>
      </c>
      <c r="G312" s="299"/>
      <c r="H312" s="300">
        <f t="shared" si="38"/>
        <v>0</v>
      </c>
      <c r="I312" s="299"/>
      <c r="J312" s="1"/>
      <c r="K312" s="299"/>
      <c r="L312" s="1"/>
      <c r="M312" s="299"/>
      <c r="N312" s="299"/>
      <c r="O312" s="299"/>
      <c r="P312" s="299"/>
      <c r="Q312" s="298"/>
      <c r="R312" s="300">
        <f t="shared" si="39"/>
        <v>0</v>
      </c>
      <c r="S312" s="300">
        <f t="shared" si="40"/>
        <v>0</v>
      </c>
      <c r="T312" s="300">
        <f t="shared" si="41"/>
        <v>0</v>
      </c>
      <c r="U312" s="300">
        <f t="shared" si="42"/>
        <v>0</v>
      </c>
      <c r="V312" s="300">
        <f t="shared" si="43"/>
        <v>0</v>
      </c>
      <c r="W312" s="300">
        <f t="shared" si="44"/>
        <v>0</v>
      </c>
      <c r="X312" s="300">
        <f t="shared" si="45"/>
        <v>0</v>
      </c>
      <c r="Y312" s="300">
        <f t="shared" si="46"/>
        <v>0</v>
      </c>
      <c r="Z312"/>
      <c r="AA312"/>
      <c r="AB312"/>
    </row>
    <row r="313" spans="1:28" x14ac:dyDescent="0.35">
      <c r="A313" s="299"/>
      <c r="B313" s="515">
        <v>9.0538356462025002E-2</v>
      </c>
      <c r="C313" s="515">
        <v>6.6608495468409995E-2</v>
      </c>
      <c r="D313" s="515">
        <v>7.3401450939920001E-3</v>
      </c>
      <c r="E313" s="515">
        <v>0.104366461798565</v>
      </c>
      <c r="F313" s="515">
        <v>5.4712762902875002E-2</v>
      </c>
      <c r="G313" s="299"/>
      <c r="H313" s="300">
        <f t="shared" si="38"/>
        <v>0</v>
      </c>
      <c r="I313" s="299"/>
      <c r="J313" s="1"/>
      <c r="K313" s="299"/>
      <c r="L313" s="1"/>
      <c r="M313" s="299"/>
      <c r="N313" s="299"/>
      <c r="O313" s="299"/>
      <c r="P313" s="299"/>
      <c r="Q313" s="298"/>
      <c r="R313" s="300">
        <f t="shared" si="39"/>
        <v>0</v>
      </c>
      <c r="S313" s="300">
        <f t="shared" si="40"/>
        <v>0</v>
      </c>
      <c r="T313" s="300">
        <f t="shared" si="41"/>
        <v>0</v>
      </c>
      <c r="U313" s="300">
        <f t="shared" si="42"/>
        <v>0</v>
      </c>
      <c r="V313" s="300">
        <f t="shared" si="43"/>
        <v>0</v>
      </c>
      <c r="W313" s="300">
        <f t="shared" si="44"/>
        <v>0</v>
      </c>
      <c r="X313" s="300">
        <f t="shared" si="45"/>
        <v>0</v>
      </c>
      <c r="Y313" s="300">
        <f t="shared" si="46"/>
        <v>0</v>
      </c>
      <c r="Z313"/>
      <c r="AA313"/>
      <c r="AB313"/>
    </row>
    <row r="314" spans="1:28" x14ac:dyDescent="0.35">
      <c r="A314" s="299"/>
      <c r="B314" s="515">
        <v>10.460724354397319</v>
      </c>
      <c r="C314" s="515">
        <v>-0.203206624385707</v>
      </c>
      <c r="D314" s="515">
        <v>1.2763348751084349</v>
      </c>
      <c r="E314" s="515">
        <v>0.11104207888975599</v>
      </c>
      <c r="F314" s="515">
        <v>7.3316361094404994E-2</v>
      </c>
      <c r="G314" s="299"/>
      <c r="H314" s="300">
        <f t="shared" si="38"/>
        <v>0</v>
      </c>
      <c r="I314" s="299"/>
      <c r="J314" s="1"/>
      <c r="K314" s="299"/>
      <c r="L314" s="1"/>
      <c r="M314" s="299"/>
      <c r="N314" s="299"/>
      <c r="O314" s="299"/>
      <c r="P314" s="299"/>
      <c r="Q314" s="298"/>
      <c r="R314" s="300">
        <f t="shared" si="39"/>
        <v>0</v>
      </c>
      <c r="S314" s="300">
        <f t="shared" si="40"/>
        <v>0</v>
      </c>
      <c r="T314" s="300">
        <f t="shared" si="41"/>
        <v>0</v>
      </c>
      <c r="U314" s="300">
        <f t="shared" si="42"/>
        <v>0</v>
      </c>
      <c r="V314" s="300">
        <f t="shared" si="43"/>
        <v>0</v>
      </c>
      <c r="W314" s="300">
        <f t="shared" si="44"/>
        <v>0</v>
      </c>
      <c r="X314" s="300">
        <f t="shared" si="45"/>
        <v>0</v>
      </c>
      <c r="Y314" s="300">
        <f t="shared" si="46"/>
        <v>0</v>
      </c>
      <c r="Z314"/>
      <c r="AA314"/>
      <c r="AB314"/>
    </row>
    <row r="315" spans="1:28" x14ac:dyDescent="0.35">
      <c r="A315" s="299"/>
      <c r="B315" s="515">
        <v>11.774523917843799</v>
      </c>
      <c r="C315" s="515">
        <v>-0.64914730476687599</v>
      </c>
      <c r="D315" s="515">
        <v>1.5993349786619391</v>
      </c>
      <c r="E315" s="515">
        <v>0.19603910862392199</v>
      </c>
      <c r="F315" s="515">
        <v>6.9472032878786005E-2</v>
      </c>
      <c r="G315" s="299"/>
      <c r="H315" s="300">
        <f t="shared" si="38"/>
        <v>0</v>
      </c>
      <c r="I315" s="299"/>
      <c r="J315" s="1"/>
      <c r="K315" s="299"/>
      <c r="L315" s="1"/>
      <c r="M315" s="299"/>
      <c r="N315" s="299"/>
      <c r="O315" s="299"/>
      <c r="P315" s="299"/>
      <c r="Q315" s="298"/>
      <c r="R315" s="300">
        <f t="shared" si="39"/>
        <v>0</v>
      </c>
      <c r="S315" s="300">
        <f t="shared" si="40"/>
        <v>0</v>
      </c>
      <c r="T315" s="300">
        <f t="shared" si="41"/>
        <v>0</v>
      </c>
      <c r="U315" s="300">
        <f t="shared" si="42"/>
        <v>0</v>
      </c>
      <c r="V315" s="300">
        <f t="shared" si="43"/>
        <v>0</v>
      </c>
      <c r="W315" s="300">
        <f t="shared" si="44"/>
        <v>0</v>
      </c>
      <c r="X315" s="300">
        <f t="shared" si="45"/>
        <v>0</v>
      </c>
      <c r="Y315" s="300">
        <f t="shared" si="46"/>
        <v>0</v>
      </c>
      <c r="Z315"/>
      <c r="AA315"/>
      <c r="AB315"/>
    </row>
    <row r="316" spans="1:28" x14ac:dyDescent="0.35">
      <c r="A316" s="299"/>
      <c r="B316" s="515">
        <v>10.86126179910678</v>
      </c>
      <c r="C316" s="515">
        <v>0.16799911975686799</v>
      </c>
      <c r="D316" s="515">
        <v>1.3459359382456051</v>
      </c>
      <c r="E316" s="515">
        <v>6.9096521499999995E-7</v>
      </c>
      <c r="F316" s="515">
        <v>7.6104250704221998E-2</v>
      </c>
      <c r="G316" s="299"/>
      <c r="H316" s="300">
        <f t="shared" si="38"/>
        <v>0</v>
      </c>
      <c r="I316" s="299"/>
      <c r="J316" s="1"/>
      <c r="K316" s="299"/>
      <c r="L316" s="1"/>
      <c r="M316" s="299"/>
      <c r="N316" s="299"/>
      <c r="O316" s="299"/>
      <c r="P316" s="299"/>
      <c r="Q316" s="298"/>
      <c r="R316" s="300">
        <f t="shared" si="39"/>
        <v>0</v>
      </c>
      <c r="S316" s="300">
        <f t="shared" si="40"/>
        <v>0</v>
      </c>
      <c r="T316" s="300">
        <f t="shared" si="41"/>
        <v>0</v>
      </c>
      <c r="U316" s="300">
        <f t="shared" si="42"/>
        <v>0</v>
      </c>
      <c r="V316" s="300">
        <f t="shared" si="43"/>
        <v>0</v>
      </c>
      <c r="W316" s="300">
        <f t="shared" si="44"/>
        <v>0</v>
      </c>
      <c r="X316" s="300">
        <f t="shared" si="45"/>
        <v>0</v>
      </c>
      <c r="Y316" s="300">
        <f t="shared" si="46"/>
        <v>0</v>
      </c>
      <c r="Z316"/>
      <c r="AA316"/>
      <c r="AB316"/>
    </row>
    <row r="317" spans="1:28" x14ac:dyDescent="0.35">
      <c r="A317" s="299"/>
      <c r="B317" s="515">
        <v>5.9452040978672223</v>
      </c>
      <c r="C317" s="515">
        <v>0.16799998256934501</v>
      </c>
      <c r="D317" s="515">
        <v>7.0065986949399998E-3</v>
      </c>
      <c r="E317" s="515">
        <v>7.1661475159031998E-2</v>
      </c>
      <c r="F317" s="515">
        <v>7.2785799907043994E-2</v>
      </c>
      <c r="G317" s="299"/>
      <c r="H317" s="300">
        <f t="shared" si="38"/>
        <v>0</v>
      </c>
      <c r="I317" s="299"/>
      <c r="J317" s="1"/>
      <c r="K317" s="299"/>
      <c r="L317" s="1"/>
      <c r="M317" s="299"/>
      <c r="N317" s="299"/>
      <c r="O317" s="299"/>
      <c r="P317" s="299"/>
      <c r="Q317" s="298"/>
      <c r="R317" s="300">
        <f t="shared" si="39"/>
        <v>0</v>
      </c>
      <c r="S317" s="300">
        <f t="shared" si="40"/>
        <v>0</v>
      </c>
      <c r="T317" s="300">
        <f t="shared" si="41"/>
        <v>0</v>
      </c>
      <c r="U317" s="300">
        <f t="shared" si="42"/>
        <v>0</v>
      </c>
      <c r="V317" s="300">
        <f t="shared" si="43"/>
        <v>0</v>
      </c>
      <c r="W317" s="300">
        <f t="shared" si="44"/>
        <v>0</v>
      </c>
      <c r="X317" s="300">
        <f t="shared" si="45"/>
        <v>0</v>
      </c>
      <c r="Y317" s="300">
        <f t="shared" si="46"/>
        <v>0</v>
      </c>
      <c r="Z317"/>
      <c r="AA317"/>
      <c r="AB317"/>
    </row>
    <row r="318" spans="1:28" x14ac:dyDescent="0.35">
      <c r="A318" s="299"/>
      <c r="B318" s="515">
        <v>1.77236186867E-4</v>
      </c>
      <c r="C318" s="515">
        <v>2.7928190837354001E-2</v>
      </c>
      <c r="D318" s="515">
        <v>1.9818826726447949</v>
      </c>
      <c r="E318" s="515">
        <v>0.22441615786813299</v>
      </c>
      <c r="F318" s="515">
        <v>5.1614056694609996E-3</v>
      </c>
      <c r="G318" s="299"/>
      <c r="H318" s="300">
        <f t="shared" si="38"/>
        <v>0</v>
      </c>
      <c r="I318" s="299"/>
      <c r="J318" s="1"/>
      <c r="K318" s="299"/>
      <c r="L318" s="1"/>
      <c r="M318" s="299"/>
      <c r="N318" s="299"/>
      <c r="O318" s="299"/>
      <c r="P318" s="299"/>
      <c r="Q318" s="298"/>
      <c r="R318" s="300">
        <f t="shared" si="39"/>
        <v>0</v>
      </c>
      <c r="S318" s="300">
        <f t="shared" si="40"/>
        <v>0</v>
      </c>
      <c r="T318" s="300">
        <f t="shared" si="41"/>
        <v>0</v>
      </c>
      <c r="U318" s="300">
        <f t="shared" si="42"/>
        <v>0</v>
      </c>
      <c r="V318" s="300">
        <f t="shared" si="43"/>
        <v>0</v>
      </c>
      <c r="W318" s="300">
        <f t="shared" si="44"/>
        <v>0</v>
      </c>
      <c r="X318" s="300">
        <f t="shared" si="45"/>
        <v>0</v>
      </c>
      <c r="Y318" s="300">
        <f t="shared" si="46"/>
        <v>0</v>
      </c>
      <c r="Z318"/>
      <c r="AA318"/>
      <c r="AB318"/>
    </row>
    <row r="319" spans="1:28" x14ac:dyDescent="0.35">
      <c r="A319" s="299"/>
      <c r="B319" s="515">
        <v>1.7124187934387529</v>
      </c>
      <c r="C319" s="515">
        <v>6.6640465310098998E-2</v>
      </c>
      <c r="D319" s="515">
        <v>1.395312073945564</v>
      </c>
      <c r="E319" s="515">
        <v>0.19863673484292099</v>
      </c>
      <c r="F319" s="515">
        <v>2.3278786730429001E-2</v>
      </c>
      <c r="G319" s="299"/>
      <c r="H319" s="300">
        <f t="shared" si="38"/>
        <v>0</v>
      </c>
      <c r="I319" s="299"/>
      <c r="J319" s="1"/>
      <c r="K319" s="299"/>
      <c r="L319" s="1"/>
      <c r="M319" s="299"/>
      <c r="N319" s="299"/>
      <c r="O319" s="299"/>
      <c r="P319" s="299"/>
      <c r="Q319" s="298"/>
      <c r="R319" s="300">
        <f t="shared" si="39"/>
        <v>0</v>
      </c>
      <c r="S319" s="300">
        <f t="shared" si="40"/>
        <v>0</v>
      </c>
      <c r="T319" s="300">
        <f t="shared" si="41"/>
        <v>0</v>
      </c>
      <c r="U319" s="300">
        <f t="shared" si="42"/>
        <v>0</v>
      </c>
      <c r="V319" s="300">
        <f t="shared" si="43"/>
        <v>0</v>
      </c>
      <c r="W319" s="300">
        <f t="shared" si="44"/>
        <v>0</v>
      </c>
      <c r="X319" s="300">
        <f t="shared" si="45"/>
        <v>0</v>
      </c>
      <c r="Y319" s="300">
        <f t="shared" si="46"/>
        <v>0</v>
      </c>
      <c r="Z319"/>
      <c r="AA319"/>
      <c r="AB319"/>
    </row>
    <row r="320" spans="1:28" x14ac:dyDescent="0.35">
      <c r="A320" s="299"/>
      <c r="B320" s="515">
        <v>0.199600944299892</v>
      </c>
      <c r="C320" s="515">
        <v>4.1789087761884003E-2</v>
      </c>
      <c r="D320" s="515">
        <v>8.9020024540289993E-3</v>
      </c>
      <c r="E320" s="515">
        <v>8.8607308948372002E-2</v>
      </c>
      <c r="F320" s="515">
        <v>5.8295205580702003E-2</v>
      </c>
      <c r="G320" s="299"/>
      <c r="H320" s="300">
        <f t="shared" si="38"/>
        <v>0</v>
      </c>
      <c r="I320" s="299"/>
      <c r="J320" s="1"/>
      <c r="K320" s="299"/>
      <c r="L320" s="1"/>
      <c r="M320" s="299"/>
      <c r="N320" s="299"/>
      <c r="O320" s="299"/>
      <c r="P320" s="299"/>
      <c r="Q320" s="298"/>
      <c r="R320" s="300">
        <f t="shared" si="39"/>
        <v>0</v>
      </c>
      <c r="S320" s="300">
        <f t="shared" si="40"/>
        <v>0</v>
      </c>
      <c r="T320" s="300">
        <f t="shared" si="41"/>
        <v>0</v>
      </c>
      <c r="U320" s="300">
        <f t="shared" si="42"/>
        <v>0</v>
      </c>
      <c r="V320" s="300">
        <f t="shared" si="43"/>
        <v>0</v>
      </c>
      <c r="W320" s="300">
        <f t="shared" si="44"/>
        <v>0</v>
      </c>
      <c r="X320" s="300">
        <f t="shared" si="45"/>
        <v>0</v>
      </c>
      <c r="Y320" s="300">
        <f t="shared" si="46"/>
        <v>0</v>
      </c>
      <c r="Z320"/>
      <c r="AA320"/>
      <c r="AB320"/>
    </row>
    <row r="321" spans="1:28" x14ac:dyDescent="0.35">
      <c r="A321" s="299"/>
      <c r="B321" s="515">
        <v>7.7301725636300003E-4</v>
      </c>
      <c r="C321" s="515">
        <v>-0.62089920890369099</v>
      </c>
      <c r="D321" s="515">
        <v>1.969067619391778</v>
      </c>
      <c r="E321" s="515">
        <v>1.10133617E-7</v>
      </c>
      <c r="F321" s="515">
        <v>4.8955270813448998E-2</v>
      </c>
      <c r="G321" s="299"/>
      <c r="H321" s="300">
        <f t="shared" ref="H321:H384" si="47">SUMPRODUCT(B321:F321,B$61:F$61)</f>
        <v>0</v>
      </c>
      <c r="I321" s="299"/>
      <c r="J321" s="1"/>
      <c r="K321" s="299"/>
      <c r="L321" s="1"/>
      <c r="M321" s="299"/>
      <c r="N321" s="299"/>
      <c r="O321" s="299"/>
      <c r="P321" s="299"/>
      <c r="Q321" s="298"/>
      <c r="R321" s="300">
        <f t="shared" ref="R321:R384" si="48">SUMPRODUCT($B321:$F321,$K$64:$O$64)</f>
        <v>0</v>
      </c>
      <c r="S321" s="300">
        <f t="shared" ref="S321:S384" si="49">SUMPRODUCT($B321:$F321,$K$65:$O$65)</f>
        <v>0</v>
      </c>
      <c r="T321" s="300">
        <f t="shared" ref="T321:T384" si="50">SUMPRODUCT($B321:$F321,$K$66:$O$66)</f>
        <v>0</v>
      </c>
      <c r="U321" s="300">
        <f t="shared" ref="U321:U384" si="51">SUMPRODUCT($B321:$F321,$K$67:$O$67)</f>
        <v>0</v>
      </c>
      <c r="V321" s="300">
        <f t="shared" ref="V321:V384" si="52">SUMPRODUCT($B321:$F321,$K$68:$O$68)</f>
        <v>0</v>
      </c>
      <c r="W321" s="300">
        <f t="shared" ref="W321:W384" si="53">SUMPRODUCT($B321:$F321,$K$69:$O$69)</f>
        <v>0</v>
      </c>
      <c r="X321" s="300">
        <f t="shared" ref="X321:X384" si="54">SUMPRODUCT($B321:$F321,$K$70:$O$70)</f>
        <v>0</v>
      </c>
      <c r="Y321" s="300">
        <f t="shared" ref="Y321:Y384" si="55">SUMPRODUCT($B321:$F321,$K$71:$O$71)</f>
        <v>0</v>
      </c>
      <c r="Z321"/>
      <c r="AA321"/>
      <c r="AB321"/>
    </row>
    <row r="322" spans="1:28" x14ac:dyDescent="0.35">
      <c r="A322" s="299"/>
      <c r="B322" s="515">
        <v>2.7912871848790001E-3</v>
      </c>
      <c r="C322" s="515">
        <v>2.7803610244717999E-2</v>
      </c>
      <c r="D322" s="515">
        <v>1.9819728945172821</v>
      </c>
      <c r="E322" s="515">
        <v>0.22441854599286601</v>
      </c>
      <c r="F322" s="515">
        <v>5.1728303983819999E-3</v>
      </c>
      <c r="G322" s="299"/>
      <c r="H322" s="300">
        <f t="shared" si="47"/>
        <v>0</v>
      </c>
      <c r="I322" s="299"/>
      <c r="J322" s="1"/>
      <c r="K322" s="299"/>
      <c r="L322" s="1"/>
      <c r="M322" s="299"/>
      <c r="N322" s="299"/>
      <c r="O322" s="299"/>
      <c r="P322" s="299"/>
      <c r="Q322" s="298"/>
      <c r="R322" s="300">
        <f t="shared" si="48"/>
        <v>0</v>
      </c>
      <c r="S322" s="300">
        <f t="shared" si="49"/>
        <v>0</v>
      </c>
      <c r="T322" s="300">
        <f t="shared" si="50"/>
        <v>0</v>
      </c>
      <c r="U322" s="300">
        <f t="shared" si="51"/>
        <v>0</v>
      </c>
      <c r="V322" s="300">
        <f t="shared" si="52"/>
        <v>0</v>
      </c>
      <c r="W322" s="300">
        <f t="shared" si="53"/>
        <v>0</v>
      </c>
      <c r="X322" s="300">
        <f t="shared" si="54"/>
        <v>0</v>
      </c>
      <c r="Y322" s="300">
        <f t="shared" si="55"/>
        <v>0</v>
      </c>
      <c r="Z322"/>
      <c r="AA322"/>
      <c r="AB322"/>
    </row>
    <row r="323" spans="1:28" x14ac:dyDescent="0.35">
      <c r="A323" s="299"/>
      <c r="B323" s="515">
        <v>13.04513308901964</v>
      </c>
      <c r="C323" s="515">
        <v>-0.49774764120800902</v>
      </c>
      <c r="D323" s="515">
        <v>1.516458147553654</v>
      </c>
      <c r="E323" s="515">
        <v>0.171475327704984</v>
      </c>
      <c r="F323" s="515">
        <v>7.4246364063903003E-2</v>
      </c>
      <c r="G323" s="299"/>
      <c r="H323" s="300">
        <f t="shared" si="47"/>
        <v>0</v>
      </c>
      <c r="I323" s="299"/>
      <c r="J323" s="1"/>
      <c r="K323" s="299"/>
      <c r="L323" s="1"/>
      <c r="M323" s="299"/>
      <c r="N323" s="299"/>
      <c r="O323" s="299"/>
      <c r="P323" s="299"/>
      <c r="Q323" s="298"/>
      <c r="R323" s="300">
        <f t="shared" si="48"/>
        <v>0</v>
      </c>
      <c r="S323" s="300">
        <f t="shared" si="49"/>
        <v>0</v>
      </c>
      <c r="T323" s="300">
        <f t="shared" si="50"/>
        <v>0</v>
      </c>
      <c r="U323" s="300">
        <f t="shared" si="51"/>
        <v>0</v>
      </c>
      <c r="V323" s="300">
        <f t="shared" si="52"/>
        <v>0</v>
      </c>
      <c r="W323" s="300">
        <f t="shared" si="53"/>
        <v>0</v>
      </c>
      <c r="X323" s="300">
        <f t="shared" si="54"/>
        <v>0</v>
      </c>
      <c r="Y323" s="300">
        <f t="shared" si="55"/>
        <v>0</v>
      </c>
      <c r="Z323"/>
      <c r="AA323"/>
      <c r="AB323"/>
    </row>
    <row r="324" spans="1:28" x14ac:dyDescent="0.35">
      <c r="A324" s="299"/>
      <c r="B324" s="515">
        <v>5.7138934394247114</v>
      </c>
      <c r="C324" s="515">
        <v>0.118703042033314</v>
      </c>
      <c r="D324" s="515">
        <v>7.0618648807900001E-3</v>
      </c>
      <c r="E324" s="515">
        <v>7.1017322474089999E-3</v>
      </c>
      <c r="F324" s="515">
        <v>7.9628887035097004E-2</v>
      </c>
      <c r="G324" s="299"/>
      <c r="H324" s="300">
        <f t="shared" si="47"/>
        <v>0</v>
      </c>
      <c r="I324" s="299"/>
      <c r="J324" s="1"/>
      <c r="K324" s="299"/>
      <c r="L324" s="1"/>
      <c r="M324" s="299"/>
      <c r="N324" s="299"/>
      <c r="O324" s="299"/>
      <c r="P324" s="299"/>
      <c r="Q324" s="298"/>
      <c r="R324" s="300">
        <f t="shared" si="48"/>
        <v>0</v>
      </c>
      <c r="S324" s="300">
        <f t="shared" si="49"/>
        <v>0</v>
      </c>
      <c r="T324" s="300">
        <f t="shared" si="50"/>
        <v>0</v>
      </c>
      <c r="U324" s="300">
        <f t="shared" si="51"/>
        <v>0</v>
      </c>
      <c r="V324" s="300">
        <f t="shared" si="52"/>
        <v>0</v>
      </c>
      <c r="W324" s="300">
        <f t="shared" si="53"/>
        <v>0</v>
      </c>
      <c r="X324" s="300">
        <f t="shared" si="54"/>
        <v>0</v>
      </c>
      <c r="Y324" s="300">
        <f t="shared" si="55"/>
        <v>0</v>
      </c>
      <c r="Z324"/>
      <c r="AA324"/>
      <c r="AB324"/>
    </row>
    <row r="325" spans="1:28" x14ac:dyDescent="0.35">
      <c r="A325" s="299"/>
      <c r="B325" s="515">
        <v>1.401755595E-6</v>
      </c>
      <c r="C325" s="515">
        <v>2.7743983868730001E-2</v>
      </c>
      <c r="D325" s="515">
        <v>1.981871258526692</v>
      </c>
      <c r="E325" s="515">
        <v>0.224442858505285</v>
      </c>
      <c r="F325" s="515">
        <v>5.1568629146529999E-3</v>
      </c>
      <c r="G325" s="299"/>
      <c r="H325" s="300">
        <f t="shared" si="47"/>
        <v>0</v>
      </c>
      <c r="I325" s="299"/>
      <c r="J325" s="1"/>
      <c r="K325" s="299"/>
      <c r="L325" s="1"/>
      <c r="M325" s="299"/>
      <c r="N325" s="299"/>
      <c r="O325" s="299"/>
      <c r="P325" s="299"/>
      <c r="Q325" s="298"/>
      <c r="R325" s="300">
        <f t="shared" si="48"/>
        <v>0</v>
      </c>
      <c r="S325" s="300">
        <f t="shared" si="49"/>
        <v>0</v>
      </c>
      <c r="T325" s="300">
        <f t="shared" si="50"/>
        <v>0</v>
      </c>
      <c r="U325" s="300">
        <f t="shared" si="51"/>
        <v>0</v>
      </c>
      <c r="V325" s="300">
        <f t="shared" si="52"/>
        <v>0</v>
      </c>
      <c r="W325" s="300">
        <f t="shared" si="53"/>
        <v>0</v>
      </c>
      <c r="X325" s="300">
        <f t="shared" si="54"/>
        <v>0</v>
      </c>
      <c r="Y325" s="300">
        <f t="shared" si="55"/>
        <v>0</v>
      </c>
      <c r="Z325"/>
      <c r="AA325"/>
      <c r="AB325"/>
    </row>
    <row r="326" spans="1:28" x14ac:dyDescent="0.35">
      <c r="A326" s="299"/>
      <c r="B326" s="515">
        <v>4.4451032626607532</v>
      </c>
      <c r="C326" s="515">
        <v>7.083296832161E-3</v>
      </c>
      <c r="D326" s="515">
        <v>0.389119431924209</v>
      </c>
      <c r="E326" s="515">
        <v>0.100338208429933</v>
      </c>
      <c r="F326" s="515">
        <v>6.6474597003913005E-2</v>
      </c>
      <c r="G326" s="299"/>
      <c r="H326" s="300">
        <f t="shared" si="47"/>
        <v>0</v>
      </c>
      <c r="I326" s="299"/>
      <c r="J326" s="1"/>
      <c r="K326" s="299"/>
      <c r="L326" s="1"/>
      <c r="M326" s="299"/>
      <c r="N326" s="299"/>
      <c r="O326" s="299"/>
      <c r="P326" s="299"/>
      <c r="Q326" s="298"/>
      <c r="R326" s="300">
        <f t="shared" si="48"/>
        <v>0</v>
      </c>
      <c r="S326" s="300">
        <f t="shared" si="49"/>
        <v>0</v>
      </c>
      <c r="T326" s="300">
        <f t="shared" si="50"/>
        <v>0</v>
      </c>
      <c r="U326" s="300">
        <f t="shared" si="51"/>
        <v>0</v>
      </c>
      <c r="V326" s="300">
        <f t="shared" si="52"/>
        <v>0</v>
      </c>
      <c r="W326" s="300">
        <f t="shared" si="53"/>
        <v>0</v>
      </c>
      <c r="X326" s="300">
        <f t="shared" si="54"/>
        <v>0</v>
      </c>
      <c r="Y326" s="300">
        <f t="shared" si="55"/>
        <v>0</v>
      </c>
      <c r="Z326"/>
      <c r="AA326"/>
      <c r="AB326"/>
    </row>
    <row r="327" spans="1:28" x14ac:dyDescent="0.35">
      <c r="A327" s="299"/>
      <c r="B327" s="515">
        <v>1.6167181030424999E-2</v>
      </c>
      <c r="C327" s="515">
        <v>-6.5263435800395994E-2</v>
      </c>
      <c r="D327" s="515">
        <v>2.092627888597844</v>
      </c>
      <c r="E327" s="515">
        <v>0.126815511468342</v>
      </c>
      <c r="F327" s="515">
        <v>1.9699682298524999E-2</v>
      </c>
      <c r="G327" s="299"/>
      <c r="H327" s="300">
        <f t="shared" si="47"/>
        <v>0</v>
      </c>
      <c r="I327" s="299"/>
      <c r="J327" s="1"/>
      <c r="K327" s="299"/>
      <c r="L327" s="1"/>
      <c r="M327" s="299"/>
      <c r="N327" s="299"/>
      <c r="O327" s="299"/>
      <c r="P327" s="299"/>
      <c r="Q327" s="298"/>
      <c r="R327" s="300">
        <f t="shared" si="48"/>
        <v>0</v>
      </c>
      <c r="S327" s="300">
        <f t="shared" si="49"/>
        <v>0</v>
      </c>
      <c r="T327" s="300">
        <f t="shared" si="50"/>
        <v>0</v>
      </c>
      <c r="U327" s="300">
        <f t="shared" si="51"/>
        <v>0</v>
      </c>
      <c r="V327" s="300">
        <f t="shared" si="52"/>
        <v>0</v>
      </c>
      <c r="W327" s="300">
        <f t="shared" si="53"/>
        <v>0</v>
      </c>
      <c r="X327" s="300">
        <f t="shared" si="54"/>
        <v>0</v>
      </c>
      <c r="Y327" s="300">
        <f t="shared" si="55"/>
        <v>0</v>
      </c>
      <c r="Z327"/>
      <c r="AA327"/>
      <c r="AB327"/>
    </row>
    <row r="328" spans="1:28" x14ac:dyDescent="0.35">
      <c r="A328" s="299"/>
      <c r="B328" s="515">
        <v>13.54219673155103</v>
      </c>
      <c r="C328" s="515">
        <v>-1.3221027016679689</v>
      </c>
      <c r="D328" s="515">
        <v>1.538913796357535</v>
      </c>
      <c r="E328" s="515">
        <v>0.24096571043146101</v>
      </c>
      <c r="F328" s="515">
        <v>7.4799829362673001E-2</v>
      </c>
      <c r="G328" s="299"/>
      <c r="H328" s="300">
        <f t="shared" si="47"/>
        <v>0</v>
      </c>
      <c r="I328" s="299"/>
      <c r="J328" s="1"/>
      <c r="K328" s="299"/>
      <c r="L328" s="1"/>
      <c r="M328" s="299"/>
      <c r="N328" s="299"/>
      <c r="O328" s="299"/>
      <c r="P328" s="299"/>
      <c r="Q328" s="298"/>
      <c r="R328" s="300">
        <f t="shared" si="48"/>
        <v>0</v>
      </c>
      <c r="S328" s="300">
        <f t="shared" si="49"/>
        <v>0</v>
      </c>
      <c r="T328" s="300">
        <f t="shared" si="50"/>
        <v>0</v>
      </c>
      <c r="U328" s="300">
        <f t="shared" si="51"/>
        <v>0</v>
      </c>
      <c r="V328" s="300">
        <f t="shared" si="52"/>
        <v>0</v>
      </c>
      <c r="W328" s="300">
        <f t="shared" si="53"/>
        <v>0</v>
      </c>
      <c r="X328" s="300">
        <f t="shared" si="54"/>
        <v>0</v>
      </c>
      <c r="Y328" s="300">
        <f t="shared" si="55"/>
        <v>0</v>
      </c>
      <c r="Z328"/>
      <c r="AA328"/>
      <c r="AB328"/>
    </row>
    <row r="329" spans="1:28" x14ac:dyDescent="0.35">
      <c r="A329" s="299"/>
      <c r="B329" s="515">
        <v>9.0973725375836006E-2</v>
      </c>
      <c r="C329" s="515">
        <v>-3.2806670918302778</v>
      </c>
      <c r="D329" s="515">
        <v>3.324647169420988</v>
      </c>
      <c r="E329" s="515">
        <v>0.134492258490268</v>
      </c>
      <c r="F329" s="515">
        <v>2.093731360211E-2</v>
      </c>
      <c r="G329" s="299"/>
      <c r="H329" s="300">
        <f t="shared" si="47"/>
        <v>0</v>
      </c>
      <c r="I329" s="299"/>
      <c r="J329" s="1"/>
      <c r="K329" s="299"/>
      <c r="L329" s="1"/>
      <c r="M329" s="299"/>
      <c r="N329" s="299"/>
      <c r="O329" s="299"/>
      <c r="P329" s="299"/>
      <c r="Q329" s="298"/>
      <c r="R329" s="300">
        <f t="shared" si="48"/>
        <v>0</v>
      </c>
      <c r="S329" s="300">
        <f t="shared" si="49"/>
        <v>0</v>
      </c>
      <c r="T329" s="300">
        <f t="shared" si="50"/>
        <v>0</v>
      </c>
      <c r="U329" s="300">
        <f t="shared" si="51"/>
        <v>0</v>
      </c>
      <c r="V329" s="300">
        <f t="shared" si="52"/>
        <v>0</v>
      </c>
      <c r="W329" s="300">
        <f t="shared" si="53"/>
        <v>0</v>
      </c>
      <c r="X329" s="300">
        <f t="shared" si="54"/>
        <v>0</v>
      </c>
      <c r="Y329" s="300">
        <f t="shared" si="55"/>
        <v>0</v>
      </c>
      <c r="Z329"/>
      <c r="AA329"/>
      <c r="AB329"/>
    </row>
    <row r="330" spans="1:28" x14ac:dyDescent="0.35">
      <c r="A330" s="299"/>
      <c r="B330" s="515">
        <v>0.99434930646574904</v>
      </c>
      <c r="C330" s="515">
        <v>0.102377212821002</v>
      </c>
      <c r="D330" s="515">
        <v>1.5222967929916001E-2</v>
      </c>
      <c r="E330" s="515">
        <v>0.27038132635489098</v>
      </c>
      <c r="F330" s="515">
        <v>2.573594971499E-3</v>
      </c>
      <c r="G330" s="299"/>
      <c r="H330" s="300">
        <f t="shared" si="47"/>
        <v>0</v>
      </c>
      <c r="I330" s="299"/>
      <c r="J330" s="1"/>
      <c r="K330" s="299"/>
      <c r="L330" s="1"/>
      <c r="M330" s="299"/>
      <c r="N330" s="299"/>
      <c r="O330" s="299"/>
      <c r="P330" s="299"/>
      <c r="Q330" s="298"/>
      <c r="R330" s="300">
        <f t="shared" si="48"/>
        <v>0</v>
      </c>
      <c r="S330" s="300">
        <f t="shared" si="49"/>
        <v>0</v>
      </c>
      <c r="T330" s="300">
        <f t="shared" si="50"/>
        <v>0</v>
      </c>
      <c r="U330" s="300">
        <f t="shared" si="51"/>
        <v>0</v>
      </c>
      <c r="V330" s="300">
        <f t="shared" si="52"/>
        <v>0</v>
      </c>
      <c r="W330" s="300">
        <f t="shared" si="53"/>
        <v>0</v>
      </c>
      <c r="X330" s="300">
        <f t="shared" si="54"/>
        <v>0</v>
      </c>
      <c r="Y330" s="300">
        <f t="shared" si="55"/>
        <v>0</v>
      </c>
      <c r="Z330"/>
      <c r="AA330"/>
      <c r="AB330"/>
    </row>
    <row r="331" spans="1:28" x14ac:dyDescent="0.35">
      <c r="A331" s="299"/>
      <c r="B331" s="515">
        <v>9.880912819674478</v>
      </c>
      <c r="C331" s="515">
        <v>0.16580255911066299</v>
      </c>
      <c r="D331" s="515">
        <v>1.9807508728110001E-2</v>
      </c>
      <c r="E331" s="515">
        <v>8.9977152759184997E-2</v>
      </c>
      <c r="F331" s="515">
        <v>8.0806767726692E-2</v>
      </c>
      <c r="G331" s="299"/>
      <c r="H331" s="300">
        <f t="shared" si="47"/>
        <v>0</v>
      </c>
      <c r="I331" s="299"/>
      <c r="J331" s="1"/>
      <c r="K331" s="299"/>
      <c r="L331" s="1"/>
      <c r="M331" s="299"/>
      <c r="N331" s="299"/>
      <c r="O331" s="299"/>
      <c r="P331" s="299"/>
      <c r="Q331" s="298"/>
      <c r="R331" s="300">
        <f t="shared" si="48"/>
        <v>0</v>
      </c>
      <c r="S331" s="300">
        <f t="shared" si="49"/>
        <v>0</v>
      </c>
      <c r="T331" s="300">
        <f t="shared" si="50"/>
        <v>0</v>
      </c>
      <c r="U331" s="300">
        <f t="shared" si="51"/>
        <v>0</v>
      </c>
      <c r="V331" s="300">
        <f t="shared" si="52"/>
        <v>0</v>
      </c>
      <c r="W331" s="300">
        <f t="shared" si="53"/>
        <v>0</v>
      </c>
      <c r="X331" s="300">
        <f t="shared" si="54"/>
        <v>0</v>
      </c>
      <c r="Y331" s="300">
        <f t="shared" si="55"/>
        <v>0</v>
      </c>
      <c r="Z331"/>
      <c r="AA331"/>
      <c r="AB331"/>
    </row>
    <row r="332" spans="1:28" x14ac:dyDescent="0.35">
      <c r="A332" s="299"/>
      <c r="B332" s="515">
        <v>10.39956269866485</v>
      </c>
      <c r="C332" s="515">
        <v>-6.1155547955765999E-2</v>
      </c>
      <c r="D332" s="515">
        <v>2.6907242134478999E-2</v>
      </c>
      <c r="E332" s="515">
        <v>0.27061735166485801</v>
      </c>
      <c r="F332" s="515">
        <v>4.7983569856430999E-2</v>
      </c>
      <c r="G332" s="299"/>
      <c r="H332" s="300">
        <f t="shared" si="47"/>
        <v>0</v>
      </c>
      <c r="I332" s="299"/>
      <c r="J332" s="1"/>
      <c r="K332" s="299"/>
      <c r="L332" s="1"/>
      <c r="M332" s="299"/>
      <c r="N332" s="299"/>
      <c r="O332" s="299"/>
      <c r="P332" s="299"/>
      <c r="Q332" s="298"/>
      <c r="R332" s="300">
        <f t="shared" si="48"/>
        <v>0</v>
      </c>
      <c r="S332" s="300">
        <f t="shared" si="49"/>
        <v>0</v>
      </c>
      <c r="T332" s="300">
        <f t="shared" si="50"/>
        <v>0</v>
      </c>
      <c r="U332" s="300">
        <f t="shared" si="51"/>
        <v>0</v>
      </c>
      <c r="V332" s="300">
        <f t="shared" si="52"/>
        <v>0</v>
      </c>
      <c r="W332" s="300">
        <f t="shared" si="53"/>
        <v>0</v>
      </c>
      <c r="X332" s="300">
        <f t="shared" si="54"/>
        <v>0</v>
      </c>
      <c r="Y332" s="300">
        <f t="shared" si="55"/>
        <v>0</v>
      </c>
      <c r="Z332"/>
      <c r="AA332"/>
      <c r="AB332"/>
    </row>
    <row r="333" spans="1:28" x14ac:dyDescent="0.35">
      <c r="A333" s="299"/>
      <c r="B333" s="515">
        <v>2.0170011920623452</v>
      </c>
      <c r="C333" s="515">
        <v>0.118197947401337</v>
      </c>
      <c r="D333" s="515">
        <v>7.0138816866610002E-3</v>
      </c>
      <c r="E333" s="515">
        <v>8.2640870946737999E-2</v>
      </c>
      <c r="F333" s="515">
        <v>6.2187068017775002E-2</v>
      </c>
      <c r="G333" s="299"/>
      <c r="H333" s="300">
        <f t="shared" si="47"/>
        <v>0</v>
      </c>
      <c r="I333" s="299"/>
      <c r="J333" s="1"/>
      <c r="K333" s="299"/>
      <c r="L333" s="1"/>
      <c r="M333" s="299"/>
      <c r="N333" s="299"/>
      <c r="O333" s="299"/>
      <c r="P333" s="299"/>
      <c r="Q333" s="298"/>
      <c r="R333" s="300">
        <f t="shared" si="48"/>
        <v>0</v>
      </c>
      <c r="S333" s="300">
        <f t="shared" si="49"/>
        <v>0</v>
      </c>
      <c r="T333" s="300">
        <f t="shared" si="50"/>
        <v>0</v>
      </c>
      <c r="U333" s="300">
        <f t="shared" si="51"/>
        <v>0</v>
      </c>
      <c r="V333" s="300">
        <f t="shared" si="52"/>
        <v>0</v>
      </c>
      <c r="W333" s="300">
        <f t="shared" si="53"/>
        <v>0</v>
      </c>
      <c r="X333" s="300">
        <f t="shared" si="54"/>
        <v>0</v>
      </c>
      <c r="Y333" s="300">
        <f t="shared" si="55"/>
        <v>0</v>
      </c>
      <c r="Z333"/>
      <c r="AA333"/>
      <c r="AB333"/>
    </row>
    <row r="334" spans="1:28" x14ac:dyDescent="0.35">
      <c r="A334" s="299"/>
      <c r="B334" s="515">
        <v>2.7491448027815002</v>
      </c>
      <c r="C334" s="515">
        <v>7.4468764831251005E-2</v>
      </c>
      <c r="D334" s="515">
        <v>2.0004330719133101</v>
      </c>
      <c r="E334" s="515">
        <v>0.25029124429587901</v>
      </c>
      <c r="F334" s="515">
        <v>7.2654184820560002E-3</v>
      </c>
      <c r="G334" s="299"/>
      <c r="H334" s="300">
        <f t="shared" si="47"/>
        <v>0</v>
      </c>
      <c r="I334" s="299"/>
      <c r="J334" s="1"/>
      <c r="K334" s="299"/>
      <c r="L334" s="1"/>
      <c r="M334" s="299"/>
      <c r="N334" s="299"/>
      <c r="O334" s="299"/>
      <c r="P334" s="299"/>
      <c r="Q334" s="298"/>
      <c r="R334" s="300">
        <f t="shared" si="48"/>
        <v>0</v>
      </c>
      <c r="S334" s="300">
        <f t="shared" si="49"/>
        <v>0</v>
      </c>
      <c r="T334" s="300">
        <f t="shared" si="50"/>
        <v>0</v>
      </c>
      <c r="U334" s="300">
        <f t="shared" si="51"/>
        <v>0</v>
      </c>
      <c r="V334" s="300">
        <f t="shared" si="52"/>
        <v>0</v>
      </c>
      <c r="W334" s="300">
        <f t="shared" si="53"/>
        <v>0</v>
      </c>
      <c r="X334" s="300">
        <f t="shared" si="54"/>
        <v>0</v>
      </c>
      <c r="Y334" s="300">
        <f t="shared" si="55"/>
        <v>0</v>
      </c>
      <c r="Z334"/>
      <c r="AA334"/>
      <c r="AB334"/>
    </row>
    <row r="335" spans="1:28" x14ac:dyDescent="0.35">
      <c r="A335" s="299"/>
      <c r="B335" s="515">
        <v>1.2954359059999999E-6</v>
      </c>
      <c r="C335" s="515">
        <v>-0.62115907698103001</v>
      </c>
      <c r="D335" s="515">
        <v>1.969046603009682</v>
      </c>
      <c r="E335" s="515">
        <v>1.098096773E-6</v>
      </c>
      <c r="F335" s="515">
        <v>4.8955006176932998E-2</v>
      </c>
      <c r="G335" s="299"/>
      <c r="H335" s="300">
        <f t="shared" si="47"/>
        <v>0</v>
      </c>
      <c r="I335" s="299"/>
      <c r="J335" s="1"/>
      <c r="K335" s="299"/>
      <c r="L335" s="1"/>
      <c r="M335" s="299"/>
      <c r="N335" s="299"/>
      <c r="O335" s="299"/>
      <c r="P335" s="299"/>
      <c r="Q335" s="298"/>
      <c r="R335" s="300">
        <f t="shared" si="48"/>
        <v>0</v>
      </c>
      <c r="S335" s="300">
        <f t="shared" si="49"/>
        <v>0</v>
      </c>
      <c r="T335" s="300">
        <f t="shared" si="50"/>
        <v>0</v>
      </c>
      <c r="U335" s="300">
        <f t="shared" si="51"/>
        <v>0</v>
      </c>
      <c r="V335" s="300">
        <f t="shared" si="52"/>
        <v>0</v>
      </c>
      <c r="W335" s="300">
        <f t="shared" si="53"/>
        <v>0</v>
      </c>
      <c r="X335" s="300">
        <f t="shared" si="54"/>
        <v>0</v>
      </c>
      <c r="Y335" s="300">
        <f t="shared" si="55"/>
        <v>0</v>
      </c>
      <c r="Z335"/>
      <c r="AA335"/>
      <c r="AB335"/>
    </row>
    <row r="336" spans="1:28" x14ac:dyDescent="0.35">
      <c r="A336" s="299"/>
      <c r="B336" s="515">
        <v>7.0896804500000003E-7</v>
      </c>
      <c r="C336" s="515">
        <v>-0.65314640296220605</v>
      </c>
      <c r="D336" s="515">
        <v>1.711591776135899</v>
      </c>
      <c r="E336" s="515">
        <v>4.5746186162970999E-2</v>
      </c>
      <c r="F336" s="515">
        <v>4.7861813076887E-2</v>
      </c>
      <c r="G336" s="299"/>
      <c r="H336" s="300">
        <f t="shared" si="47"/>
        <v>0</v>
      </c>
      <c r="I336" s="299"/>
      <c r="J336" s="1"/>
      <c r="K336" s="299"/>
      <c r="L336" s="1"/>
      <c r="M336" s="299"/>
      <c r="N336" s="299"/>
      <c r="O336" s="299"/>
      <c r="P336" s="299"/>
      <c r="Q336" s="298"/>
      <c r="R336" s="300">
        <f t="shared" si="48"/>
        <v>0</v>
      </c>
      <c r="S336" s="300">
        <f t="shared" si="49"/>
        <v>0</v>
      </c>
      <c r="T336" s="300">
        <f t="shared" si="50"/>
        <v>0</v>
      </c>
      <c r="U336" s="300">
        <f t="shared" si="51"/>
        <v>0</v>
      </c>
      <c r="V336" s="300">
        <f t="shared" si="52"/>
        <v>0</v>
      </c>
      <c r="W336" s="300">
        <f t="shared" si="53"/>
        <v>0</v>
      </c>
      <c r="X336" s="300">
        <f t="shared" si="54"/>
        <v>0</v>
      </c>
      <c r="Y336" s="300">
        <f t="shared" si="55"/>
        <v>0</v>
      </c>
      <c r="Z336"/>
      <c r="AA336"/>
      <c r="AB336"/>
    </row>
    <row r="337" spans="1:28" x14ac:dyDescent="0.35">
      <c r="A337" s="299"/>
      <c r="B337" s="515">
        <v>1.0075190367400001E-3</v>
      </c>
      <c r="C337" s="515">
        <v>-0.62085641925950796</v>
      </c>
      <c r="D337" s="515">
        <v>1.9690236945465649</v>
      </c>
      <c r="E337" s="515">
        <v>3.0611172299999998E-7</v>
      </c>
      <c r="F337" s="515">
        <v>4.8956115819333998E-2</v>
      </c>
      <c r="G337" s="299"/>
      <c r="H337" s="300">
        <f t="shared" si="47"/>
        <v>0</v>
      </c>
      <c r="I337" s="299"/>
      <c r="J337" s="1"/>
      <c r="K337" s="299"/>
      <c r="L337" s="1"/>
      <c r="M337" s="299"/>
      <c r="N337" s="299"/>
      <c r="O337" s="299"/>
      <c r="P337" s="299"/>
      <c r="Q337" s="298"/>
      <c r="R337" s="300">
        <f t="shared" si="48"/>
        <v>0</v>
      </c>
      <c r="S337" s="300">
        <f t="shared" si="49"/>
        <v>0</v>
      </c>
      <c r="T337" s="300">
        <f t="shared" si="50"/>
        <v>0</v>
      </c>
      <c r="U337" s="300">
        <f t="shared" si="51"/>
        <v>0</v>
      </c>
      <c r="V337" s="300">
        <f t="shared" si="52"/>
        <v>0</v>
      </c>
      <c r="W337" s="300">
        <f t="shared" si="53"/>
        <v>0</v>
      </c>
      <c r="X337" s="300">
        <f t="shared" si="54"/>
        <v>0</v>
      </c>
      <c r="Y337" s="300">
        <f t="shared" si="55"/>
        <v>0</v>
      </c>
      <c r="Z337"/>
      <c r="AA337"/>
      <c r="AB337"/>
    </row>
    <row r="338" spans="1:28" x14ac:dyDescent="0.35">
      <c r="A338" s="299"/>
      <c r="B338" s="515">
        <v>0.59638025159888197</v>
      </c>
      <c r="C338" s="515">
        <v>8.6794116789226994E-2</v>
      </c>
      <c r="D338" s="515">
        <v>0.36553291177162101</v>
      </c>
      <c r="E338" s="515">
        <v>0.111428465455343</v>
      </c>
      <c r="F338" s="515">
        <v>4.9771925539166997E-2</v>
      </c>
      <c r="G338" s="299"/>
      <c r="H338" s="300">
        <f t="shared" si="47"/>
        <v>0</v>
      </c>
      <c r="I338" s="299"/>
      <c r="J338" s="1"/>
      <c r="K338" s="299"/>
      <c r="L338" s="1"/>
      <c r="M338" s="299"/>
      <c r="N338" s="299"/>
      <c r="O338" s="299"/>
      <c r="P338" s="299"/>
      <c r="Q338" s="298"/>
      <c r="R338" s="300">
        <f t="shared" si="48"/>
        <v>0</v>
      </c>
      <c r="S338" s="300">
        <f t="shared" si="49"/>
        <v>0</v>
      </c>
      <c r="T338" s="300">
        <f t="shared" si="50"/>
        <v>0</v>
      </c>
      <c r="U338" s="300">
        <f t="shared" si="51"/>
        <v>0</v>
      </c>
      <c r="V338" s="300">
        <f t="shared" si="52"/>
        <v>0</v>
      </c>
      <c r="W338" s="300">
        <f t="shared" si="53"/>
        <v>0</v>
      </c>
      <c r="X338" s="300">
        <f t="shared" si="54"/>
        <v>0</v>
      </c>
      <c r="Y338" s="300">
        <f t="shared" si="55"/>
        <v>0</v>
      </c>
      <c r="Z338"/>
      <c r="AA338"/>
      <c r="AB338"/>
    </row>
    <row r="339" spans="1:28" x14ac:dyDescent="0.35">
      <c r="A339" s="299"/>
      <c r="B339" s="515">
        <v>1.545020333E-6</v>
      </c>
      <c r="C339" s="515">
        <v>2.7928674091931002E-2</v>
      </c>
      <c r="D339" s="515">
        <v>1.9821356735724269</v>
      </c>
      <c r="E339" s="515">
        <v>0.224389485750915</v>
      </c>
      <c r="F339" s="515">
        <v>5.1615866610870004E-3</v>
      </c>
      <c r="G339" s="299"/>
      <c r="H339" s="300">
        <f t="shared" si="47"/>
        <v>0</v>
      </c>
      <c r="I339" s="299"/>
      <c r="J339" s="1"/>
      <c r="K339" s="299"/>
      <c r="L339" s="1"/>
      <c r="M339" s="299"/>
      <c r="N339" s="299"/>
      <c r="O339" s="299"/>
      <c r="P339" s="299"/>
      <c r="Q339" s="298"/>
      <c r="R339" s="300">
        <f t="shared" si="48"/>
        <v>0</v>
      </c>
      <c r="S339" s="300">
        <f t="shared" si="49"/>
        <v>0</v>
      </c>
      <c r="T339" s="300">
        <f t="shared" si="50"/>
        <v>0</v>
      </c>
      <c r="U339" s="300">
        <f t="shared" si="51"/>
        <v>0</v>
      </c>
      <c r="V339" s="300">
        <f t="shared" si="52"/>
        <v>0</v>
      </c>
      <c r="W339" s="300">
        <f t="shared" si="53"/>
        <v>0</v>
      </c>
      <c r="X339" s="300">
        <f t="shared" si="54"/>
        <v>0</v>
      </c>
      <c r="Y339" s="300">
        <f t="shared" si="55"/>
        <v>0</v>
      </c>
      <c r="Z339"/>
      <c r="AA339"/>
      <c r="AB339"/>
    </row>
    <row r="340" spans="1:28" x14ac:dyDescent="0.35">
      <c r="A340" s="299"/>
      <c r="B340" s="515">
        <v>10.271316468424359</v>
      </c>
      <c r="C340" s="515">
        <v>-0.97835703764649595</v>
      </c>
      <c r="D340" s="515">
        <v>1.155860806618185</v>
      </c>
      <c r="E340" s="515">
        <v>0.12926788626050201</v>
      </c>
      <c r="F340" s="515">
        <v>7.5821632250791998E-2</v>
      </c>
      <c r="G340" s="299"/>
      <c r="H340" s="300">
        <f t="shared" si="47"/>
        <v>0</v>
      </c>
      <c r="I340" s="299"/>
      <c r="J340" s="1"/>
      <c r="K340" s="299"/>
      <c r="L340" s="1"/>
      <c r="M340" s="299"/>
      <c r="N340" s="299"/>
      <c r="O340" s="299"/>
      <c r="P340" s="299"/>
      <c r="Q340" s="298"/>
      <c r="R340" s="300">
        <f t="shared" si="48"/>
        <v>0</v>
      </c>
      <c r="S340" s="300">
        <f t="shared" si="49"/>
        <v>0</v>
      </c>
      <c r="T340" s="300">
        <f t="shared" si="50"/>
        <v>0</v>
      </c>
      <c r="U340" s="300">
        <f t="shared" si="51"/>
        <v>0</v>
      </c>
      <c r="V340" s="300">
        <f t="shared" si="52"/>
        <v>0</v>
      </c>
      <c r="W340" s="300">
        <f t="shared" si="53"/>
        <v>0</v>
      </c>
      <c r="X340" s="300">
        <f t="shared" si="54"/>
        <v>0</v>
      </c>
      <c r="Y340" s="300">
        <f t="shared" si="55"/>
        <v>0</v>
      </c>
      <c r="Z340"/>
      <c r="AA340"/>
      <c r="AB340"/>
    </row>
    <row r="341" spans="1:28" x14ac:dyDescent="0.35">
      <c r="A341" s="299"/>
      <c r="B341" s="515">
        <v>4.4510866950970103</v>
      </c>
      <c r="C341" s="515">
        <v>9.5888523146478E-2</v>
      </c>
      <c r="D341" s="515">
        <v>1.384460004279239</v>
      </c>
      <c r="E341" s="515">
        <v>1.08344397563E-4</v>
      </c>
      <c r="F341" s="515">
        <v>6.2356839923093002E-2</v>
      </c>
      <c r="G341" s="299"/>
      <c r="H341" s="300">
        <f t="shared" si="47"/>
        <v>0</v>
      </c>
      <c r="I341" s="299"/>
      <c r="J341" s="1"/>
      <c r="K341" s="299"/>
      <c r="L341" s="1"/>
      <c r="M341" s="299"/>
      <c r="N341" s="299"/>
      <c r="O341" s="299"/>
      <c r="P341" s="299"/>
      <c r="Q341" s="298"/>
      <c r="R341" s="300">
        <f t="shared" si="48"/>
        <v>0</v>
      </c>
      <c r="S341" s="300">
        <f t="shared" si="49"/>
        <v>0</v>
      </c>
      <c r="T341" s="300">
        <f t="shared" si="50"/>
        <v>0</v>
      </c>
      <c r="U341" s="300">
        <f t="shared" si="51"/>
        <v>0</v>
      </c>
      <c r="V341" s="300">
        <f t="shared" si="52"/>
        <v>0</v>
      </c>
      <c r="W341" s="300">
        <f t="shared" si="53"/>
        <v>0</v>
      </c>
      <c r="X341" s="300">
        <f t="shared" si="54"/>
        <v>0</v>
      </c>
      <c r="Y341" s="300">
        <f t="shared" si="55"/>
        <v>0</v>
      </c>
      <c r="Z341"/>
      <c r="AA341"/>
      <c r="AB341"/>
    </row>
    <row r="342" spans="1:28" x14ac:dyDescent="0.35">
      <c r="A342" s="299"/>
      <c r="B342" s="515">
        <v>1.6914814621249E-2</v>
      </c>
      <c r="C342" s="515">
        <v>2.8360696905572001E-2</v>
      </c>
      <c r="D342" s="515">
        <v>1.968210710953467</v>
      </c>
      <c r="E342" s="515">
        <v>0.217790932266228</v>
      </c>
      <c r="F342" s="515">
        <v>6.5549638525430002E-3</v>
      </c>
      <c r="G342" s="299"/>
      <c r="H342" s="300">
        <f t="shared" si="47"/>
        <v>0</v>
      </c>
      <c r="I342" s="299"/>
      <c r="J342" s="1"/>
      <c r="K342" s="299"/>
      <c r="L342" s="1"/>
      <c r="M342" s="299"/>
      <c r="N342" s="299"/>
      <c r="O342" s="299"/>
      <c r="P342" s="299"/>
      <c r="Q342" s="298"/>
      <c r="R342" s="300">
        <f t="shared" si="48"/>
        <v>0</v>
      </c>
      <c r="S342" s="300">
        <f t="shared" si="49"/>
        <v>0</v>
      </c>
      <c r="T342" s="300">
        <f t="shared" si="50"/>
        <v>0</v>
      </c>
      <c r="U342" s="300">
        <f t="shared" si="51"/>
        <v>0</v>
      </c>
      <c r="V342" s="300">
        <f t="shared" si="52"/>
        <v>0</v>
      </c>
      <c r="W342" s="300">
        <f t="shared" si="53"/>
        <v>0</v>
      </c>
      <c r="X342" s="300">
        <f t="shared" si="54"/>
        <v>0</v>
      </c>
      <c r="Y342" s="300">
        <f t="shared" si="55"/>
        <v>0</v>
      </c>
      <c r="Z342"/>
      <c r="AA342"/>
      <c r="AB342"/>
    </row>
    <row r="343" spans="1:28" x14ac:dyDescent="0.35">
      <c r="A343" s="299"/>
      <c r="B343" s="515">
        <v>0.82039926079188397</v>
      </c>
      <c r="C343" s="515">
        <v>0.110173134284705</v>
      </c>
      <c r="D343" s="515">
        <v>0.94493274058333299</v>
      </c>
      <c r="E343" s="515">
        <v>0.13647090948367299</v>
      </c>
      <c r="F343" s="515">
        <v>3.5955537539614002E-2</v>
      </c>
      <c r="G343" s="299"/>
      <c r="H343" s="300">
        <f t="shared" si="47"/>
        <v>0</v>
      </c>
      <c r="I343" s="299"/>
      <c r="J343" s="1"/>
      <c r="K343" s="299"/>
      <c r="L343" s="1"/>
      <c r="M343" s="299"/>
      <c r="N343" s="299"/>
      <c r="O343" s="299"/>
      <c r="P343" s="299"/>
      <c r="Q343" s="298"/>
      <c r="R343" s="300">
        <f t="shared" si="48"/>
        <v>0</v>
      </c>
      <c r="S343" s="300">
        <f t="shared" si="49"/>
        <v>0</v>
      </c>
      <c r="T343" s="300">
        <f t="shared" si="50"/>
        <v>0</v>
      </c>
      <c r="U343" s="300">
        <f t="shared" si="51"/>
        <v>0</v>
      </c>
      <c r="V343" s="300">
        <f t="shared" si="52"/>
        <v>0</v>
      </c>
      <c r="W343" s="300">
        <f t="shared" si="53"/>
        <v>0</v>
      </c>
      <c r="X343" s="300">
        <f t="shared" si="54"/>
        <v>0</v>
      </c>
      <c r="Y343" s="300">
        <f t="shared" si="55"/>
        <v>0</v>
      </c>
      <c r="Z343"/>
      <c r="AA343"/>
      <c r="AB343"/>
    </row>
    <row r="344" spans="1:28" x14ac:dyDescent="0.35">
      <c r="A344" s="299"/>
      <c r="B344" s="515">
        <v>0.75589975384684205</v>
      </c>
      <c r="C344" s="515">
        <v>6.4510331580413E-2</v>
      </c>
      <c r="D344" s="515">
        <v>1.9190712411312989</v>
      </c>
      <c r="E344" s="515">
        <v>0.22984499134390199</v>
      </c>
      <c r="F344" s="515">
        <v>6.0622543219510001E-3</v>
      </c>
      <c r="G344" s="299"/>
      <c r="H344" s="300">
        <f t="shared" si="47"/>
        <v>0</v>
      </c>
      <c r="I344" s="299"/>
      <c r="J344" s="1"/>
      <c r="K344" s="299"/>
      <c r="L344" s="1"/>
      <c r="M344" s="299"/>
      <c r="N344" s="299"/>
      <c r="O344" s="299"/>
      <c r="P344" s="299"/>
      <c r="Q344" s="298"/>
      <c r="R344" s="300">
        <f t="shared" si="48"/>
        <v>0</v>
      </c>
      <c r="S344" s="300">
        <f t="shared" si="49"/>
        <v>0</v>
      </c>
      <c r="T344" s="300">
        <f t="shared" si="50"/>
        <v>0</v>
      </c>
      <c r="U344" s="300">
        <f t="shared" si="51"/>
        <v>0</v>
      </c>
      <c r="V344" s="300">
        <f t="shared" si="52"/>
        <v>0</v>
      </c>
      <c r="W344" s="300">
        <f t="shared" si="53"/>
        <v>0</v>
      </c>
      <c r="X344" s="300">
        <f t="shared" si="54"/>
        <v>0</v>
      </c>
      <c r="Y344" s="300">
        <f t="shared" si="55"/>
        <v>0</v>
      </c>
      <c r="Z344"/>
      <c r="AA344"/>
      <c r="AB344"/>
    </row>
    <row r="345" spans="1:28" x14ac:dyDescent="0.35">
      <c r="A345" s="299"/>
      <c r="B345" s="515">
        <v>0.69053555804891398</v>
      </c>
      <c r="C345" s="515">
        <v>5.3585712369229998E-3</v>
      </c>
      <c r="D345" s="515">
        <v>0.66446100548186304</v>
      </c>
      <c r="E345" s="515">
        <v>1.93041882635E-4</v>
      </c>
      <c r="F345" s="515">
        <v>6.2132143654583999E-2</v>
      </c>
      <c r="G345" s="299"/>
      <c r="H345" s="300">
        <f t="shared" si="47"/>
        <v>0</v>
      </c>
      <c r="I345" s="299"/>
      <c r="J345" s="1"/>
      <c r="K345" s="299"/>
      <c r="L345" s="1"/>
      <c r="M345" s="299"/>
      <c r="N345" s="299"/>
      <c r="O345" s="299"/>
      <c r="P345" s="299"/>
      <c r="Q345" s="298"/>
      <c r="R345" s="300">
        <f t="shared" si="48"/>
        <v>0</v>
      </c>
      <c r="S345" s="300">
        <f t="shared" si="49"/>
        <v>0</v>
      </c>
      <c r="T345" s="300">
        <f t="shared" si="50"/>
        <v>0</v>
      </c>
      <c r="U345" s="300">
        <f t="shared" si="51"/>
        <v>0</v>
      </c>
      <c r="V345" s="300">
        <f t="shared" si="52"/>
        <v>0</v>
      </c>
      <c r="W345" s="300">
        <f t="shared" si="53"/>
        <v>0</v>
      </c>
      <c r="X345" s="300">
        <f t="shared" si="54"/>
        <v>0</v>
      </c>
      <c r="Y345" s="300">
        <f t="shared" si="55"/>
        <v>0</v>
      </c>
      <c r="Z345"/>
      <c r="AA345"/>
      <c r="AB345"/>
    </row>
    <row r="346" spans="1:28" x14ac:dyDescent="0.35">
      <c r="A346" s="299"/>
      <c r="B346" s="515">
        <v>15.72566055901672</v>
      </c>
      <c r="C346" s="515">
        <v>-1.004530175133195</v>
      </c>
      <c r="D346" s="515">
        <v>3.3258267642974011</v>
      </c>
      <c r="E346" s="515">
        <v>0.157857613922358</v>
      </c>
      <c r="F346" s="515">
        <v>5.0797991925617E-2</v>
      </c>
      <c r="G346" s="299"/>
      <c r="H346" s="300">
        <f t="shared" si="47"/>
        <v>0</v>
      </c>
      <c r="I346" s="299"/>
      <c r="J346" s="1"/>
      <c r="K346" s="299"/>
      <c r="L346" s="1"/>
      <c r="M346" s="299"/>
      <c r="N346" s="299"/>
      <c r="O346" s="299"/>
      <c r="P346" s="299"/>
      <c r="Q346" s="298"/>
      <c r="R346" s="300">
        <f t="shared" si="48"/>
        <v>0</v>
      </c>
      <c r="S346" s="300">
        <f t="shared" si="49"/>
        <v>0</v>
      </c>
      <c r="T346" s="300">
        <f t="shared" si="50"/>
        <v>0</v>
      </c>
      <c r="U346" s="300">
        <f t="shared" si="51"/>
        <v>0</v>
      </c>
      <c r="V346" s="300">
        <f t="shared" si="52"/>
        <v>0</v>
      </c>
      <c r="W346" s="300">
        <f t="shared" si="53"/>
        <v>0</v>
      </c>
      <c r="X346" s="300">
        <f t="shared" si="54"/>
        <v>0</v>
      </c>
      <c r="Y346" s="300">
        <f t="shared" si="55"/>
        <v>0</v>
      </c>
      <c r="Z346"/>
      <c r="AA346"/>
      <c r="AB346"/>
    </row>
    <row r="347" spans="1:28" x14ac:dyDescent="0.35">
      <c r="A347" s="299"/>
      <c r="B347" s="515">
        <v>14.66655149091889</v>
      </c>
      <c r="C347" s="515">
        <v>-2.183556212669183</v>
      </c>
      <c r="D347" s="515">
        <v>1.9072991355861739</v>
      </c>
      <c r="E347" s="515">
        <v>0.27099997376268198</v>
      </c>
      <c r="F347" s="515">
        <v>7.3099369637029996E-2</v>
      </c>
      <c r="G347" s="299"/>
      <c r="H347" s="300">
        <f t="shared" si="47"/>
        <v>0</v>
      </c>
      <c r="I347" s="299"/>
      <c r="J347" s="1"/>
      <c r="K347" s="299"/>
      <c r="L347" s="1"/>
      <c r="M347" s="299"/>
      <c r="N347" s="299"/>
      <c r="O347" s="299"/>
      <c r="P347" s="299"/>
      <c r="Q347" s="298"/>
      <c r="R347" s="300">
        <f t="shared" si="48"/>
        <v>0</v>
      </c>
      <c r="S347" s="300">
        <f t="shared" si="49"/>
        <v>0</v>
      </c>
      <c r="T347" s="300">
        <f t="shared" si="50"/>
        <v>0</v>
      </c>
      <c r="U347" s="300">
        <f t="shared" si="51"/>
        <v>0</v>
      </c>
      <c r="V347" s="300">
        <f t="shared" si="52"/>
        <v>0</v>
      </c>
      <c r="W347" s="300">
        <f t="shared" si="53"/>
        <v>0</v>
      </c>
      <c r="X347" s="300">
        <f t="shared" si="54"/>
        <v>0</v>
      </c>
      <c r="Y347" s="300">
        <f t="shared" si="55"/>
        <v>0</v>
      </c>
      <c r="Z347"/>
      <c r="AA347"/>
      <c r="AB347"/>
    </row>
    <row r="348" spans="1:28" x14ac:dyDescent="0.35">
      <c r="A348" s="299"/>
      <c r="B348" s="515">
        <v>3.3447124867974369</v>
      </c>
      <c r="C348" s="515">
        <v>7.8525267286874006E-2</v>
      </c>
      <c r="D348" s="515">
        <v>1.7375090827907269</v>
      </c>
      <c r="E348" s="515">
        <v>0.22652244316306999</v>
      </c>
      <c r="F348" s="515">
        <v>1.8030704535985001E-2</v>
      </c>
      <c r="G348" s="299"/>
      <c r="H348" s="300">
        <f t="shared" si="47"/>
        <v>0</v>
      </c>
      <c r="I348" s="299"/>
      <c r="J348" s="1"/>
      <c r="K348" s="299"/>
      <c r="L348" s="1"/>
      <c r="M348" s="299"/>
      <c r="N348" s="299"/>
      <c r="O348" s="299"/>
      <c r="P348" s="299"/>
      <c r="Q348" s="298"/>
      <c r="R348" s="300">
        <f t="shared" si="48"/>
        <v>0</v>
      </c>
      <c r="S348" s="300">
        <f t="shared" si="49"/>
        <v>0</v>
      </c>
      <c r="T348" s="300">
        <f t="shared" si="50"/>
        <v>0</v>
      </c>
      <c r="U348" s="300">
        <f t="shared" si="51"/>
        <v>0</v>
      </c>
      <c r="V348" s="300">
        <f t="shared" si="52"/>
        <v>0</v>
      </c>
      <c r="W348" s="300">
        <f t="shared" si="53"/>
        <v>0</v>
      </c>
      <c r="X348" s="300">
        <f t="shared" si="54"/>
        <v>0</v>
      </c>
      <c r="Y348" s="300">
        <f t="shared" si="55"/>
        <v>0</v>
      </c>
      <c r="Z348"/>
      <c r="AA348"/>
      <c r="AB348"/>
    </row>
    <row r="349" spans="1:28" x14ac:dyDescent="0.35">
      <c r="A349" s="299"/>
      <c r="B349" s="515">
        <v>6.0406365999999996E-7</v>
      </c>
      <c r="C349" s="515">
        <v>-9.2916223646079994E-3</v>
      </c>
      <c r="D349" s="515">
        <v>7.0006153731240004E-3</v>
      </c>
      <c r="E349" s="515">
        <v>2.2236877700000001E-7</v>
      </c>
      <c r="F349" s="515">
        <v>6.9125644325861005E-2</v>
      </c>
      <c r="G349" s="299"/>
      <c r="H349" s="300">
        <f t="shared" si="47"/>
        <v>0</v>
      </c>
      <c r="I349" s="299"/>
      <c r="J349" s="1"/>
      <c r="K349" s="299"/>
      <c r="L349" s="1"/>
      <c r="M349" s="299"/>
      <c r="N349" s="299"/>
      <c r="O349" s="299"/>
      <c r="P349" s="299"/>
      <c r="Q349" s="298"/>
      <c r="R349" s="300">
        <f t="shared" si="48"/>
        <v>0</v>
      </c>
      <c r="S349" s="300">
        <f t="shared" si="49"/>
        <v>0</v>
      </c>
      <c r="T349" s="300">
        <f t="shared" si="50"/>
        <v>0</v>
      </c>
      <c r="U349" s="300">
        <f t="shared" si="51"/>
        <v>0</v>
      </c>
      <c r="V349" s="300">
        <f t="shared" si="52"/>
        <v>0</v>
      </c>
      <c r="W349" s="300">
        <f t="shared" si="53"/>
        <v>0</v>
      </c>
      <c r="X349" s="300">
        <f t="shared" si="54"/>
        <v>0</v>
      </c>
      <c r="Y349" s="300">
        <f t="shared" si="55"/>
        <v>0</v>
      </c>
      <c r="Z349"/>
      <c r="AA349"/>
      <c r="AB349"/>
    </row>
    <row r="350" spans="1:28" x14ac:dyDescent="0.35">
      <c r="A350" s="299"/>
      <c r="B350" s="515">
        <v>1.1133580690725959</v>
      </c>
      <c r="C350" s="515">
        <v>-0.25473682311604001</v>
      </c>
      <c r="D350" s="515">
        <v>1.1273281240018651</v>
      </c>
      <c r="E350" s="515">
        <v>2.0653524355099999E-4</v>
      </c>
      <c r="F350" s="515">
        <v>5.9950219399470997E-2</v>
      </c>
      <c r="G350" s="299"/>
      <c r="H350" s="300">
        <f t="shared" si="47"/>
        <v>0</v>
      </c>
      <c r="I350" s="299"/>
      <c r="J350" s="1"/>
      <c r="K350" s="299"/>
      <c r="L350" s="1"/>
      <c r="M350" s="299"/>
      <c r="N350" s="299"/>
      <c r="O350" s="299"/>
      <c r="P350" s="299"/>
      <c r="Q350" s="298"/>
      <c r="R350" s="300">
        <f t="shared" si="48"/>
        <v>0</v>
      </c>
      <c r="S350" s="300">
        <f t="shared" si="49"/>
        <v>0</v>
      </c>
      <c r="T350" s="300">
        <f t="shared" si="50"/>
        <v>0</v>
      </c>
      <c r="U350" s="300">
        <f t="shared" si="51"/>
        <v>0</v>
      </c>
      <c r="V350" s="300">
        <f t="shared" si="52"/>
        <v>0</v>
      </c>
      <c r="W350" s="300">
        <f t="shared" si="53"/>
        <v>0</v>
      </c>
      <c r="X350" s="300">
        <f t="shared" si="54"/>
        <v>0</v>
      </c>
      <c r="Y350" s="300">
        <f t="shared" si="55"/>
        <v>0</v>
      </c>
      <c r="Z350"/>
      <c r="AA350"/>
      <c r="AB350"/>
    </row>
    <row r="351" spans="1:28" x14ac:dyDescent="0.35">
      <c r="A351" s="299"/>
      <c r="B351" s="515">
        <v>0.80022039304237702</v>
      </c>
      <c r="C351" s="515">
        <v>7.0023575832615995E-2</v>
      </c>
      <c r="D351" s="515">
        <v>2.012171029947313</v>
      </c>
      <c r="E351" s="515">
        <v>0.22739942988530601</v>
      </c>
      <c r="F351" s="515">
        <v>4.4809825914639998E-3</v>
      </c>
      <c r="G351" s="299"/>
      <c r="H351" s="300">
        <f t="shared" si="47"/>
        <v>0</v>
      </c>
      <c r="I351" s="299"/>
      <c r="J351" s="1"/>
      <c r="K351" s="299"/>
      <c r="L351" s="1"/>
      <c r="M351" s="299"/>
      <c r="N351" s="299"/>
      <c r="O351" s="299"/>
      <c r="P351" s="299"/>
      <c r="Q351" s="298"/>
      <c r="R351" s="300">
        <f t="shared" si="48"/>
        <v>0</v>
      </c>
      <c r="S351" s="300">
        <f t="shared" si="49"/>
        <v>0</v>
      </c>
      <c r="T351" s="300">
        <f t="shared" si="50"/>
        <v>0</v>
      </c>
      <c r="U351" s="300">
        <f t="shared" si="51"/>
        <v>0</v>
      </c>
      <c r="V351" s="300">
        <f t="shared" si="52"/>
        <v>0</v>
      </c>
      <c r="W351" s="300">
        <f t="shared" si="53"/>
        <v>0</v>
      </c>
      <c r="X351" s="300">
        <f t="shared" si="54"/>
        <v>0</v>
      </c>
      <c r="Y351" s="300">
        <f t="shared" si="55"/>
        <v>0</v>
      </c>
      <c r="Z351"/>
      <c r="AA351"/>
      <c r="AB351"/>
    </row>
    <row r="352" spans="1:28" x14ac:dyDescent="0.35">
      <c r="A352" s="299"/>
      <c r="B352" s="515">
        <v>8.6446634576955859</v>
      </c>
      <c r="C352" s="515">
        <v>-0.20181889902938199</v>
      </c>
      <c r="D352" s="515">
        <v>1.279581078548482</v>
      </c>
      <c r="E352" s="515">
        <v>1.1052587468433E-2</v>
      </c>
      <c r="F352" s="515">
        <v>7.3690653692190994E-2</v>
      </c>
      <c r="G352" s="299"/>
      <c r="H352" s="300">
        <f t="shared" si="47"/>
        <v>0</v>
      </c>
      <c r="I352" s="299"/>
      <c r="J352" s="1"/>
      <c r="K352" s="299"/>
      <c r="L352" s="1"/>
      <c r="M352" s="299"/>
      <c r="N352" s="299"/>
      <c r="O352" s="299"/>
      <c r="P352" s="299"/>
      <c r="Q352" s="298"/>
      <c r="R352" s="300">
        <f t="shared" si="48"/>
        <v>0</v>
      </c>
      <c r="S352" s="300">
        <f t="shared" si="49"/>
        <v>0</v>
      </c>
      <c r="T352" s="300">
        <f t="shared" si="50"/>
        <v>0</v>
      </c>
      <c r="U352" s="300">
        <f t="shared" si="51"/>
        <v>0</v>
      </c>
      <c r="V352" s="300">
        <f t="shared" si="52"/>
        <v>0</v>
      </c>
      <c r="W352" s="300">
        <f t="shared" si="53"/>
        <v>0</v>
      </c>
      <c r="X352" s="300">
        <f t="shared" si="54"/>
        <v>0</v>
      </c>
      <c r="Y352" s="300">
        <f t="shared" si="55"/>
        <v>0</v>
      </c>
      <c r="Z352"/>
      <c r="AA352"/>
      <c r="AB352"/>
    </row>
    <row r="353" spans="1:28" x14ac:dyDescent="0.35">
      <c r="A353" s="299"/>
      <c r="B353" s="515">
        <v>1.2762689987270001E-2</v>
      </c>
      <c r="C353" s="515">
        <v>-3.0932121248010001E-2</v>
      </c>
      <c r="D353" s="515">
        <v>0.84821992977837202</v>
      </c>
      <c r="E353" s="515">
        <v>0.157628485381129</v>
      </c>
      <c r="F353" s="515">
        <v>3.4449429759894998E-2</v>
      </c>
      <c r="G353" s="299"/>
      <c r="H353" s="300">
        <f t="shared" si="47"/>
        <v>0</v>
      </c>
      <c r="I353" s="299"/>
      <c r="J353" s="1"/>
      <c r="K353" s="299"/>
      <c r="L353" s="1"/>
      <c r="M353" s="299"/>
      <c r="N353" s="299"/>
      <c r="O353" s="299"/>
      <c r="P353" s="299"/>
      <c r="Q353" s="298"/>
      <c r="R353" s="300">
        <f t="shared" si="48"/>
        <v>0</v>
      </c>
      <c r="S353" s="300">
        <f t="shared" si="49"/>
        <v>0</v>
      </c>
      <c r="T353" s="300">
        <f t="shared" si="50"/>
        <v>0</v>
      </c>
      <c r="U353" s="300">
        <f t="shared" si="51"/>
        <v>0</v>
      </c>
      <c r="V353" s="300">
        <f t="shared" si="52"/>
        <v>0</v>
      </c>
      <c r="W353" s="300">
        <f t="shared" si="53"/>
        <v>0</v>
      </c>
      <c r="X353" s="300">
        <f t="shared" si="54"/>
        <v>0</v>
      </c>
      <c r="Y353" s="300">
        <f t="shared" si="55"/>
        <v>0</v>
      </c>
      <c r="Z353"/>
      <c r="AA353"/>
      <c r="AB353"/>
    </row>
    <row r="354" spans="1:28" x14ac:dyDescent="0.35">
      <c r="A354" s="299"/>
      <c r="B354" s="515">
        <v>0.65221754153970901</v>
      </c>
      <c r="C354" s="515">
        <v>6.7365404997049003E-2</v>
      </c>
      <c r="D354" s="515">
        <v>1.6785182924584849</v>
      </c>
      <c r="E354" s="515">
        <v>0.20731388151463301</v>
      </c>
      <c r="F354" s="515">
        <v>1.3609353206318999E-2</v>
      </c>
      <c r="G354" s="299"/>
      <c r="H354" s="300">
        <f t="shared" si="47"/>
        <v>0</v>
      </c>
      <c r="I354" s="299"/>
      <c r="J354" s="1"/>
      <c r="K354" s="299"/>
      <c r="L354" s="1"/>
      <c r="M354" s="299"/>
      <c r="N354" s="299"/>
      <c r="O354" s="299"/>
      <c r="P354" s="299"/>
      <c r="Q354" s="298"/>
      <c r="R354" s="300">
        <f t="shared" si="48"/>
        <v>0</v>
      </c>
      <c r="S354" s="300">
        <f t="shared" si="49"/>
        <v>0</v>
      </c>
      <c r="T354" s="300">
        <f t="shared" si="50"/>
        <v>0</v>
      </c>
      <c r="U354" s="300">
        <f t="shared" si="51"/>
        <v>0</v>
      </c>
      <c r="V354" s="300">
        <f t="shared" si="52"/>
        <v>0</v>
      </c>
      <c r="W354" s="300">
        <f t="shared" si="53"/>
        <v>0</v>
      </c>
      <c r="X354" s="300">
        <f t="shared" si="54"/>
        <v>0</v>
      </c>
      <c r="Y354" s="300">
        <f t="shared" si="55"/>
        <v>0</v>
      </c>
      <c r="Z354"/>
      <c r="AA354"/>
      <c r="AB354"/>
    </row>
    <row r="355" spans="1:28" x14ac:dyDescent="0.35">
      <c r="A355" s="299"/>
      <c r="B355" s="515">
        <v>0.94718374019764295</v>
      </c>
      <c r="C355" s="515">
        <v>-3.281416496891199</v>
      </c>
      <c r="D355" s="515">
        <v>2.6829951529700038</v>
      </c>
      <c r="E355" s="515">
        <v>3.5401666963240002E-3</v>
      </c>
      <c r="F355" s="515">
        <v>4.7537793136736999E-2</v>
      </c>
      <c r="G355" s="299"/>
      <c r="H355" s="300">
        <f t="shared" si="47"/>
        <v>0</v>
      </c>
      <c r="I355" s="299"/>
      <c r="J355" s="1"/>
      <c r="K355" s="299"/>
      <c r="L355" s="1"/>
      <c r="M355" s="299"/>
      <c r="N355" s="299"/>
      <c r="O355" s="299"/>
      <c r="P355" s="299"/>
      <c r="Q355" s="298"/>
      <c r="R355" s="300">
        <f t="shared" si="48"/>
        <v>0</v>
      </c>
      <c r="S355" s="300">
        <f t="shared" si="49"/>
        <v>0</v>
      </c>
      <c r="T355" s="300">
        <f t="shared" si="50"/>
        <v>0</v>
      </c>
      <c r="U355" s="300">
        <f t="shared" si="51"/>
        <v>0</v>
      </c>
      <c r="V355" s="300">
        <f t="shared" si="52"/>
        <v>0</v>
      </c>
      <c r="W355" s="300">
        <f t="shared" si="53"/>
        <v>0</v>
      </c>
      <c r="X355" s="300">
        <f t="shared" si="54"/>
        <v>0</v>
      </c>
      <c r="Y355" s="300">
        <f t="shared" si="55"/>
        <v>0</v>
      </c>
      <c r="Z355"/>
      <c r="AA355"/>
      <c r="AB355"/>
    </row>
    <row r="356" spans="1:28" x14ac:dyDescent="0.35">
      <c r="A356" s="299"/>
      <c r="B356" s="515">
        <v>1.8625081778712911</v>
      </c>
      <c r="C356" s="515">
        <v>0.10391666350569401</v>
      </c>
      <c r="D356" s="515">
        <v>0.90397696003503802</v>
      </c>
      <c r="E356" s="515">
        <v>3.5009925153253997E-2</v>
      </c>
      <c r="F356" s="515">
        <v>5.5038822477408003E-2</v>
      </c>
      <c r="G356" s="299"/>
      <c r="H356" s="300">
        <f t="shared" si="47"/>
        <v>0</v>
      </c>
      <c r="I356" s="299"/>
      <c r="J356" s="1"/>
      <c r="K356" s="299"/>
      <c r="L356" s="1"/>
      <c r="M356" s="299"/>
      <c r="N356" s="299"/>
      <c r="O356" s="299"/>
      <c r="P356" s="299"/>
      <c r="Q356" s="298"/>
      <c r="R356" s="300">
        <f t="shared" si="48"/>
        <v>0</v>
      </c>
      <c r="S356" s="300">
        <f t="shared" si="49"/>
        <v>0</v>
      </c>
      <c r="T356" s="300">
        <f t="shared" si="50"/>
        <v>0</v>
      </c>
      <c r="U356" s="300">
        <f t="shared" si="51"/>
        <v>0</v>
      </c>
      <c r="V356" s="300">
        <f t="shared" si="52"/>
        <v>0</v>
      </c>
      <c r="W356" s="300">
        <f t="shared" si="53"/>
        <v>0</v>
      </c>
      <c r="X356" s="300">
        <f t="shared" si="54"/>
        <v>0</v>
      </c>
      <c r="Y356" s="300">
        <f t="shared" si="55"/>
        <v>0</v>
      </c>
      <c r="Z356"/>
      <c r="AA356"/>
      <c r="AB356"/>
    </row>
    <row r="357" spans="1:28" x14ac:dyDescent="0.35">
      <c r="A357" s="299"/>
      <c r="B357" s="515">
        <v>10.86002195705669</v>
      </c>
      <c r="C357" s="515">
        <v>0.167994394977066</v>
      </c>
      <c r="D357" s="515">
        <v>1.345476574652303</v>
      </c>
      <c r="E357" s="515">
        <v>7.5481262623999998E-5</v>
      </c>
      <c r="F357" s="515">
        <v>7.6105128819796003E-2</v>
      </c>
      <c r="G357" s="299"/>
      <c r="H357" s="300">
        <f t="shared" si="47"/>
        <v>0</v>
      </c>
      <c r="I357" s="299"/>
      <c r="J357" s="1"/>
      <c r="K357" s="299"/>
      <c r="L357" s="1"/>
      <c r="M357" s="299"/>
      <c r="N357" s="299"/>
      <c r="O357" s="299"/>
      <c r="P357" s="299"/>
      <c r="Q357" s="298"/>
      <c r="R357" s="300">
        <f t="shared" si="48"/>
        <v>0</v>
      </c>
      <c r="S357" s="300">
        <f t="shared" si="49"/>
        <v>0</v>
      </c>
      <c r="T357" s="300">
        <f t="shared" si="50"/>
        <v>0</v>
      </c>
      <c r="U357" s="300">
        <f t="shared" si="51"/>
        <v>0</v>
      </c>
      <c r="V357" s="300">
        <f t="shared" si="52"/>
        <v>0</v>
      </c>
      <c r="W357" s="300">
        <f t="shared" si="53"/>
        <v>0</v>
      </c>
      <c r="X357" s="300">
        <f t="shared" si="54"/>
        <v>0</v>
      </c>
      <c r="Y357" s="300">
        <f t="shared" si="55"/>
        <v>0</v>
      </c>
      <c r="Z357"/>
      <c r="AA357"/>
      <c r="AB357"/>
    </row>
    <row r="358" spans="1:28" x14ac:dyDescent="0.35">
      <c r="A358" s="299"/>
      <c r="B358" s="515">
        <v>5.1283661637583284</v>
      </c>
      <c r="C358" s="515">
        <v>8.3963431447128006E-2</v>
      </c>
      <c r="D358" s="515">
        <v>2.1576476933146811</v>
      </c>
      <c r="E358" s="515">
        <v>0.270625524326088</v>
      </c>
      <c r="F358" s="515">
        <v>4.5637022687910001E-3</v>
      </c>
      <c r="G358" s="299"/>
      <c r="H358" s="300">
        <f t="shared" si="47"/>
        <v>0</v>
      </c>
      <c r="I358" s="299"/>
      <c r="J358" s="1"/>
      <c r="K358" s="299"/>
      <c r="L358" s="1"/>
      <c r="M358" s="299"/>
      <c r="N358" s="299"/>
      <c r="O358" s="299"/>
      <c r="P358" s="299"/>
      <c r="Q358" s="298"/>
      <c r="R358" s="300">
        <f t="shared" si="48"/>
        <v>0</v>
      </c>
      <c r="S358" s="300">
        <f t="shared" si="49"/>
        <v>0</v>
      </c>
      <c r="T358" s="300">
        <f t="shared" si="50"/>
        <v>0</v>
      </c>
      <c r="U358" s="300">
        <f t="shared" si="51"/>
        <v>0</v>
      </c>
      <c r="V358" s="300">
        <f t="shared" si="52"/>
        <v>0</v>
      </c>
      <c r="W358" s="300">
        <f t="shared" si="53"/>
        <v>0</v>
      </c>
      <c r="X358" s="300">
        <f t="shared" si="54"/>
        <v>0</v>
      </c>
      <c r="Y358" s="300">
        <f t="shared" si="55"/>
        <v>0</v>
      </c>
      <c r="Z358"/>
      <c r="AA358"/>
      <c r="AB358"/>
    </row>
    <row r="359" spans="1:28" x14ac:dyDescent="0.35">
      <c r="A359" s="299"/>
      <c r="B359" s="515">
        <v>4.5327988302969998E-3</v>
      </c>
      <c r="C359" s="515">
        <v>9.5926215991622002E-2</v>
      </c>
      <c r="D359" s="515">
        <v>1.434626782305219</v>
      </c>
      <c r="E359" s="515">
        <v>0.20789308707173401</v>
      </c>
      <c r="F359" s="515">
        <v>8.9170052662589996E-3</v>
      </c>
      <c r="G359" s="299"/>
      <c r="H359" s="300">
        <f t="shared" si="47"/>
        <v>0</v>
      </c>
      <c r="I359" s="299"/>
      <c r="J359" s="1"/>
      <c r="K359" s="299"/>
      <c r="L359" s="1"/>
      <c r="M359" s="299"/>
      <c r="N359" s="299"/>
      <c r="O359" s="299"/>
      <c r="P359" s="299"/>
      <c r="Q359" s="298"/>
      <c r="R359" s="300">
        <f t="shared" si="48"/>
        <v>0</v>
      </c>
      <c r="S359" s="300">
        <f t="shared" si="49"/>
        <v>0</v>
      </c>
      <c r="T359" s="300">
        <f t="shared" si="50"/>
        <v>0</v>
      </c>
      <c r="U359" s="300">
        <f t="shared" si="51"/>
        <v>0</v>
      </c>
      <c r="V359" s="300">
        <f t="shared" si="52"/>
        <v>0</v>
      </c>
      <c r="W359" s="300">
        <f t="shared" si="53"/>
        <v>0</v>
      </c>
      <c r="X359" s="300">
        <f t="shared" si="54"/>
        <v>0</v>
      </c>
      <c r="Y359" s="300">
        <f t="shared" si="55"/>
        <v>0</v>
      </c>
      <c r="Z359"/>
      <c r="AA359"/>
      <c r="AB359"/>
    </row>
    <row r="360" spans="1:28" x14ac:dyDescent="0.35">
      <c r="A360" s="299"/>
      <c r="B360" s="515">
        <v>1.9232464786837431</v>
      </c>
      <c r="C360" s="515">
        <v>-0.11829260201776801</v>
      </c>
      <c r="D360" s="515">
        <v>0.96999927966986199</v>
      </c>
      <c r="E360" s="515">
        <v>4.2598080682590004E-3</v>
      </c>
      <c r="F360" s="515">
        <v>6.2775114287075995E-2</v>
      </c>
      <c r="G360" s="299"/>
      <c r="H360" s="300">
        <f t="shared" si="47"/>
        <v>0</v>
      </c>
      <c r="I360" s="299"/>
      <c r="J360" s="1"/>
      <c r="K360" s="299"/>
      <c r="L360" s="1"/>
      <c r="M360" s="299"/>
      <c r="N360" s="299"/>
      <c r="O360" s="299"/>
      <c r="P360" s="299"/>
      <c r="Q360" s="298"/>
      <c r="R360" s="300">
        <f t="shared" si="48"/>
        <v>0</v>
      </c>
      <c r="S360" s="300">
        <f t="shared" si="49"/>
        <v>0</v>
      </c>
      <c r="T360" s="300">
        <f t="shared" si="50"/>
        <v>0</v>
      </c>
      <c r="U360" s="300">
        <f t="shared" si="51"/>
        <v>0</v>
      </c>
      <c r="V360" s="300">
        <f t="shared" si="52"/>
        <v>0</v>
      </c>
      <c r="W360" s="300">
        <f t="shared" si="53"/>
        <v>0</v>
      </c>
      <c r="X360" s="300">
        <f t="shared" si="54"/>
        <v>0</v>
      </c>
      <c r="Y360" s="300">
        <f t="shared" si="55"/>
        <v>0</v>
      </c>
      <c r="Z360"/>
      <c r="AA360"/>
      <c r="AB360"/>
    </row>
    <row r="361" spans="1:28" x14ac:dyDescent="0.35">
      <c r="A361" s="299"/>
      <c r="B361" s="515">
        <v>1.6885497649125549</v>
      </c>
      <c r="C361" s="515">
        <v>6.9261094394360997E-2</v>
      </c>
      <c r="D361" s="515">
        <v>2.0098973218022609</v>
      </c>
      <c r="E361" s="515">
        <v>0.243717800537225</v>
      </c>
      <c r="F361" s="515">
        <v>4.8909581198080003E-3</v>
      </c>
      <c r="G361" s="299"/>
      <c r="H361" s="300">
        <f t="shared" si="47"/>
        <v>0</v>
      </c>
      <c r="I361" s="299"/>
      <c r="J361" s="1"/>
      <c r="K361" s="299"/>
      <c r="L361" s="1"/>
      <c r="M361" s="299"/>
      <c r="N361" s="299"/>
      <c r="O361" s="299"/>
      <c r="P361" s="299"/>
      <c r="Q361" s="298"/>
      <c r="R361" s="300">
        <f t="shared" si="48"/>
        <v>0</v>
      </c>
      <c r="S361" s="300">
        <f t="shared" si="49"/>
        <v>0</v>
      </c>
      <c r="T361" s="300">
        <f t="shared" si="50"/>
        <v>0</v>
      </c>
      <c r="U361" s="300">
        <f t="shared" si="51"/>
        <v>0</v>
      </c>
      <c r="V361" s="300">
        <f t="shared" si="52"/>
        <v>0</v>
      </c>
      <c r="W361" s="300">
        <f t="shared" si="53"/>
        <v>0</v>
      </c>
      <c r="X361" s="300">
        <f t="shared" si="54"/>
        <v>0</v>
      </c>
      <c r="Y361" s="300">
        <f t="shared" si="55"/>
        <v>0</v>
      </c>
      <c r="Z361"/>
      <c r="AA361"/>
      <c r="AB361"/>
    </row>
    <row r="362" spans="1:28" x14ac:dyDescent="0.35">
      <c r="A362" s="299"/>
      <c r="B362" s="515">
        <v>12.566613059293831</v>
      </c>
      <c r="C362" s="515">
        <v>-0.80444966968624398</v>
      </c>
      <c r="D362" s="515">
        <v>2.995744447981755</v>
      </c>
      <c r="E362" s="515">
        <v>7.4737160100000004E-7</v>
      </c>
      <c r="F362" s="515">
        <v>6.2909106549985994E-2</v>
      </c>
      <c r="G362" s="299"/>
      <c r="H362" s="300">
        <f t="shared" si="47"/>
        <v>0</v>
      </c>
      <c r="I362" s="299"/>
      <c r="J362" s="1"/>
      <c r="K362" s="299"/>
      <c r="L362" s="1"/>
      <c r="M362" s="299"/>
      <c r="N362" s="299"/>
      <c r="O362" s="299"/>
      <c r="P362" s="299"/>
      <c r="Q362" s="298"/>
      <c r="R362" s="300">
        <f t="shared" si="48"/>
        <v>0</v>
      </c>
      <c r="S362" s="300">
        <f t="shared" si="49"/>
        <v>0</v>
      </c>
      <c r="T362" s="300">
        <f t="shared" si="50"/>
        <v>0</v>
      </c>
      <c r="U362" s="300">
        <f t="shared" si="51"/>
        <v>0</v>
      </c>
      <c r="V362" s="300">
        <f t="shared" si="52"/>
        <v>0</v>
      </c>
      <c r="W362" s="300">
        <f t="shared" si="53"/>
        <v>0</v>
      </c>
      <c r="X362" s="300">
        <f t="shared" si="54"/>
        <v>0</v>
      </c>
      <c r="Y362" s="300">
        <f t="shared" si="55"/>
        <v>0</v>
      </c>
      <c r="Z362"/>
      <c r="AA362"/>
      <c r="AB362"/>
    </row>
    <row r="363" spans="1:28" x14ac:dyDescent="0.35">
      <c r="A363" s="299"/>
      <c r="B363" s="515">
        <v>4.3332857752386893</v>
      </c>
      <c r="C363" s="515">
        <v>0.167999554788033</v>
      </c>
      <c r="D363" s="515">
        <v>7.0127830101360004E-3</v>
      </c>
      <c r="E363" s="515">
        <v>7.5621873000000003E-8</v>
      </c>
      <c r="F363" s="515">
        <v>7.6384780080423001E-2</v>
      </c>
      <c r="G363" s="299"/>
      <c r="H363" s="300">
        <f t="shared" si="47"/>
        <v>0</v>
      </c>
      <c r="I363" s="299"/>
      <c r="J363" s="1"/>
      <c r="K363" s="299"/>
      <c r="L363" s="1"/>
      <c r="M363" s="299"/>
      <c r="N363" s="299"/>
      <c r="O363" s="299"/>
      <c r="P363" s="299"/>
      <c r="Q363" s="298"/>
      <c r="R363" s="300">
        <f t="shared" si="48"/>
        <v>0</v>
      </c>
      <c r="S363" s="300">
        <f t="shared" si="49"/>
        <v>0</v>
      </c>
      <c r="T363" s="300">
        <f t="shared" si="50"/>
        <v>0</v>
      </c>
      <c r="U363" s="300">
        <f t="shared" si="51"/>
        <v>0</v>
      </c>
      <c r="V363" s="300">
        <f t="shared" si="52"/>
        <v>0</v>
      </c>
      <c r="W363" s="300">
        <f t="shared" si="53"/>
        <v>0</v>
      </c>
      <c r="X363" s="300">
        <f t="shared" si="54"/>
        <v>0</v>
      </c>
      <c r="Y363" s="300">
        <f t="shared" si="55"/>
        <v>0</v>
      </c>
      <c r="Z363"/>
      <c r="AA363"/>
      <c r="AB363"/>
    </row>
    <row r="364" spans="1:28" x14ac:dyDescent="0.35">
      <c r="A364" s="299"/>
      <c r="B364" s="515">
        <v>2.6396713589235761</v>
      </c>
      <c r="C364" s="515">
        <v>5.4328293740146999E-2</v>
      </c>
      <c r="D364" s="515">
        <v>0.65557501516160299</v>
      </c>
      <c r="E364" s="515">
        <v>0.122021134164914</v>
      </c>
      <c r="F364" s="515">
        <v>5.3683500012053E-2</v>
      </c>
      <c r="G364" s="299"/>
      <c r="H364" s="300">
        <f t="shared" si="47"/>
        <v>0</v>
      </c>
      <c r="I364" s="299"/>
      <c r="J364" s="1"/>
      <c r="K364" s="299"/>
      <c r="L364" s="1"/>
      <c r="M364" s="299"/>
      <c r="N364" s="299"/>
      <c r="O364" s="299"/>
      <c r="P364" s="299"/>
      <c r="Q364" s="298"/>
      <c r="R364" s="300">
        <f t="shared" si="48"/>
        <v>0</v>
      </c>
      <c r="S364" s="300">
        <f t="shared" si="49"/>
        <v>0</v>
      </c>
      <c r="T364" s="300">
        <f t="shared" si="50"/>
        <v>0</v>
      </c>
      <c r="U364" s="300">
        <f t="shared" si="51"/>
        <v>0</v>
      </c>
      <c r="V364" s="300">
        <f t="shared" si="52"/>
        <v>0</v>
      </c>
      <c r="W364" s="300">
        <f t="shared" si="53"/>
        <v>0</v>
      </c>
      <c r="X364" s="300">
        <f t="shared" si="54"/>
        <v>0</v>
      </c>
      <c r="Y364" s="300">
        <f t="shared" si="55"/>
        <v>0</v>
      </c>
      <c r="Z364"/>
      <c r="AA364"/>
      <c r="AB364"/>
    </row>
    <row r="365" spans="1:28" x14ac:dyDescent="0.35">
      <c r="A365" s="299"/>
      <c r="B365" s="515">
        <v>9.6415892598300896</v>
      </c>
      <c r="C365" s="515">
        <v>0.136659082019262</v>
      </c>
      <c r="D365" s="515">
        <v>1.153578272806661</v>
      </c>
      <c r="E365" s="515">
        <v>4.8408907396015999E-2</v>
      </c>
      <c r="F365" s="515">
        <v>7.4051359821146995E-2</v>
      </c>
      <c r="G365" s="299"/>
      <c r="H365" s="300">
        <f t="shared" si="47"/>
        <v>0</v>
      </c>
      <c r="I365" s="299"/>
      <c r="J365" s="1"/>
      <c r="K365" s="299"/>
      <c r="L365" s="1"/>
      <c r="M365" s="299"/>
      <c r="N365" s="299"/>
      <c r="O365" s="299"/>
      <c r="P365" s="299"/>
      <c r="Q365" s="298"/>
      <c r="R365" s="300">
        <f t="shared" si="48"/>
        <v>0</v>
      </c>
      <c r="S365" s="300">
        <f t="shared" si="49"/>
        <v>0</v>
      </c>
      <c r="T365" s="300">
        <f t="shared" si="50"/>
        <v>0</v>
      </c>
      <c r="U365" s="300">
        <f t="shared" si="51"/>
        <v>0</v>
      </c>
      <c r="V365" s="300">
        <f t="shared" si="52"/>
        <v>0</v>
      </c>
      <c r="W365" s="300">
        <f t="shared" si="53"/>
        <v>0</v>
      </c>
      <c r="X365" s="300">
        <f t="shared" si="54"/>
        <v>0</v>
      </c>
      <c r="Y365" s="300">
        <f t="shared" si="55"/>
        <v>0</v>
      </c>
      <c r="Z365"/>
      <c r="AA365"/>
      <c r="AB365"/>
    </row>
    <row r="366" spans="1:28" x14ac:dyDescent="0.35">
      <c r="A366" s="299"/>
      <c r="B366" s="515">
        <v>14.89983949305393</v>
      </c>
      <c r="C366" s="515">
        <v>-3.286992766558352</v>
      </c>
      <c r="D366" s="515">
        <v>3.193450833844854</v>
      </c>
      <c r="E366" s="515">
        <v>1.74707843835E-3</v>
      </c>
      <c r="F366" s="515">
        <v>6.7273194950585993E-2</v>
      </c>
      <c r="G366" s="299"/>
      <c r="H366" s="300">
        <f t="shared" si="47"/>
        <v>0</v>
      </c>
      <c r="I366" s="299"/>
      <c r="J366" s="1"/>
      <c r="K366" s="299"/>
      <c r="L366" s="1"/>
      <c r="M366" s="299"/>
      <c r="N366" s="299"/>
      <c r="O366" s="299"/>
      <c r="P366" s="299"/>
      <c r="Q366" s="298"/>
      <c r="R366" s="300">
        <f t="shared" si="48"/>
        <v>0</v>
      </c>
      <c r="S366" s="300">
        <f t="shared" si="49"/>
        <v>0</v>
      </c>
      <c r="T366" s="300">
        <f t="shared" si="50"/>
        <v>0</v>
      </c>
      <c r="U366" s="300">
        <f t="shared" si="51"/>
        <v>0</v>
      </c>
      <c r="V366" s="300">
        <f t="shared" si="52"/>
        <v>0</v>
      </c>
      <c r="W366" s="300">
        <f t="shared" si="53"/>
        <v>0</v>
      </c>
      <c r="X366" s="300">
        <f t="shared" si="54"/>
        <v>0</v>
      </c>
      <c r="Y366" s="300">
        <f t="shared" si="55"/>
        <v>0</v>
      </c>
      <c r="Z366"/>
      <c r="AA366"/>
      <c r="AB366"/>
    </row>
    <row r="367" spans="1:28" x14ac:dyDescent="0.35">
      <c r="A367" s="299"/>
      <c r="B367" s="515">
        <v>0.60793928590330004</v>
      </c>
      <c r="C367" s="515">
        <v>6.2501794161109001E-2</v>
      </c>
      <c r="D367" s="515">
        <v>1.587892519719867</v>
      </c>
      <c r="E367" s="515">
        <v>0.19568118861525899</v>
      </c>
      <c r="F367" s="515">
        <v>1.7644032329110999E-2</v>
      </c>
      <c r="G367" s="299"/>
      <c r="H367" s="300">
        <f t="shared" si="47"/>
        <v>0</v>
      </c>
      <c r="I367" s="299"/>
      <c r="J367" s="1"/>
      <c r="K367" s="299"/>
      <c r="L367" s="1"/>
      <c r="M367" s="299"/>
      <c r="N367" s="299"/>
      <c r="O367" s="299"/>
      <c r="P367" s="299"/>
      <c r="Q367" s="298"/>
      <c r="R367" s="300">
        <f t="shared" si="48"/>
        <v>0</v>
      </c>
      <c r="S367" s="300">
        <f t="shared" si="49"/>
        <v>0</v>
      </c>
      <c r="T367" s="300">
        <f t="shared" si="50"/>
        <v>0</v>
      </c>
      <c r="U367" s="300">
        <f t="shared" si="51"/>
        <v>0</v>
      </c>
      <c r="V367" s="300">
        <f t="shared" si="52"/>
        <v>0</v>
      </c>
      <c r="W367" s="300">
        <f t="shared" si="53"/>
        <v>0</v>
      </c>
      <c r="X367" s="300">
        <f t="shared" si="54"/>
        <v>0</v>
      </c>
      <c r="Y367" s="300">
        <f t="shared" si="55"/>
        <v>0</v>
      </c>
      <c r="Z367"/>
      <c r="AA367"/>
      <c r="AB367"/>
    </row>
    <row r="368" spans="1:28" x14ac:dyDescent="0.35">
      <c r="A368" s="299"/>
      <c r="B368" s="515">
        <v>1.3696357918625039</v>
      </c>
      <c r="C368" s="515">
        <v>1.9481758557012001E-2</v>
      </c>
      <c r="D368" s="515">
        <v>1.42153423846639</v>
      </c>
      <c r="E368" s="515">
        <v>0.16436070696496999</v>
      </c>
      <c r="F368" s="515">
        <v>3.0571126015357001E-2</v>
      </c>
      <c r="G368" s="299"/>
      <c r="H368" s="300">
        <f t="shared" si="47"/>
        <v>0</v>
      </c>
      <c r="I368" s="299"/>
      <c r="J368" s="1"/>
      <c r="K368" s="299"/>
      <c r="L368" s="1"/>
      <c r="M368" s="299"/>
      <c r="N368" s="299"/>
      <c r="O368" s="299"/>
      <c r="P368" s="299"/>
      <c r="Q368" s="298"/>
      <c r="R368" s="300">
        <f t="shared" si="48"/>
        <v>0</v>
      </c>
      <c r="S368" s="300">
        <f t="shared" si="49"/>
        <v>0</v>
      </c>
      <c r="T368" s="300">
        <f t="shared" si="50"/>
        <v>0</v>
      </c>
      <c r="U368" s="300">
        <f t="shared" si="51"/>
        <v>0</v>
      </c>
      <c r="V368" s="300">
        <f t="shared" si="52"/>
        <v>0</v>
      </c>
      <c r="W368" s="300">
        <f t="shared" si="53"/>
        <v>0</v>
      </c>
      <c r="X368" s="300">
        <f t="shared" si="54"/>
        <v>0</v>
      </c>
      <c r="Y368" s="300">
        <f t="shared" si="55"/>
        <v>0</v>
      </c>
      <c r="Z368"/>
      <c r="AA368"/>
      <c r="AB368"/>
    </row>
    <row r="369" spans="1:28" x14ac:dyDescent="0.35">
      <c r="A369" s="299"/>
      <c r="B369" s="515">
        <v>6.8689241681307918</v>
      </c>
      <c r="C369" s="515">
        <v>1.7716042119856001E-2</v>
      </c>
      <c r="D369" s="515">
        <v>1.2272736416137171</v>
      </c>
      <c r="E369" s="515">
        <v>0.15505367389893601</v>
      </c>
      <c r="F369" s="515">
        <v>5.5387426890227E-2</v>
      </c>
      <c r="G369" s="299"/>
      <c r="H369" s="300">
        <f t="shared" si="47"/>
        <v>0</v>
      </c>
      <c r="I369" s="299"/>
      <c r="J369" s="1"/>
      <c r="K369" s="299"/>
      <c r="L369" s="1"/>
      <c r="M369" s="299"/>
      <c r="N369" s="299"/>
      <c r="O369" s="299"/>
      <c r="P369" s="299"/>
      <c r="Q369" s="298"/>
      <c r="R369" s="300">
        <f t="shared" si="48"/>
        <v>0</v>
      </c>
      <c r="S369" s="300">
        <f t="shared" si="49"/>
        <v>0</v>
      </c>
      <c r="T369" s="300">
        <f t="shared" si="50"/>
        <v>0</v>
      </c>
      <c r="U369" s="300">
        <f t="shared" si="51"/>
        <v>0</v>
      </c>
      <c r="V369" s="300">
        <f t="shared" si="52"/>
        <v>0</v>
      </c>
      <c r="W369" s="300">
        <f t="shared" si="53"/>
        <v>0</v>
      </c>
      <c r="X369" s="300">
        <f t="shared" si="54"/>
        <v>0</v>
      </c>
      <c r="Y369" s="300">
        <f t="shared" si="55"/>
        <v>0</v>
      </c>
      <c r="Z369"/>
      <c r="AA369"/>
      <c r="AB369"/>
    </row>
    <row r="370" spans="1:28" x14ac:dyDescent="0.35">
      <c r="A370" s="299"/>
      <c r="B370" s="515">
        <v>0.10465902783026999</v>
      </c>
      <c r="C370" s="515">
        <v>5.3826925546076002E-2</v>
      </c>
      <c r="D370" s="515">
        <v>0.10810787840135901</v>
      </c>
      <c r="E370" s="515">
        <v>0.110661632691093</v>
      </c>
      <c r="F370" s="515">
        <v>5.2742551614143998E-2</v>
      </c>
      <c r="G370" s="299"/>
      <c r="H370" s="300">
        <f t="shared" si="47"/>
        <v>0</v>
      </c>
      <c r="I370" s="299"/>
      <c r="J370" s="1"/>
      <c r="K370" s="299"/>
      <c r="L370" s="1"/>
      <c r="M370" s="299"/>
      <c r="N370" s="299"/>
      <c r="O370" s="299"/>
      <c r="P370" s="299"/>
      <c r="Q370" s="298"/>
      <c r="R370" s="300">
        <f t="shared" si="48"/>
        <v>0</v>
      </c>
      <c r="S370" s="300">
        <f t="shared" si="49"/>
        <v>0</v>
      </c>
      <c r="T370" s="300">
        <f t="shared" si="50"/>
        <v>0</v>
      </c>
      <c r="U370" s="300">
        <f t="shared" si="51"/>
        <v>0</v>
      </c>
      <c r="V370" s="300">
        <f t="shared" si="52"/>
        <v>0</v>
      </c>
      <c r="W370" s="300">
        <f t="shared" si="53"/>
        <v>0</v>
      </c>
      <c r="X370" s="300">
        <f t="shared" si="54"/>
        <v>0</v>
      </c>
      <c r="Y370" s="300">
        <f t="shared" si="55"/>
        <v>0</v>
      </c>
      <c r="Z370"/>
      <c r="AA370"/>
      <c r="AB370"/>
    </row>
    <row r="371" spans="1:28" x14ac:dyDescent="0.35">
      <c r="A371" s="299"/>
      <c r="B371" s="515">
        <v>14.141648697086559</v>
      </c>
      <c r="C371" s="515">
        <v>-0.57774444758639998</v>
      </c>
      <c r="D371" s="515">
        <v>1.64969240168906</v>
      </c>
      <c r="E371" s="515">
        <v>0.18377460989505601</v>
      </c>
      <c r="F371" s="515">
        <v>7.4949716937015007E-2</v>
      </c>
      <c r="G371" s="299"/>
      <c r="H371" s="300">
        <f t="shared" si="47"/>
        <v>0</v>
      </c>
      <c r="I371" s="299"/>
      <c r="J371" s="1"/>
      <c r="K371" s="299"/>
      <c r="L371" s="1"/>
      <c r="M371" s="299"/>
      <c r="N371" s="299"/>
      <c r="O371" s="299"/>
      <c r="P371" s="299"/>
      <c r="Q371" s="298"/>
      <c r="R371" s="300">
        <f t="shared" si="48"/>
        <v>0</v>
      </c>
      <c r="S371" s="300">
        <f t="shared" si="49"/>
        <v>0</v>
      </c>
      <c r="T371" s="300">
        <f t="shared" si="50"/>
        <v>0</v>
      </c>
      <c r="U371" s="300">
        <f t="shared" si="51"/>
        <v>0</v>
      </c>
      <c r="V371" s="300">
        <f t="shared" si="52"/>
        <v>0</v>
      </c>
      <c r="W371" s="300">
        <f t="shared" si="53"/>
        <v>0</v>
      </c>
      <c r="X371" s="300">
        <f t="shared" si="54"/>
        <v>0</v>
      </c>
      <c r="Y371" s="300">
        <f t="shared" si="55"/>
        <v>0</v>
      </c>
      <c r="Z371"/>
      <c r="AA371"/>
      <c r="AB371"/>
    </row>
    <row r="372" spans="1:28" x14ac:dyDescent="0.35">
      <c r="A372" s="299"/>
      <c r="B372" s="515">
        <v>7.0827071662515744</v>
      </c>
      <c r="C372" s="515">
        <v>2.2626924000707999E-2</v>
      </c>
      <c r="D372" s="515">
        <v>1.4851806193535491</v>
      </c>
      <c r="E372" s="515">
        <v>0.154236829956129</v>
      </c>
      <c r="F372" s="515">
        <v>5.2254490567974002E-2</v>
      </c>
      <c r="G372" s="299"/>
      <c r="H372" s="300">
        <f t="shared" si="47"/>
        <v>0</v>
      </c>
      <c r="I372" s="299"/>
      <c r="J372" s="1"/>
      <c r="K372" s="299"/>
      <c r="L372" s="1"/>
      <c r="M372" s="299"/>
      <c r="N372" s="299"/>
      <c r="O372" s="299"/>
      <c r="P372" s="299"/>
      <c r="Q372" s="298"/>
      <c r="R372" s="300">
        <f t="shared" si="48"/>
        <v>0</v>
      </c>
      <c r="S372" s="300">
        <f t="shared" si="49"/>
        <v>0</v>
      </c>
      <c r="T372" s="300">
        <f t="shared" si="50"/>
        <v>0</v>
      </c>
      <c r="U372" s="300">
        <f t="shared" si="51"/>
        <v>0</v>
      </c>
      <c r="V372" s="300">
        <f t="shared" si="52"/>
        <v>0</v>
      </c>
      <c r="W372" s="300">
        <f t="shared" si="53"/>
        <v>0</v>
      </c>
      <c r="X372" s="300">
        <f t="shared" si="54"/>
        <v>0</v>
      </c>
      <c r="Y372" s="300">
        <f t="shared" si="55"/>
        <v>0</v>
      </c>
      <c r="Z372"/>
      <c r="AA372"/>
      <c r="AB372"/>
    </row>
    <row r="373" spans="1:28" x14ac:dyDescent="0.35">
      <c r="A373" s="299"/>
      <c r="B373" s="515">
        <v>14.239587048339001</v>
      </c>
      <c r="C373" s="515">
        <v>-3.2868895195173402</v>
      </c>
      <c r="D373" s="515">
        <v>1.9248429635539761</v>
      </c>
      <c r="E373" s="515">
        <v>2.5952719722600001E-3</v>
      </c>
      <c r="F373" s="515">
        <v>7.9331874423813994E-2</v>
      </c>
      <c r="G373" s="299"/>
      <c r="H373" s="300">
        <f t="shared" si="47"/>
        <v>0</v>
      </c>
      <c r="I373" s="299"/>
      <c r="J373" s="1"/>
      <c r="K373" s="299"/>
      <c r="L373" s="1"/>
      <c r="M373" s="299"/>
      <c r="N373" s="299"/>
      <c r="O373" s="299"/>
      <c r="P373" s="299"/>
      <c r="Q373" s="298"/>
      <c r="R373" s="300">
        <f t="shared" si="48"/>
        <v>0</v>
      </c>
      <c r="S373" s="300">
        <f t="shared" si="49"/>
        <v>0</v>
      </c>
      <c r="T373" s="300">
        <f t="shared" si="50"/>
        <v>0</v>
      </c>
      <c r="U373" s="300">
        <f t="shared" si="51"/>
        <v>0</v>
      </c>
      <c r="V373" s="300">
        <f t="shared" si="52"/>
        <v>0</v>
      </c>
      <c r="W373" s="300">
        <f t="shared" si="53"/>
        <v>0</v>
      </c>
      <c r="X373" s="300">
        <f t="shared" si="54"/>
        <v>0</v>
      </c>
      <c r="Y373" s="300">
        <f t="shared" si="55"/>
        <v>0</v>
      </c>
      <c r="Z373"/>
      <c r="AA373"/>
      <c r="AB373"/>
    </row>
    <row r="374" spans="1:28" x14ac:dyDescent="0.35">
      <c r="A374" s="299"/>
      <c r="B374" s="515">
        <v>11.06923088256605</v>
      </c>
      <c r="C374" s="515">
        <v>0.16799959944168399</v>
      </c>
      <c r="D374" s="515">
        <v>1.1247206788608251</v>
      </c>
      <c r="E374" s="515">
        <v>4.2615000230788999E-2</v>
      </c>
      <c r="F374" s="515">
        <v>7.7395223850088998E-2</v>
      </c>
      <c r="G374" s="299"/>
      <c r="H374" s="300">
        <f t="shared" si="47"/>
        <v>0</v>
      </c>
      <c r="I374" s="299"/>
      <c r="J374" s="1"/>
      <c r="K374" s="299"/>
      <c r="L374" s="1"/>
      <c r="M374" s="299"/>
      <c r="N374" s="299"/>
      <c r="O374" s="299"/>
      <c r="P374" s="299"/>
      <c r="Q374" s="298"/>
      <c r="R374" s="300">
        <f t="shared" si="48"/>
        <v>0</v>
      </c>
      <c r="S374" s="300">
        <f t="shared" si="49"/>
        <v>0</v>
      </c>
      <c r="T374" s="300">
        <f t="shared" si="50"/>
        <v>0</v>
      </c>
      <c r="U374" s="300">
        <f t="shared" si="51"/>
        <v>0</v>
      </c>
      <c r="V374" s="300">
        <f t="shared" si="52"/>
        <v>0</v>
      </c>
      <c r="W374" s="300">
        <f t="shared" si="53"/>
        <v>0</v>
      </c>
      <c r="X374" s="300">
        <f t="shared" si="54"/>
        <v>0</v>
      </c>
      <c r="Y374" s="300">
        <f t="shared" si="55"/>
        <v>0</v>
      </c>
      <c r="Z374"/>
      <c r="AA374"/>
      <c r="AB374"/>
    </row>
    <row r="375" spans="1:28" x14ac:dyDescent="0.35">
      <c r="A375" s="299"/>
      <c r="B375" s="515">
        <v>2.3043908626530002E-3</v>
      </c>
      <c r="C375" s="515">
        <v>7.1710285861697004E-2</v>
      </c>
      <c r="D375" s="515">
        <v>0.34456702981654003</v>
      </c>
      <c r="E375" s="515">
        <v>0.101455034538001</v>
      </c>
      <c r="F375" s="515">
        <v>4.9410505165077001E-2</v>
      </c>
      <c r="G375" s="299"/>
      <c r="H375" s="300">
        <f t="shared" si="47"/>
        <v>0</v>
      </c>
      <c r="I375" s="299"/>
      <c r="J375" s="1"/>
      <c r="K375" s="299"/>
      <c r="L375" s="1"/>
      <c r="M375" s="299"/>
      <c r="N375" s="299"/>
      <c r="O375" s="299"/>
      <c r="P375" s="299"/>
      <c r="Q375" s="298"/>
      <c r="R375" s="300">
        <f t="shared" si="48"/>
        <v>0</v>
      </c>
      <c r="S375" s="300">
        <f t="shared" si="49"/>
        <v>0</v>
      </c>
      <c r="T375" s="300">
        <f t="shared" si="50"/>
        <v>0</v>
      </c>
      <c r="U375" s="300">
        <f t="shared" si="51"/>
        <v>0</v>
      </c>
      <c r="V375" s="300">
        <f t="shared" si="52"/>
        <v>0</v>
      </c>
      <c r="W375" s="300">
        <f t="shared" si="53"/>
        <v>0</v>
      </c>
      <c r="X375" s="300">
        <f t="shared" si="54"/>
        <v>0</v>
      </c>
      <c r="Y375" s="300">
        <f t="shared" si="55"/>
        <v>0</v>
      </c>
      <c r="Z375"/>
      <c r="AA375"/>
      <c r="AB375"/>
    </row>
    <row r="376" spans="1:28" x14ac:dyDescent="0.35">
      <c r="A376" s="299"/>
      <c r="B376" s="515">
        <v>7.6602719012262996E-2</v>
      </c>
      <c r="C376" s="515">
        <v>7.1296767268540007E-2</v>
      </c>
      <c r="D376" s="515">
        <v>7.5817496452980004E-3</v>
      </c>
      <c r="E376" s="515">
        <v>0.10152197027753</v>
      </c>
      <c r="F376" s="515">
        <v>5.4886718895446003E-2</v>
      </c>
      <c r="G376" s="299"/>
      <c r="H376" s="300">
        <f t="shared" si="47"/>
        <v>0</v>
      </c>
      <c r="I376" s="299"/>
      <c r="J376" s="1"/>
      <c r="K376" s="299"/>
      <c r="L376" s="1"/>
      <c r="M376" s="299"/>
      <c r="N376" s="299"/>
      <c r="O376" s="299"/>
      <c r="P376" s="299"/>
      <c r="Q376" s="298"/>
      <c r="R376" s="300">
        <f t="shared" si="48"/>
        <v>0</v>
      </c>
      <c r="S376" s="300">
        <f t="shared" si="49"/>
        <v>0</v>
      </c>
      <c r="T376" s="300">
        <f t="shared" si="50"/>
        <v>0</v>
      </c>
      <c r="U376" s="300">
        <f t="shared" si="51"/>
        <v>0</v>
      </c>
      <c r="V376" s="300">
        <f t="shared" si="52"/>
        <v>0</v>
      </c>
      <c r="W376" s="300">
        <f t="shared" si="53"/>
        <v>0</v>
      </c>
      <c r="X376" s="300">
        <f t="shared" si="54"/>
        <v>0</v>
      </c>
      <c r="Y376" s="300">
        <f t="shared" si="55"/>
        <v>0</v>
      </c>
      <c r="Z376"/>
      <c r="AA376"/>
      <c r="AB376"/>
    </row>
    <row r="377" spans="1:28" x14ac:dyDescent="0.35">
      <c r="A377" s="299"/>
      <c r="B377" s="515">
        <v>1.5808406616580319</v>
      </c>
      <c r="C377" s="515">
        <v>7.9540481448923006E-2</v>
      </c>
      <c r="D377" s="515">
        <v>1.895815366465287</v>
      </c>
      <c r="E377" s="515">
        <v>0.25055419514107602</v>
      </c>
      <c r="F377" s="515">
        <v>2.0001065176990002E-3</v>
      </c>
      <c r="G377" s="299"/>
      <c r="H377" s="300">
        <f t="shared" si="47"/>
        <v>0</v>
      </c>
      <c r="I377" s="299"/>
      <c r="J377" s="1"/>
      <c r="K377" s="299"/>
      <c r="L377" s="1"/>
      <c r="M377" s="299"/>
      <c r="N377" s="299"/>
      <c r="O377" s="299"/>
      <c r="P377" s="299"/>
      <c r="Q377" s="298"/>
      <c r="R377" s="300">
        <f t="shared" si="48"/>
        <v>0</v>
      </c>
      <c r="S377" s="300">
        <f t="shared" si="49"/>
        <v>0</v>
      </c>
      <c r="T377" s="300">
        <f t="shared" si="50"/>
        <v>0</v>
      </c>
      <c r="U377" s="300">
        <f t="shared" si="51"/>
        <v>0</v>
      </c>
      <c r="V377" s="300">
        <f t="shared" si="52"/>
        <v>0</v>
      </c>
      <c r="W377" s="300">
        <f t="shared" si="53"/>
        <v>0</v>
      </c>
      <c r="X377" s="300">
        <f t="shared" si="54"/>
        <v>0</v>
      </c>
      <c r="Y377" s="300">
        <f t="shared" si="55"/>
        <v>0</v>
      </c>
      <c r="Z377"/>
      <c r="AA377"/>
      <c r="AB377"/>
    </row>
    <row r="378" spans="1:28" x14ac:dyDescent="0.35">
      <c r="A378" s="299"/>
      <c r="B378" s="515">
        <v>6.3576676689999996E-6</v>
      </c>
      <c r="C378" s="515">
        <v>-1.4680874326870279</v>
      </c>
      <c r="D378" s="515">
        <v>7.004624346045E-3</v>
      </c>
      <c r="E378" s="515">
        <v>9.4146995640700004E-2</v>
      </c>
      <c r="F378" s="515">
        <v>6.9945684419083998E-2</v>
      </c>
      <c r="G378" s="299"/>
      <c r="H378" s="300">
        <f t="shared" si="47"/>
        <v>0</v>
      </c>
      <c r="I378" s="299"/>
      <c r="J378" s="1"/>
      <c r="K378" s="299"/>
      <c r="L378" s="1"/>
      <c r="M378" s="299"/>
      <c r="N378" s="299"/>
      <c r="O378" s="299"/>
      <c r="P378" s="299"/>
      <c r="Q378" s="298"/>
      <c r="R378" s="300">
        <f t="shared" si="48"/>
        <v>0</v>
      </c>
      <c r="S378" s="300">
        <f t="shared" si="49"/>
        <v>0</v>
      </c>
      <c r="T378" s="300">
        <f t="shared" si="50"/>
        <v>0</v>
      </c>
      <c r="U378" s="300">
        <f t="shared" si="51"/>
        <v>0</v>
      </c>
      <c r="V378" s="300">
        <f t="shared" si="52"/>
        <v>0</v>
      </c>
      <c r="W378" s="300">
        <f t="shared" si="53"/>
        <v>0</v>
      </c>
      <c r="X378" s="300">
        <f t="shared" si="54"/>
        <v>0</v>
      </c>
      <c r="Y378" s="300">
        <f t="shared" si="55"/>
        <v>0</v>
      </c>
      <c r="Z378"/>
      <c r="AA378"/>
      <c r="AB378"/>
    </row>
    <row r="379" spans="1:28" x14ac:dyDescent="0.35">
      <c r="A379" s="299"/>
      <c r="B379" s="515">
        <v>0.75594569089609498</v>
      </c>
      <c r="C379" s="515">
        <v>6.4511848389036994E-2</v>
      </c>
      <c r="D379" s="515">
        <v>1.919251156560396</v>
      </c>
      <c r="E379" s="515">
        <v>0.229860240087738</v>
      </c>
      <c r="F379" s="515">
        <v>6.0564385859110002E-3</v>
      </c>
      <c r="G379" s="299"/>
      <c r="H379" s="300">
        <f t="shared" si="47"/>
        <v>0</v>
      </c>
      <c r="I379" s="299"/>
      <c r="J379" s="1"/>
      <c r="K379" s="299"/>
      <c r="L379" s="1"/>
      <c r="M379" s="299"/>
      <c r="N379" s="299"/>
      <c r="O379" s="299"/>
      <c r="P379" s="299"/>
      <c r="Q379" s="298"/>
      <c r="R379" s="300">
        <f t="shared" si="48"/>
        <v>0</v>
      </c>
      <c r="S379" s="300">
        <f t="shared" si="49"/>
        <v>0</v>
      </c>
      <c r="T379" s="300">
        <f t="shared" si="50"/>
        <v>0</v>
      </c>
      <c r="U379" s="300">
        <f t="shared" si="51"/>
        <v>0</v>
      </c>
      <c r="V379" s="300">
        <f t="shared" si="52"/>
        <v>0</v>
      </c>
      <c r="W379" s="300">
        <f t="shared" si="53"/>
        <v>0</v>
      </c>
      <c r="X379" s="300">
        <f t="shared" si="54"/>
        <v>0</v>
      </c>
      <c r="Y379" s="300">
        <f t="shared" si="55"/>
        <v>0</v>
      </c>
      <c r="Z379"/>
      <c r="AA379"/>
      <c r="AB379"/>
    </row>
    <row r="380" spans="1:28" x14ac:dyDescent="0.35">
      <c r="A380" s="299"/>
      <c r="B380" s="515">
        <v>1.60555253123E-3</v>
      </c>
      <c r="C380" s="515">
        <v>-2.924842720745803</v>
      </c>
      <c r="D380" s="515">
        <v>2.4056154090710882</v>
      </c>
      <c r="E380" s="515">
        <v>9.3220028532078003E-2</v>
      </c>
      <c r="F380" s="515">
        <v>4.4311785316517999E-2</v>
      </c>
      <c r="G380" s="299"/>
      <c r="H380" s="300">
        <f t="shared" si="47"/>
        <v>0</v>
      </c>
      <c r="I380" s="299"/>
      <c r="J380" s="1"/>
      <c r="K380" s="299"/>
      <c r="L380" s="1"/>
      <c r="M380" s="299"/>
      <c r="N380" s="299"/>
      <c r="O380" s="299"/>
      <c r="P380" s="299"/>
      <c r="Q380" s="298"/>
      <c r="R380" s="300">
        <f t="shared" si="48"/>
        <v>0</v>
      </c>
      <c r="S380" s="300">
        <f t="shared" si="49"/>
        <v>0</v>
      </c>
      <c r="T380" s="300">
        <f t="shared" si="50"/>
        <v>0</v>
      </c>
      <c r="U380" s="300">
        <f t="shared" si="51"/>
        <v>0</v>
      </c>
      <c r="V380" s="300">
        <f t="shared" si="52"/>
        <v>0</v>
      </c>
      <c r="W380" s="300">
        <f t="shared" si="53"/>
        <v>0</v>
      </c>
      <c r="X380" s="300">
        <f t="shared" si="54"/>
        <v>0</v>
      </c>
      <c r="Y380" s="300">
        <f t="shared" si="55"/>
        <v>0</v>
      </c>
      <c r="Z380"/>
      <c r="AA380"/>
      <c r="AB380"/>
    </row>
    <row r="381" spans="1:28" x14ac:dyDescent="0.35">
      <c r="A381" s="299"/>
      <c r="B381" s="515">
        <v>3.2997971790000002E-6</v>
      </c>
      <c r="C381" s="515">
        <v>-0.621126411995929</v>
      </c>
      <c r="D381" s="515">
        <v>1.969043702463797</v>
      </c>
      <c r="E381" s="515">
        <v>4.4611013000000002E-8</v>
      </c>
      <c r="F381" s="515">
        <v>4.8954942568864998E-2</v>
      </c>
      <c r="G381" s="299"/>
      <c r="H381" s="300">
        <f t="shared" si="47"/>
        <v>0</v>
      </c>
      <c r="I381" s="299"/>
      <c r="J381" s="1"/>
      <c r="K381" s="299"/>
      <c r="L381" s="1"/>
      <c r="M381" s="299"/>
      <c r="N381" s="299"/>
      <c r="O381" s="299"/>
      <c r="P381" s="299"/>
      <c r="Q381" s="298"/>
      <c r="R381" s="300">
        <f t="shared" si="48"/>
        <v>0</v>
      </c>
      <c r="S381" s="300">
        <f t="shared" si="49"/>
        <v>0</v>
      </c>
      <c r="T381" s="300">
        <f t="shared" si="50"/>
        <v>0</v>
      </c>
      <c r="U381" s="300">
        <f t="shared" si="51"/>
        <v>0</v>
      </c>
      <c r="V381" s="300">
        <f t="shared" si="52"/>
        <v>0</v>
      </c>
      <c r="W381" s="300">
        <f t="shared" si="53"/>
        <v>0</v>
      </c>
      <c r="X381" s="300">
        <f t="shared" si="54"/>
        <v>0</v>
      </c>
      <c r="Y381" s="300">
        <f t="shared" si="55"/>
        <v>0</v>
      </c>
      <c r="Z381"/>
      <c r="AA381"/>
      <c r="AB381"/>
    </row>
    <row r="382" spans="1:28" x14ac:dyDescent="0.35">
      <c r="A382" s="299"/>
      <c r="B382" s="515">
        <v>11.14179862963613</v>
      </c>
      <c r="C382" s="515">
        <v>-0.54873196831487103</v>
      </c>
      <c r="D382" s="515">
        <v>1.5219418720758551</v>
      </c>
      <c r="E382" s="515">
        <v>0.17399612462580599</v>
      </c>
      <c r="F382" s="515">
        <v>7.0217480659325995E-2</v>
      </c>
      <c r="G382" s="299"/>
      <c r="H382" s="300">
        <f t="shared" si="47"/>
        <v>0</v>
      </c>
      <c r="I382" s="299"/>
      <c r="J382" s="1"/>
      <c r="K382" s="299"/>
      <c r="L382" s="1"/>
      <c r="M382" s="299"/>
      <c r="N382" s="299"/>
      <c r="O382" s="299"/>
      <c r="P382" s="299"/>
      <c r="Q382" s="298"/>
      <c r="R382" s="300">
        <f t="shared" si="48"/>
        <v>0</v>
      </c>
      <c r="S382" s="300">
        <f t="shared" si="49"/>
        <v>0</v>
      </c>
      <c r="T382" s="300">
        <f t="shared" si="50"/>
        <v>0</v>
      </c>
      <c r="U382" s="300">
        <f t="shared" si="51"/>
        <v>0</v>
      </c>
      <c r="V382" s="300">
        <f t="shared" si="52"/>
        <v>0</v>
      </c>
      <c r="W382" s="300">
        <f t="shared" si="53"/>
        <v>0</v>
      </c>
      <c r="X382" s="300">
        <f t="shared" si="54"/>
        <v>0</v>
      </c>
      <c r="Y382" s="300">
        <f t="shared" si="55"/>
        <v>0</v>
      </c>
      <c r="Z382"/>
      <c r="AA382"/>
      <c r="AB382"/>
    </row>
    <row r="383" spans="1:28" x14ac:dyDescent="0.35">
      <c r="A383" s="299"/>
      <c r="B383" s="515">
        <v>5.8334568483606812</v>
      </c>
      <c r="C383" s="515">
        <v>-3.2866958092544269</v>
      </c>
      <c r="D383" s="515">
        <v>0.16483022186735899</v>
      </c>
      <c r="E383" s="515">
        <v>1.415878766074E-3</v>
      </c>
      <c r="F383" s="515">
        <v>8.0860045502367001E-2</v>
      </c>
      <c r="G383" s="299"/>
      <c r="H383" s="300">
        <f t="shared" si="47"/>
        <v>0</v>
      </c>
      <c r="I383" s="299"/>
      <c r="J383" s="1"/>
      <c r="K383" s="299"/>
      <c r="L383" s="1"/>
      <c r="M383" s="299"/>
      <c r="N383" s="299"/>
      <c r="O383" s="299"/>
      <c r="P383" s="299"/>
      <c r="Q383" s="298"/>
      <c r="R383" s="300">
        <f t="shared" si="48"/>
        <v>0</v>
      </c>
      <c r="S383" s="300">
        <f t="shared" si="49"/>
        <v>0</v>
      </c>
      <c r="T383" s="300">
        <f t="shared" si="50"/>
        <v>0</v>
      </c>
      <c r="U383" s="300">
        <f t="shared" si="51"/>
        <v>0</v>
      </c>
      <c r="V383" s="300">
        <f t="shared" si="52"/>
        <v>0</v>
      </c>
      <c r="W383" s="300">
        <f t="shared" si="53"/>
        <v>0</v>
      </c>
      <c r="X383" s="300">
        <f t="shared" si="54"/>
        <v>0</v>
      </c>
      <c r="Y383" s="300">
        <f t="shared" si="55"/>
        <v>0</v>
      </c>
      <c r="Z383"/>
      <c r="AA383"/>
      <c r="AB383"/>
    </row>
    <row r="384" spans="1:28" x14ac:dyDescent="0.35">
      <c r="A384" s="299"/>
      <c r="B384" s="515">
        <v>3.0633786190944999E-2</v>
      </c>
      <c r="C384" s="515">
        <v>0.167717344720513</v>
      </c>
      <c r="D384" s="515">
        <v>1.93043603354712</v>
      </c>
      <c r="E384" s="515">
        <v>3.9011017116299999E-3</v>
      </c>
      <c r="F384" s="515">
        <v>2.4174974704216999E-2</v>
      </c>
      <c r="G384" s="299"/>
      <c r="H384" s="300">
        <f t="shared" si="47"/>
        <v>0</v>
      </c>
      <c r="I384" s="299"/>
      <c r="J384" s="1"/>
      <c r="K384" s="299"/>
      <c r="L384" s="1"/>
      <c r="M384" s="299"/>
      <c r="N384" s="299"/>
      <c r="O384" s="299"/>
      <c r="P384" s="299"/>
      <c r="Q384" s="298"/>
      <c r="R384" s="300">
        <f t="shared" si="48"/>
        <v>0</v>
      </c>
      <c r="S384" s="300">
        <f t="shared" si="49"/>
        <v>0</v>
      </c>
      <c r="T384" s="300">
        <f t="shared" si="50"/>
        <v>0</v>
      </c>
      <c r="U384" s="300">
        <f t="shared" si="51"/>
        <v>0</v>
      </c>
      <c r="V384" s="300">
        <f t="shared" si="52"/>
        <v>0</v>
      </c>
      <c r="W384" s="300">
        <f t="shared" si="53"/>
        <v>0</v>
      </c>
      <c r="X384" s="300">
        <f t="shared" si="54"/>
        <v>0</v>
      </c>
      <c r="Y384" s="300">
        <f t="shared" si="55"/>
        <v>0</v>
      </c>
      <c r="Z384"/>
      <c r="AA384"/>
      <c r="AB384"/>
    </row>
    <row r="385" spans="1:28" x14ac:dyDescent="0.35">
      <c r="A385" s="299"/>
      <c r="B385" s="515">
        <v>1.241195427344207</v>
      </c>
      <c r="C385" s="515">
        <v>4.5079150590470997E-2</v>
      </c>
      <c r="D385" s="515">
        <v>0.19809045833508601</v>
      </c>
      <c r="E385" s="515">
        <v>0.100225496127234</v>
      </c>
      <c r="F385" s="515">
        <v>5.8317437465207997E-2</v>
      </c>
      <c r="G385" s="299"/>
      <c r="H385" s="300">
        <f t="shared" ref="H385:H448" si="56">SUMPRODUCT(B385:F385,B$61:F$61)</f>
        <v>0</v>
      </c>
      <c r="I385" s="299"/>
      <c r="J385" s="1"/>
      <c r="K385" s="299"/>
      <c r="L385" s="1"/>
      <c r="M385" s="299"/>
      <c r="N385" s="299"/>
      <c r="O385" s="299"/>
      <c r="P385" s="299"/>
      <c r="Q385" s="298"/>
      <c r="R385" s="300">
        <f t="shared" ref="R385:R448" si="57">SUMPRODUCT($B385:$F385,$K$64:$O$64)</f>
        <v>0</v>
      </c>
      <c r="S385" s="300">
        <f t="shared" ref="S385:S448" si="58">SUMPRODUCT($B385:$F385,$K$65:$O$65)</f>
        <v>0</v>
      </c>
      <c r="T385" s="300">
        <f t="shared" ref="T385:T448" si="59">SUMPRODUCT($B385:$F385,$K$66:$O$66)</f>
        <v>0</v>
      </c>
      <c r="U385" s="300">
        <f t="shared" ref="U385:U448" si="60">SUMPRODUCT($B385:$F385,$K$67:$O$67)</f>
        <v>0</v>
      </c>
      <c r="V385" s="300">
        <f t="shared" ref="V385:V448" si="61">SUMPRODUCT($B385:$F385,$K$68:$O$68)</f>
        <v>0</v>
      </c>
      <c r="W385" s="300">
        <f t="shared" ref="W385:W448" si="62">SUMPRODUCT($B385:$F385,$K$69:$O$69)</f>
        <v>0</v>
      </c>
      <c r="X385" s="300">
        <f t="shared" ref="X385:X448" si="63">SUMPRODUCT($B385:$F385,$K$70:$O$70)</f>
        <v>0</v>
      </c>
      <c r="Y385" s="300">
        <f t="shared" ref="Y385:Y448" si="64">SUMPRODUCT($B385:$F385,$K$71:$O$71)</f>
        <v>0</v>
      </c>
      <c r="Z385"/>
      <c r="AA385"/>
      <c r="AB385"/>
    </row>
    <row r="386" spans="1:28" x14ac:dyDescent="0.35">
      <c r="A386" s="299"/>
      <c r="B386" s="515">
        <v>1.64923487274017</v>
      </c>
      <c r="C386" s="515">
        <v>-1.6751749942695002E-2</v>
      </c>
      <c r="D386" s="515">
        <v>7.0002992751670001E-3</v>
      </c>
      <c r="E386" s="515">
        <v>7.2926259164333998E-2</v>
      </c>
      <c r="F386" s="515">
        <v>6.6798491193193005E-2</v>
      </c>
      <c r="G386" s="299"/>
      <c r="H386" s="300">
        <f t="shared" si="56"/>
        <v>0</v>
      </c>
      <c r="I386" s="299"/>
      <c r="J386" s="1"/>
      <c r="K386" s="299"/>
      <c r="L386" s="1"/>
      <c r="M386" s="299"/>
      <c r="N386" s="299"/>
      <c r="O386" s="299"/>
      <c r="P386" s="299"/>
      <c r="Q386" s="298"/>
      <c r="R386" s="300">
        <f t="shared" si="57"/>
        <v>0</v>
      </c>
      <c r="S386" s="300">
        <f t="shared" si="58"/>
        <v>0</v>
      </c>
      <c r="T386" s="300">
        <f t="shared" si="59"/>
        <v>0</v>
      </c>
      <c r="U386" s="300">
        <f t="shared" si="60"/>
        <v>0</v>
      </c>
      <c r="V386" s="300">
        <f t="shared" si="61"/>
        <v>0</v>
      </c>
      <c r="W386" s="300">
        <f t="shared" si="62"/>
        <v>0</v>
      </c>
      <c r="X386" s="300">
        <f t="shared" si="63"/>
        <v>0</v>
      </c>
      <c r="Y386" s="300">
        <f t="shared" si="64"/>
        <v>0</v>
      </c>
      <c r="Z386"/>
      <c r="AA386"/>
      <c r="AB386"/>
    </row>
    <row r="387" spans="1:28" x14ac:dyDescent="0.35">
      <c r="A387" s="299"/>
      <c r="B387" s="515">
        <v>5.2129799048643974</v>
      </c>
      <c r="C387" s="515">
        <v>1.5352107231044999E-2</v>
      </c>
      <c r="D387" s="515">
        <v>1.797541319344901</v>
      </c>
      <c r="E387" s="515">
        <v>0.205499420239286</v>
      </c>
      <c r="F387" s="515">
        <v>3.0198213862465999E-2</v>
      </c>
      <c r="G387" s="299"/>
      <c r="H387" s="300">
        <f t="shared" si="56"/>
        <v>0</v>
      </c>
      <c r="I387" s="299"/>
      <c r="J387" s="1"/>
      <c r="K387" s="299"/>
      <c r="L387" s="1"/>
      <c r="M387" s="299"/>
      <c r="N387" s="299"/>
      <c r="O387" s="299"/>
      <c r="P387" s="299"/>
      <c r="Q387" s="298"/>
      <c r="R387" s="300">
        <f t="shared" si="57"/>
        <v>0</v>
      </c>
      <c r="S387" s="300">
        <f t="shared" si="58"/>
        <v>0</v>
      </c>
      <c r="T387" s="300">
        <f t="shared" si="59"/>
        <v>0</v>
      </c>
      <c r="U387" s="300">
        <f t="shared" si="60"/>
        <v>0</v>
      </c>
      <c r="V387" s="300">
        <f t="shared" si="61"/>
        <v>0</v>
      </c>
      <c r="W387" s="300">
        <f t="shared" si="62"/>
        <v>0</v>
      </c>
      <c r="X387" s="300">
        <f t="shared" si="63"/>
        <v>0</v>
      </c>
      <c r="Y387" s="300">
        <f t="shared" si="64"/>
        <v>0</v>
      </c>
      <c r="Z387"/>
      <c r="AA387"/>
      <c r="AB387"/>
    </row>
    <row r="388" spans="1:28" x14ac:dyDescent="0.35">
      <c r="A388" s="299"/>
      <c r="B388" s="515">
        <v>9.1111360975635006E-2</v>
      </c>
      <c r="C388" s="515">
        <v>6.6608909424540994E-2</v>
      </c>
      <c r="D388" s="515">
        <v>7.0070700957399999E-3</v>
      </c>
      <c r="E388" s="515">
        <v>0.10434795615799999</v>
      </c>
      <c r="F388" s="515">
        <v>5.4723164547438002E-2</v>
      </c>
      <c r="G388" s="299"/>
      <c r="H388" s="300">
        <f t="shared" si="56"/>
        <v>0</v>
      </c>
      <c r="I388" s="299"/>
      <c r="J388" s="1"/>
      <c r="K388" s="299"/>
      <c r="L388" s="1"/>
      <c r="M388" s="299"/>
      <c r="N388" s="299"/>
      <c r="O388" s="299"/>
      <c r="P388" s="299"/>
      <c r="Q388" s="298"/>
      <c r="R388" s="300">
        <f t="shared" si="57"/>
        <v>0</v>
      </c>
      <c r="S388" s="300">
        <f t="shared" si="58"/>
        <v>0</v>
      </c>
      <c r="T388" s="300">
        <f t="shared" si="59"/>
        <v>0</v>
      </c>
      <c r="U388" s="300">
        <f t="shared" si="60"/>
        <v>0</v>
      </c>
      <c r="V388" s="300">
        <f t="shared" si="61"/>
        <v>0</v>
      </c>
      <c r="W388" s="300">
        <f t="shared" si="62"/>
        <v>0</v>
      </c>
      <c r="X388" s="300">
        <f t="shared" si="63"/>
        <v>0</v>
      </c>
      <c r="Y388" s="300">
        <f t="shared" si="64"/>
        <v>0</v>
      </c>
      <c r="Z388"/>
      <c r="AA388"/>
      <c r="AB388"/>
    </row>
    <row r="389" spans="1:28" x14ac:dyDescent="0.35">
      <c r="A389" s="299"/>
      <c r="B389" s="515">
        <v>1.7292899799839999E-3</v>
      </c>
      <c r="C389" s="515">
        <v>8.6362492762943999E-2</v>
      </c>
      <c r="D389" s="515">
        <v>0.59586308397225995</v>
      </c>
      <c r="E389" s="515">
        <v>0.13132837225272201</v>
      </c>
      <c r="F389" s="515">
        <v>3.9506322761159E-2</v>
      </c>
      <c r="G389" s="299"/>
      <c r="H389" s="300">
        <f t="shared" si="56"/>
        <v>0</v>
      </c>
      <c r="I389" s="299"/>
      <c r="J389" s="1"/>
      <c r="K389" s="299"/>
      <c r="L389" s="1"/>
      <c r="M389" s="299"/>
      <c r="N389" s="299"/>
      <c r="O389" s="299"/>
      <c r="P389" s="299"/>
      <c r="Q389" s="298"/>
      <c r="R389" s="300">
        <f t="shared" si="57"/>
        <v>0</v>
      </c>
      <c r="S389" s="300">
        <f t="shared" si="58"/>
        <v>0</v>
      </c>
      <c r="T389" s="300">
        <f t="shared" si="59"/>
        <v>0</v>
      </c>
      <c r="U389" s="300">
        <f t="shared" si="60"/>
        <v>0</v>
      </c>
      <c r="V389" s="300">
        <f t="shared" si="61"/>
        <v>0</v>
      </c>
      <c r="W389" s="300">
        <f t="shared" si="62"/>
        <v>0</v>
      </c>
      <c r="X389" s="300">
        <f t="shared" si="63"/>
        <v>0</v>
      </c>
      <c r="Y389" s="300">
        <f t="shared" si="64"/>
        <v>0</v>
      </c>
      <c r="Z389"/>
      <c r="AA389"/>
      <c r="AB389"/>
    </row>
    <row r="390" spans="1:28" x14ac:dyDescent="0.35">
      <c r="A390" s="299"/>
      <c r="B390" s="515">
        <v>4.1787463799999996E-6</v>
      </c>
      <c r="C390" s="515">
        <v>6.7152417057416994E-2</v>
      </c>
      <c r="D390" s="515">
        <v>0.42489896135744998</v>
      </c>
      <c r="E390" s="515">
        <v>0.12992890421594999</v>
      </c>
      <c r="F390" s="515">
        <v>4.3585472590888998E-2</v>
      </c>
      <c r="G390" s="299"/>
      <c r="H390" s="300">
        <f t="shared" si="56"/>
        <v>0</v>
      </c>
      <c r="I390" s="299"/>
      <c r="J390" s="1"/>
      <c r="K390" s="299"/>
      <c r="L390" s="1"/>
      <c r="M390" s="299"/>
      <c r="N390" s="299"/>
      <c r="O390" s="299"/>
      <c r="P390" s="299"/>
      <c r="Q390" s="298"/>
      <c r="R390" s="300">
        <f t="shared" si="57"/>
        <v>0</v>
      </c>
      <c r="S390" s="300">
        <f t="shared" si="58"/>
        <v>0</v>
      </c>
      <c r="T390" s="300">
        <f t="shared" si="59"/>
        <v>0</v>
      </c>
      <c r="U390" s="300">
        <f t="shared" si="60"/>
        <v>0</v>
      </c>
      <c r="V390" s="300">
        <f t="shared" si="61"/>
        <v>0</v>
      </c>
      <c r="W390" s="300">
        <f t="shared" si="62"/>
        <v>0</v>
      </c>
      <c r="X390" s="300">
        <f t="shared" si="63"/>
        <v>0</v>
      </c>
      <c r="Y390" s="300">
        <f t="shared" si="64"/>
        <v>0</v>
      </c>
      <c r="Z390"/>
      <c r="AA390"/>
      <c r="AB390"/>
    </row>
    <row r="391" spans="1:28" x14ac:dyDescent="0.35">
      <c r="A391" s="299"/>
      <c r="B391" s="515">
        <v>4.2486773302340639</v>
      </c>
      <c r="C391" s="515">
        <v>-1.682140476879896</v>
      </c>
      <c r="D391" s="515">
        <v>0.410146081933982</v>
      </c>
      <c r="E391" s="515">
        <v>0.17696277077641401</v>
      </c>
      <c r="F391" s="515">
        <v>7.1355684084576002E-2</v>
      </c>
      <c r="G391" s="299"/>
      <c r="H391" s="300">
        <f t="shared" si="56"/>
        <v>0</v>
      </c>
      <c r="I391" s="299"/>
      <c r="J391" s="1"/>
      <c r="K391" s="299"/>
      <c r="L391" s="1"/>
      <c r="M391" s="299"/>
      <c r="N391" s="299"/>
      <c r="O391" s="299"/>
      <c r="P391" s="299"/>
      <c r="Q391" s="298"/>
      <c r="R391" s="300">
        <f t="shared" si="57"/>
        <v>0</v>
      </c>
      <c r="S391" s="300">
        <f t="shared" si="58"/>
        <v>0</v>
      </c>
      <c r="T391" s="300">
        <f t="shared" si="59"/>
        <v>0</v>
      </c>
      <c r="U391" s="300">
        <f t="shared" si="60"/>
        <v>0</v>
      </c>
      <c r="V391" s="300">
        <f t="shared" si="61"/>
        <v>0</v>
      </c>
      <c r="W391" s="300">
        <f t="shared" si="62"/>
        <v>0</v>
      </c>
      <c r="X391" s="300">
        <f t="shared" si="63"/>
        <v>0</v>
      </c>
      <c r="Y391" s="300">
        <f t="shared" si="64"/>
        <v>0</v>
      </c>
      <c r="Z391"/>
      <c r="AA391"/>
      <c r="AB391"/>
    </row>
    <row r="392" spans="1:28" x14ac:dyDescent="0.35">
      <c r="A392" s="299"/>
      <c r="B392" s="515">
        <v>6.8697394134509411</v>
      </c>
      <c r="C392" s="515">
        <v>1.7713460204727999E-2</v>
      </c>
      <c r="D392" s="515">
        <v>1.2271290510354631</v>
      </c>
      <c r="E392" s="515">
        <v>0.15504629322990501</v>
      </c>
      <c r="F392" s="515">
        <v>5.5392522949585001E-2</v>
      </c>
      <c r="G392" s="299"/>
      <c r="H392" s="300">
        <f t="shared" si="56"/>
        <v>0</v>
      </c>
      <c r="I392" s="299"/>
      <c r="J392" s="1"/>
      <c r="K392" s="299"/>
      <c r="L392" s="1"/>
      <c r="M392" s="299"/>
      <c r="N392" s="299"/>
      <c r="O392" s="299"/>
      <c r="P392" s="299"/>
      <c r="Q392" s="298"/>
      <c r="R392" s="300">
        <f t="shared" si="57"/>
        <v>0</v>
      </c>
      <c r="S392" s="300">
        <f t="shared" si="58"/>
        <v>0</v>
      </c>
      <c r="T392" s="300">
        <f t="shared" si="59"/>
        <v>0</v>
      </c>
      <c r="U392" s="300">
        <f t="shared" si="60"/>
        <v>0</v>
      </c>
      <c r="V392" s="300">
        <f t="shared" si="61"/>
        <v>0</v>
      </c>
      <c r="W392" s="300">
        <f t="shared" si="62"/>
        <v>0</v>
      </c>
      <c r="X392" s="300">
        <f t="shared" si="63"/>
        <v>0</v>
      </c>
      <c r="Y392" s="300">
        <f t="shared" si="64"/>
        <v>0</v>
      </c>
      <c r="Z392"/>
      <c r="AA392"/>
      <c r="AB392"/>
    </row>
    <row r="393" spans="1:28" x14ac:dyDescent="0.35">
      <c r="A393" s="299"/>
      <c r="B393" s="515">
        <v>10.860172860367699</v>
      </c>
      <c r="C393" s="515">
        <v>0.167999350440448</v>
      </c>
      <c r="D393" s="515">
        <v>1.3457948570715801</v>
      </c>
      <c r="E393" s="515">
        <v>2.7625962989999998E-6</v>
      </c>
      <c r="F393" s="515">
        <v>7.6104014302733003E-2</v>
      </c>
      <c r="G393" s="299"/>
      <c r="H393" s="300">
        <f t="shared" si="56"/>
        <v>0</v>
      </c>
      <c r="I393" s="299"/>
      <c r="J393" s="1"/>
      <c r="K393" s="299"/>
      <c r="L393" s="1"/>
      <c r="M393" s="299"/>
      <c r="N393" s="299"/>
      <c r="O393" s="299"/>
      <c r="P393" s="299"/>
      <c r="Q393" s="298"/>
      <c r="R393" s="300">
        <f t="shared" si="57"/>
        <v>0</v>
      </c>
      <c r="S393" s="300">
        <f t="shared" si="58"/>
        <v>0</v>
      </c>
      <c r="T393" s="300">
        <f t="shared" si="59"/>
        <v>0</v>
      </c>
      <c r="U393" s="300">
        <f t="shared" si="60"/>
        <v>0</v>
      </c>
      <c r="V393" s="300">
        <f t="shared" si="61"/>
        <v>0</v>
      </c>
      <c r="W393" s="300">
        <f t="shared" si="62"/>
        <v>0</v>
      </c>
      <c r="X393" s="300">
        <f t="shared" si="63"/>
        <v>0</v>
      </c>
      <c r="Y393" s="300">
        <f t="shared" si="64"/>
        <v>0</v>
      </c>
      <c r="Z393"/>
      <c r="AA393"/>
      <c r="AB393"/>
    </row>
    <row r="394" spans="1:28" x14ac:dyDescent="0.35">
      <c r="A394" s="299"/>
      <c r="B394" s="515">
        <v>1.185810292830364</v>
      </c>
      <c r="C394" s="515">
        <v>6.7841483506721006E-2</v>
      </c>
      <c r="D394" s="515">
        <v>7.0007039214219999E-3</v>
      </c>
      <c r="E394" s="515">
        <v>0.10564871531546099</v>
      </c>
      <c r="F394" s="515">
        <v>5.9032193079726999E-2</v>
      </c>
      <c r="G394" s="299"/>
      <c r="H394" s="300">
        <f t="shared" si="56"/>
        <v>0</v>
      </c>
      <c r="I394" s="299"/>
      <c r="J394" s="1"/>
      <c r="K394" s="299"/>
      <c r="L394" s="1"/>
      <c r="M394" s="299"/>
      <c r="N394" s="299"/>
      <c r="O394" s="299"/>
      <c r="P394" s="299"/>
      <c r="Q394" s="298"/>
      <c r="R394" s="300">
        <f t="shared" si="57"/>
        <v>0</v>
      </c>
      <c r="S394" s="300">
        <f t="shared" si="58"/>
        <v>0</v>
      </c>
      <c r="T394" s="300">
        <f t="shared" si="59"/>
        <v>0</v>
      </c>
      <c r="U394" s="300">
        <f t="shared" si="60"/>
        <v>0</v>
      </c>
      <c r="V394" s="300">
        <f t="shared" si="61"/>
        <v>0</v>
      </c>
      <c r="W394" s="300">
        <f t="shared" si="62"/>
        <v>0</v>
      </c>
      <c r="X394" s="300">
        <f t="shared" si="63"/>
        <v>0</v>
      </c>
      <c r="Y394" s="300">
        <f t="shared" si="64"/>
        <v>0</v>
      </c>
      <c r="Z394"/>
      <c r="AA394"/>
      <c r="AB394"/>
    </row>
    <row r="395" spans="1:28" x14ac:dyDescent="0.35">
      <c r="A395" s="299"/>
      <c r="B395" s="515">
        <v>4.0949023668300001E-4</v>
      </c>
      <c r="C395" s="515">
        <v>2.7728110854928999E-2</v>
      </c>
      <c r="D395" s="515">
        <v>1.981955502713501</v>
      </c>
      <c r="E395" s="515">
        <v>0.22445213510731701</v>
      </c>
      <c r="F395" s="515">
        <v>5.1556179657000004E-3</v>
      </c>
      <c r="G395" s="299"/>
      <c r="H395" s="300">
        <f t="shared" si="56"/>
        <v>0</v>
      </c>
      <c r="I395" s="299"/>
      <c r="J395" s="1"/>
      <c r="K395" s="299"/>
      <c r="L395" s="1"/>
      <c r="M395" s="299"/>
      <c r="N395" s="299"/>
      <c r="O395" s="299"/>
      <c r="P395" s="299"/>
      <c r="Q395" s="298"/>
      <c r="R395" s="300">
        <f t="shared" si="57"/>
        <v>0</v>
      </c>
      <c r="S395" s="300">
        <f t="shared" si="58"/>
        <v>0</v>
      </c>
      <c r="T395" s="300">
        <f t="shared" si="59"/>
        <v>0</v>
      </c>
      <c r="U395" s="300">
        <f t="shared" si="60"/>
        <v>0</v>
      </c>
      <c r="V395" s="300">
        <f t="shared" si="61"/>
        <v>0</v>
      </c>
      <c r="W395" s="300">
        <f t="shared" si="62"/>
        <v>0</v>
      </c>
      <c r="X395" s="300">
        <f t="shared" si="63"/>
        <v>0</v>
      </c>
      <c r="Y395" s="300">
        <f t="shared" si="64"/>
        <v>0</v>
      </c>
      <c r="Z395"/>
      <c r="AA395"/>
      <c r="AB395"/>
    </row>
    <row r="396" spans="1:28" x14ac:dyDescent="0.35">
      <c r="A396" s="299"/>
      <c r="B396" s="515">
        <v>0.46543410400614899</v>
      </c>
      <c r="C396" s="515">
        <v>3.5452928048762003E-2</v>
      </c>
      <c r="D396" s="515">
        <v>1.12167629052881</v>
      </c>
      <c r="E396" s="515">
        <v>0.17755618052977601</v>
      </c>
      <c r="F396" s="515">
        <v>2.7661553711646001E-2</v>
      </c>
      <c r="G396" s="299"/>
      <c r="H396" s="300">
        <f t="shared" si="56"/>
        <v>0</v>
      </c>
      <c r="I396" s="299"/>
      <c r="J396" s="1"/>
      <c r="K396" s="299"/>
      <c r="L396" s="1"/>
      <c r="M396" s="299"/>
      <c r="N396" s="299"/>
      <c r="O396" s="299"/>
      <c r="P396" s="299"/>
      <c r="Q396" s="298"/>
      <c r="R396" s="300">
        <f t="shared" si="57"/>
        <v>0</v>
      </c>
      <c r="S396" s="300">
        <f t="shared" si="58"/>
        <v>0</v>
      </c>
      <c r="T396" s="300">
        <f t="shared" si="59"/>
        <v>0</v>
      </c>
      <c r="U396" s="300">
        <f t="shared" si="60"/>
        <v>0</v>
      </c>
      <c r="V396" s="300">
        <f t="shared" si="61"/>
        <v>0</v>
      </c>
      <c r="W396" s="300">
        <f t="shared" si="62"/>
        <v>0</v>
      </c>
      <c r="X396" s="300">
        <f t="shared" si="63"/>
        <v>0</v>
      </c>
      <c r="Y396" s="300">
        <f t="shared" si="64"/>
        <v>0</v>
      </c>
      <c r="Z396"/>
      <c r="AA396"/>
      <c r="AB396"/>
    </row>
    <row r="397" spans="1:28" x14ac:dyDescent="0.35">
      <c r="A397" s="299"/>
      <c r="B397" s="515">
        <v>0.216080198553495</v>
      </c>
      <c r="C397" s="515">
        <v>4.2017975212629999E-3</v>
      </c>
      <c r="D397" s="515">
        <v>7.5185778929119998E-3</v>
      </c>
      <c r="E397" s="515">
        <v>0.107091589271143</v>
      </c>
      <c r="F397" s="515">
        <v>5.606540061787E-2</v>
      </c>
      <c r="G397" s="299"/>
      <c r="H397" s="300">
        <f t="shared" si="56"/>
        <v>0</v>
      </c>
      <c r="I397" s="299"/>
      <c r="J397" s="1"/>
      <c r="K397" s="299"/>
      <c r="L397" s="1"/>
      <c r="M397" s="299"/>
      <c r="N397" s="299"/>
      <c r="O397" s="299"/>
      <c r="P397" s="299"/>
      <c r="Q397" s="298"/>
      <c r="R397" s="300">
        <f t="shared" si="57"/>
        <v>0</v>
      </c>
      <c r="S397" s="300">
        <f t="shared" si="58"/>
        <v>0</v>
      </c>
      <c r="T397" s="300">
        <f t="shared" si="59"/>
        <v>0</v>
      </c>
      <c r="U397" s="300">
        <f t="shared" si="60"/>
        <v>0</v>
      </c>
      <c r="V397" s="300">
        <f t="shared" si="61"/>
        <v>0</v>
      </c>
      <c r="W397" s="300">
        <f t="shared" si="62"/>
        <v>0</v>
      </c>
      <c r="X397" s="300">
        <f t="shared" si="63"/>
        <v>0</v>
      </c>
      <c r="Y397" s="300">
        <f t="shared" si="64"/>
        <v>0</v>
      </c>
      <c r="Z397"/>
      <c r="AA397"/>
      <c r="AB397"/>
    </row>
    <row r="398" spans="1:28" x14ac:dyDescent="0.35">
      <c r="A398" s="299"/>
      <c r="B398" s="515">
        <v>4.4534864593394259</v>
      </c>
      <c r="C398" s="515">
        <v>9.5864054574060997E-2</v>
      </c>
      <c r="D398" s="515">
        <v>1.386890617784154</v>
      </c>
      <c r="E398" s="515">
        <v>8.7702173199999998E-7</v>
      </c>
      <c r="F398" s="515">
        <v>6.2341218143622999E-2</v>
      </c>
      <c r="G398" s="299"/>
      <c r="H398" s="300">
        <f t="shared" si="56"/>
        <v>0</v>
      </c>
      <c r="I398" s="299"/>
      <c r="J398" s="1"/>
      <c r="K398" s="299"/>
      <c r="L398" s="1"/>
      <c r="M398" s="299"/>
      <c r="N398" s="299"/>
      <c r="O398" s="299"/>
      <c r="P398" s="299"/>
      <c r="Q398" s="298"/>
      <c r="R398" s="300">
        <f t="shared" si="57"/>
        <v>0</v>
      </c>
      <c r="S398" s="300">
        <f t="shared" si="58"/>
        <v>0</v>
      </c>
      <c r="T398" s="300">
        <f t="shared" si="59"/>
        <v>0</v>
      </c>
      <c r="U398" s="300">
        <f t="shared" si="60"/>
        <v>0</v>
      </c>
      <c r="V398" s="300">
        <f t="shared" si="61"/>
        <v>0</v>
      </c>
      <c r="W398" s="300">
        <f t="shared" si="62"/>
        <v>0</v>
      </c>
      <c r="X398" s="300">
        <f t="shared" si="63"/>
        <v>0</v>
      </c>
      <c r="Y398" s="300">
        <f t="shared" si="64"/>
        <v>0</v>
      </c>
      <c r="Z398"/>
      <c r="AA398"/>
      <c r="AB398"/>
    </row>
    <row r="399" spans="1:28" x14ac:dyDescent="0.35">
      <c r="A399" s="299"/>
      <c r="B399" s="515">
        <v>3.756448336321E-3</v>
      </c>
      <c r="C399" s="515">
        <v>2.8052372061902E-2</v>
      </c>
      <c r="D399" s="515">
        <v>1.9810922119034411</v>
      </c>
      <c r="E399" s="515">
        <v>0.22435106554940201</v>
      </c>
      <c r="F399" s="515">
        <v>5.1976088744610004E-3</v>
      </c>
      <c r="G399" s="299"/>
      <c r="H399" s="300">
        <f t="shared" si="56"/>
        <v>0</v>
      </c>
      <c r="I399" s="299"/>
      <c r="J399" s="1"/>
      <c r="K399" s="299"/>
      <c r="L399" s="1"/>
      <c r="M399" s="299"/>
      <c r="N399" s="299"/>
      <c r="O399" s="299"/>
      <c r="P399" s="299"/>
      <c r="Q399" s="298"/>
      <c r="R399" s="300">
        <f t="shared" si="57"/>
        <v>0</v>
      </c>
      <c r="S399" s="300">
        <f t="shared" si="58"/>
        <v>0</v>
      </c>
      <c r="T399" s="300">
        <f t="shared" si="59"/>
        <v>0</v>
      </c>
      <c r="U399" s="300">
        <f t="shared" si="60"/>
        <v>0</v>
      </c>
      <c r="V399" s="300">
        <f t="shared" si="61"/>
        <v>0</v>
      </c>
      <c r="W399" s="300">
        <f t="shared" si="62"/>
        <v>0</v>
      </c>
      <c r="X399" s="300">
        <f t="shared" si="63"/>
        <v>0</v>
      </c>
      <c r="Y399" s="300">
        <f t="shared" si="64"/>
        <v>0</v>
      </c>
      <c r="Z399"/>
      <c r="AA399"/>
      <c r="AB399"/>
    </row>
    <row r="400" spans="1:28" x14ac:dyDescent="0.35">
      <c r="A400" s="299"/>
      <c r="B400" s="515">
        <v>10.702662550578699</v>
      </c>
      <c r="C400" s="515">
        <v>-0.102000167716607</v>
      </c>
      <c r="D400" s="515">
        <v>0.47816387598708798</v>
      </c>
      <c r="E400" s="515">
        <v>0.116087758057077</v>
      </c>
      <c r="F400" s="515">
        <v>8.0518973566567995E-2</v>
      </c>
      <c r="G400" s="299"/>
      <c r="H400" s="300">
        <f t="shared" si="56"/>
        <v>0</v>
      </c>
      <c r="I400" s="299"/>
      <c r="J400" s="1"/>
      <c r="K400" s="299"/>
      <c r="L400" s="1"/>
      <c r="M400" s="299"/>
      <c r="N400" s="299"/>
      <c r="O400" s="299"/>
      <c r="P400" s="299"/>
      <c r="Q400" s="298"/>
      <c r="R400" s="300">
        <f t="shared" si="57"/>
        <v>0</v>
      </c>
      <c r="S400" s="300">
        <f t="shared" si="58"/>
        <v>0</v>
      </c>
      <c r="T400" s="300">
        <f t="shared" si="59"/>
        <v>0</v>
      </c>
      <c r="U400" s="300">
        <f t="shared" si="60"/>
        <v>0</v>
      </c>
      <c r="V400" s="300">
        <f t="shared" si="61"/>
        <v>0</v>
      </c>
      <c r="W400" s="300">
        <f t="shared" si="62"/>
        <v>0</v>
      </c>
      <c r="X400" s="300">
        <f t="shared" si="63"/>
        <v>0</v>
      </c>
      <c r="Y400" s="300">
        <f t="shared" si="64"/>
        <v>0</v>
      </c>
      <c r="Z400"/>
      <c r="AA400"/>
      <c r="AB400"/>
    </row>
    <row r="401" spans="1:28" x14ac:dyDescent="0.35">
      <c r="A401" s="299"/>
      <c r="B401" s="515">
        <v>5.7138604191327413</v>
      </c>
      <c r="C401" s="515">
        <v>0.118748573072536</v>
      </c>
      <c r="D401" s="515">
        <v>7.0047776218960002E-3</v>
      </c>
      <c r="E401" s="515">
        <v>7.0992623355549999E-3</v>
      </c>
      <c r="F401" s="515">
        <v>7.9629286374672995E-2</v>
      </c>
      <c r="G401" s="299"/>
      <c r="H401" s="300">
        <f t="shared" si="56"/>
        <v>0</v>
      </c>
      <c r="I401" s="299"/>
      <c r="J401" s="1"/>
      <c r="K401" s="299"/>
      <c r="L401" s="1"/>
      <c r="M401" s="299"/>
      <c r="N401" s="299"/>
      <c r="O401" s="299"/>
      <c r="P401" s="299"/>
      <c r="Q401" s="298"/>
      <c r="R401" s="300">
        <f t="shared" si="57"/>
        <v>0</v>
      </c>
      <c r="S401" s="300">
        <f t="shared" si="58"/>
        <v>0</v>
      </c>
      <c r="T401" s="300">
        <f t="shared" si="59"/>
        <v>0</v>
      </c>
      <c r="U401" s="300">
        <f t="shared" si="60"/>
        <v>0</v>
      </c>
      <c r="V401" s="300">
        <f t="shared" si="61"/>
        <v>0</v>
      </c>
      <c r="W401" s="300">
        <f t="shared" si="62"/>
        <v>0</v>
      </c>
      <c r="X401" s="300">
        <f t="shared" si="63"/>
        <v>0</v>
      </c>
      <c r="Y401" s="300">
        <f t="shared" si="64"/>
        <v>0</v>
      </c>
      <c r="Z401"/>
      <c r="AA401"/>
      <c r="AB401"/>
    </row>
    <row r="402" spans="1:28" x14ac:dyDescent="0.35">
      <c r="A402" s="299"/>
      <c r="B402" s="515">
        <v>3.2298539658743998E-2</v>
      </c>
      <c r="C402" s="515">
        <v>-3.284358910241723</v>
      </c>
      <c r="D402" s="515">
        <v>4.0879778797529E-2</v>
      </c>
      <c r="E402" s="515">
        <v>0.27030020770744201</v>
      </c>
      <c r="F402" s="515">
        <v>3.3969387659734E-2</v>
      </c>
      <c r="G402" s="299"/>
      <c r="H402" s="300">
        <f t="shared" si="56"/>
        <v>0</v>
      </c>
      <c r="I402" s="299"/>
      <c r="J402" s="1"/>
      <c r="K402" s="299"/>
      <c r="L402" s="1"/>
      <c r="M402" s="299"/>
      <c r="N402" s="299"/>
      <c r="O402" s="299"/>
      <c r="P402" s="299"/>
      <c r="Q402" s="298"/>
      <c r="R402" s="300">
        <f t="shared" si="57"/>
        <v>0</v>
      </c>
      <c r="S402" s="300">
        <f t="shared" si="58"/>
        <v>0</v>
      </c>
      <c r="T402" s="300">
        <f t="shared" si="59"/>
        <v>0</v>
      </c>
      <c r="U402" s="300">
        <f t="shared" si="60"/>
        <v>0</v>
      </c>
      <c r="V402" s="300">
        <f t="shared" si="61"/>
        <v>0</v>
      </c>
      <c r="W402" s="300">
        <f t="shared" si="62"/>
        <v>0</v>
      </c>
      <c r="X402" s="300">
        <f t="shared" si="63"/>
        <v>0</v>
      </c>
      <c r="Y402" s="300">
        <f t="shared" si="64"/>
        <v>0</v>
      </c>
      <c r="Z402"/>
      <c r="AA402"/>
      <c r="AB402"/>
    </row>
    <row r="403" spans="1:28" x14ac:dyDescent="0.35">
      <c r="A403" s="299"/>
      <c r="B403" s="515">
        <v>1.1846641624284151</v>
      </c>
      <c r="C403" s="515">
        <v>6.7850328543877E-2</v>
      </c>
      <c r="D403" s="515">
        <v>7.0029950219019999E-3</v>
      </c>
      <c r="E403" s="515">
        <v>0.105606490421982</v>
      </c>
      <c r="F403" s="515">
        <v>5.9033730207218998E-2</v>
      </c>
      <c r="G403" s="299"/>
      <c r="H403" s="300">
        <f t="shared" si="56"/>
        <v>0</v>
      </c>
      <c r="I403" s="299"/>
      <c r="J403" s="1"/>
      <c r="K403" s="299"/>
      <c r="L403" s="1"/>
      <c r="M403" s="299"/>
      <c r="N403" s="299"/>
      <c r="O403" s="299"/>
      <c r="P403" s="299"/>
      <c r="Q403" s="298"/>
      <c r="R403" s="300">
        <f t="shared" si="57"/>
        <v>0</v>
      </c>
      <c r="S403" s="300">
        <f t="shared" si="58"/>
        <v>0</v>
      </c>
      <c r="T403" s="300">
        <f t="shared" si="59"/>
        <v>0</v>
      </c>
      <c r="U403" s="300">
        <f t="shared" si="60"/>
        <v>0</v>
      </c>
      <c r="V403" s="300">
        <f t="shared" si="61"/>
        <v>0</v>
      </c>
      <c r="W403" s="300">
        <f t="shared" si="62"/>
        <v>0</v>
      </c>
      <c r="X403" s="300">
        <f t="shared" si="63"/>
        <v>0</v>
      </c>
      <c r="Y403" s="300">
        <f t="shared" si="64"/>
        <v>0</v>
      </c>
      <c r="Z403"/>
      <c r="AA403"/>
      <c r="AB403"/>
    </row>
    <row r="404" spans="1:28" x14ac:dyDescent="0.35">
      <c r="A404" s="299"/>
      <c r="B404" s="515">
        <v>3.0682326246999998E-5</v>
      </c>
      <c r="C404" s="515">
        <v>2.8034973773593E-2</v>
      </c>
      <c r="D404" s="515">
        <v>1.9822319954910881</v>
      </c>
      <c r="E404" s="515">
        <v>0.22417548746514299</v>
      </c>
      <c r="F404" s="515">
        <v>5.1912310022639999E-3</v>
      </c>
      <c r="G404" s="299"/>
      <c r="H404" s="300">
        <f t="shared" si="56"/>
        <v>0</v>
      </c>
      <c r="I404" s="299"/>
      <c r="J404" s="1"/>
      <c r="K404" s="299"/>
      <c r="L404" s="1"/>
      <c r="M404" s="299"/>
      <c r="N404" s="299"/>
      <c r="O404" s="299"/>
      <c r="P404" s="299"/>
      <c r="Q404" s="298"/>
      <c r="R404" s="300">
        <f t="shared" si="57"/>
        <v>0</v>
      </c>
      <c r="S404" s="300">
        <f t="shared" si="58"/>
        <v>0</v>
      </c>
      <c r="T404" s="300">
        <f t="shared" si="59"/>
        <v>0</v>
      </c>
      <c r="U404" s="300">
        <f t="shared" si="60"/>
        <v>0</v>
      </c>
      <c r="V404" s="300">
        <f t="shared" si="61"/>
        <v>0</v>
      </c>
      <c r="W404" s="300">
        <f t="shared" si="62"/>
        <v>0</v>
      </c>
      <c r="X404" s="300">
        <f t="shared" si="63"/>
        <v>0</v>
      </c>
      <c r="Y404" s="300">
        <f t="shared" si="64"/>
        <v>0</v>
      </c>
      <c r="Z404"/>
      <c r="AA404"/>
      <c r="AB404"/>
    </row>
    <row r="405" spans="1:28" x14ac:dyDescent="0.35">
      <c r="A405" s="299"/>
      <c r="B405" s="515">
        <v>10.151025660845191</v>
      </c>
      <c r="C405" s="515">
        <v>-2.2423550642923131</v>
      </c>
      <c r="D405" s="515">
        <v>1.084544349269811</v>
      </c>
      <c r="E405" s="515">
        <v>0.270920391124997</v>
      </c>
      <c r="F405" s="515">
        <v>7.3628457367592007E-2</v>
      </c>
      <c r="G405" s="299"/>
      <c r="H405" s="300">
        <f t="shared" si="56"/>
        <v>0</v>
      </c>
      <c r="I405" s="299"/>
      <c r="J405" s="1"/>
      <c r="K405" s="299"/>
      <c r="L405" s="1"/>
      <c r="M405" s="299"/>
      <c r="N405" s="299"/>
      <c r="O405" s="299"/>
      <c r="P405" s="299"/>
      <c r="Q405" s="298"/>
      <c r="R405" s="300">
        <f t="shared" si="57"/>
        <v>0</v>
      </c>
      <c r="S405" s="300">
        <f t="shared" si="58"/>
        <v>0</v>
      </c>
      <c r="T405" s="300">
        <f t="shared" si="59"/>
        <v>0</v>
      </c>
      <c r="U405" s="300">
        <f t="shared" si="60"/>
        <v>0</v>
      </c>
      <c r="V405" s="300">
        <f t="shared" si="61"/>
        <v>0</v>
      </c>
      <c r="W405" s="300">
        <f t="shared" si="62"/>
        <v>0</v>
      </c>
      <c r="X405" s="300">
        <f t="shared" si="63"/>
        <v>0</v>
      </c>
      <c r="Y405" s="300">
        <f t="shared" si="64"/>
        <v>0</v>
      </c>
      <c r="Z405"/>
      <c r="AA405"/>
      <c r="AB405"/>
    </row>
    <row r="406" spans="1:28" x14ac:dyDescent="0.35">
      <c r="A406" s="299"/>
      <c r="B406" s="515">
        <v>3.5381312679E-5</v>
      </c>
      <c r="C406" s="515">
        <v>-0.62073970166905101</v>
      </c>
      <c r="D406" s="515">
        <v>1.9696967245931569</v>
      </c>
      <c r="E406" s="515">
        <v>1.4962760331E-5</v>
      </c>
      <c r="F406" s="515">
        <v>4.8935096839407999E-2</v>
      </c>
      <c r="G406" s="299"/>
      <c r="H406" s="300">
        <f t="shared" si="56"/>
        <v>0</v>
      </c>
      <c r="I406" s="299"/>
      <c r="J406" s="1"/>
      <c r="K406" s="299"/>
      <c r="L406" s="1"/>
      <c r="M406" s="299"/>
      <c r="N406" s="299"/>
      <c r="O406" s="299"/>
      <c r="P406" s="299"/>
      <c r="Q406" s="298"/>
      <c r="R406" s="300">
        <f t="shared" si="57"/>
        <v>0</v>
      </c>
      <c r="S406" s="300">
        <f t="shared" si="58"/>
        <v>0</v>
      </c>
      <c r="T406" s="300">
        <f t="shared" si="59"/>
        <v>0</v>
      </c>
      <c r="U406" s="300">
        <f t="shared" si="60"/>
        <v>0</v>
      </c>
      <c r="V406" s="300">
        <f t="shared" si="61"/>
        <v>0</v>
      </c>
      <c r="W406" s="300">
        <f t="shared" si="62"/>
        <v>0</v>
      </c>
      <c r="X406" s="300">
        <f t="shared" si="63"/>
        <v>0</v>
      </c>
      <c r="Y406" s="300">
        <f t="shared" si="64"/>
        <v>0</v>
      </c>
      <c r="Z406"/>
      <c r="AA406"/>
      <c r="AB406"/>
    </row>
    <row r="407" spans="1:28" x14ac:dyDescent="0.35">
      <c r="A407" s="299"/>
      <c r="B407" s="515">
        <v>3.984643754388749</v>
      </c>
      <c r="C407" s="515">
        <v>0.16743356374353999</v>
      </c>
      <c r="D407" s="515">
        <v>1.6465536099645999E-2</v>
      </c>
      <c r="E407" s="515">
        <v>0.27006595577315901</v>
      </c>
      <c r="F407" s="515">
        <v>2.4409171193790001E-3</v>
      </c>
      <c r="G407" s="299"/>
      <c r="H407" s="300">
        <f t="shared" si="56"/>
        <v>0</v>
      </c>
      <c r="I407" s="299"/>
      <c r="J407" s="1"/>
      <c r="K407" s="299"/>
      <c r="L407" s="1"/>
      <c r="M407" s="299"/>
      <c r="N407" s="299"/>
      <c r="O407" s="299"/>
      <c r="P407" s="299"/>
      <c r="Q407" s="298"/>
      <c r="R407" s="300">
        <f t="shared" si="57"/>
        <v>0</v>
      </c>
      <c r="S407" s="300">
        <f t="shared" si="58"/>
        <v>0</v>
      </c>
      <c r="T407" s="300">
        <f t="shared" si="59"/>
        <v>0</v>
      </c>
      <c r="U407" s="300">
        <f t="shared" si="60"/>
        <v>0</v>
      </c>
      <c r="V407" s="300">
        <f t="shared" si="61"/>
        <v>0</v>
      </c>
      <c r="W407" s="300">
        <f t="shared" si="62"/>
        <v>0</v>
      </c>
      <c r="X407" s="300">
        <f t="shared" si="63"/>
        <v>0</v>
      </c>
      <c r="Y407" s="300">
        <f t="shared" si="64"/>
        <v>0</v>
      </c>
      <c r="Z407"/>
      <c r="AA407"/>
      <c r="AB407"/>
    </row>
    <row r="408" spans="1:28" x14ac:dyDescent="0.35">
      <c r="A408" s="299"/>
      <c r="B408" s="515">
        <v>6.0110672996144778</v>
      </c>
      <c r="C408" s="515">
        <v>0.120569357753138</v>
      </c>
      <c r="D408" s="515">
        <v>1.0448113412667E-2</v>
      </c>
      <c r="E408" s="515">
        <v>6.3435794345650998E-2</v>
      </c>
      <c r="F408" s="515">
        <v>7.5398680864112E-2</v>
      </c>
      <c r="G408" s="299"/>
      <c r="H408" s="300">
        <f t="shared" si="56"/>
        <v>0</v>
      </c>
      <c r="I408" s="299"/>
      <c r="J408" s="1"/>
      <c r="K408" s="299"/>
      <c r="L408" s="1"/>
      <c r="M408" s="299"/>
      <c r="N408" s="299"/>
      <c r="O408" s="299"/>
      <c r="P408" s="299"/>
      <c r="Q408" s="298"/>
      <c r="R408" s="300">
        <f t="shared" si="57"/>
        <v>0</v>
      </c>
      <c r="S408" s="300">
        <f t="shared" si="58"/>
        <v>0</v>
      </c>
      <c r="T408" s="300">
        <f t="shared" si="59"/>
        <v>0</v>
      </c>
      <c r="U408" s="300">
        <f t="shared" si="60"/>
        <v>0</v>
      </c>
      <c r="V408" s="300">
        <f t="shared" si="61"/>
        <v>0</v>
      </c>
      <c r="W408" s="300">
        <f t="shared" si="62"/>
        <v>0</v>
      </c>
      <c r="X408" s="300">
        <f t="shared" si="63"/>
        <v>0</v>
      </c>
      <c r="Y408" s="300">
        <f t="shared" si="64"/>
        <v>0</v>
      </c>
      <c r="Z408"/>
      <c r="AA408"/>
      <c r="AB408"/>
    </row>
    <row r="409" spans="1:28" x14ac:dyDescent="0.35">
      <c r="A409" s="299"/>
      <c r="B409" s="515">
        <v>20.16410814764432</v>
      </c>
      <c r="C409" s="515">
        <v>1.8421770733391001E-2</v>
      </c>
      <c r="D409" s="515">
        <v>1.4361179201125999E-2</v>
      </c>
      <c r="E409" s="515">
        <v>0.27053292581674898</v>
      </c>
      <c r="F409" s="515">
        <v>6.7724746468954003E-2</v>
      </c>
      <c r="G409" s="299"/>
      <c r="H409" s="300">
        <f t="shared" si="56"/>
        <v>0</v>
      </c>
      <c r="I409" s="299"/>
      <c r="J409" s="1"/>
      <c r="K409" s="299"/>
      <c r="L409" s="1"/>
      <c r="M409" s="299"/>
      <c r="N409" s="299"/>
      <c r="O409" s="299"/>
      <c r="P409" s="299"/>
      <c r="Q409" s="298"/>
      <c r="R409" s="300">
        <f t="shared" si="57"/>
        <v>0</v>
      </c>
      <c r="S409" s="300">
        <f t="shared" si="58"/>
        <v>0</v>
      </c>
      <c r="T409" s="300">
        <f t="shared" si="59"/>
        <v>0</v>
      </c>
      <c r="U409" s="300">
        <f t="shared" si="60"/>
        <v>0</v>
      </c>
      <c r="V409" s="300">
        <f t="shared" si="61"/>
        <v>0</v>
      </c>
      <c r="W409" s="300">
        <f t="shared" si="62"/>
        <v>0</v>
      </c>
      <c r="X409" s="300">
        <f t="shared" si="63"/>
        <v>0</v>
      </c>
      <c r="Y409" s="300">
        <f t="shared" si="64"/>
        <v>0</v>
      </c>
      <c r="Z409"/>
      <c r="AA409"/>
      <c r="AB409"/>
    </row>
    <row r="410" spans="1:28" x14ac:dyDescent="0.35">
      <c r="A410" s="299"/>
      <c r="B410" s="515">
        <v>0.487406532524369</v>
      </c>
      <c r="C410" s="515">
        <v>6.9075980296817996E-2</v>
      </c>
      <c r="D410" s="515">
        <v>7.0059377850189997E-3</v>
      </c>
      <c r="E410" s="515">
        <v>8.4612376381602003E-2</v>
      </c>
      <c r="F410" s="515">
        <v>5.9538284822431002E-2</v>
      </c>
      <c r="G410" s="299"/>
      <c r="H410" s="300">
        <f t="shared" si="56"/>
        <v>0</v>
      </c>
      <c r="I410" s="299"/>
      <c r="J410" s="1"/>
      <c r="K410" s="299"/>
      <c r="L410" s="1"/>
      <c r="M410" s="299"/>
      <c r="N410" s="299"/>
      <c r="O410" s="299"/>
      <c r="P410" s="299"/>
      <c r="Q410" s="298"/>
      <c r="R410" s="300">
        <f t="shared" si="57"/>
        <v>0</v>
      </c>
      <c r="S410" s="300">
        <f t="shared" si="58"/>
        <v>0</v>
      </c>
      <c r="T410" s="300">
        <f t="shared" si="59"/>
        <v>0</v>
      </c>
      <c r="U410" s="300">
        <f t="shared" si="60"/>
        <v>0</v>
      </c>
      <c r="V410" s="300">
        <f t="shared" si="61"/>
        <v>0</v>
      </c>
      <c r="W410" s="300">
        <f t="shared" si="62"/>
        <v>0</v>
      </c>
      <c r="X410" s="300">
        <f t="shared" si="63"/>
        <v>0</v>
      </c>
      <c r="Y410" s="300">
        <f t="shared" si="64"/>
        <v>0</v>
      </c>
      <c r="Z410"/>
      <c r="AA410"/>
      <c r="AB410"/>
    </row>
    <row r="411" spans="1:28" x14ac:dyDescent="0.35">
      <c r="A411" s="299"/>
      <c r="B411" s="515">
        <v>2.7489245776087272</v>
      </c>
      <c r="C411" s="515">
        <v>7.4467244311101993E-2</v>
      </c>
      <c r="D411" s="515">
        <v>2.0004293005152021</v>
      </c>
      <c r="E411" s="515">
        <v>0.25028989533505802</v>
      </c>
      <c r="F411" s="515">
        <v>7.2651036393370002E-3</v>
      </c>
      <c r="G411" s="299"/>
      <c r="H411" s="300">
        <f t="shared" si="56"/>
        <v>0</v>
      </c>
      <c r="I411" s="299"/>
      <c r="J411" s="1"/>
      <c r="K411" s="299"/>
      <c r="L411" s="1"/>
      <c r="M411" s="299"/>
      <c r="N411" s="299"/>
      <c r="O411" s="299"/>
      <c r="P411" s="299"/>
      <c r="Q411" s="298"/>
      <c r="R411" s="300">
        <f t="shared" si="57"/>
        <v>0</v>
      </c>
      <c r="S411" s="300">
        <f t="shared" si="58"/>
        <v>0</v>
      </c>
      <c r="T411" s="300">
        <f t="shared" si="59"/>
        <v>0</v>
      </c>
      <c r="U411" s="300">
        <f t="shared" si="60"/>
        <v>0</v>
      </c>
      <c r="V411" s="300">
        <f t="shared" si="61"/>
        <v>0</v>
      </c>
      <c r="W411" s="300">
        <f t="shared" si="62"/>
        <v>0</v>
      </c>
      <c r="X411" s="300">
        <f t="shared" si="63"/>
        <v>0</v>
      </c>
      <c r="Y411" s="300">
        <f t="shared" si="64"/>
        <v>0</v>
      </c>
      <c r="Z411"/>
      <c r="AA411"/>
      <c r="AB411"/>
    </row>
    <row r="412" spans="1:28" x14ac:dyDescent="0.35">
      <c r="A412" s="299"/>
      <c r="B412" s="515">
        <v>1.788211275E-6</v>
      </c>
      <c r="C412" s="515">
        <v>-0.90664200407470596</v>
      </c>
      <c r="D412" s="515">
        <v>1.9531308573591899</v>
      </c>
      <c r="E412" s="515">
        <v>2.2929211075505999E-2</v>
      </c>
      <c r="F412" s="515">
        <v>4.8757826622411002E-2</v>
      </c>
      <c r="G412" s="299"/>
      <c r="H412" s="300">
        <f t="shared" si="56"/>
        <v>0</v>
      </c>
      <c r="I412" s="299"/>
      <c r="J412" s="1"/>
      <c r="K412" s="299"/>
      <c r="L412" s="1"/>
      <c r="M412" s="299"/>
      <c r="N412" s="299"/>
      <c r="O412" s="299"/>
      <c r="P412" s="299"/>
      <c r="Q412" s="298"/>
      <c r="R412" s="300">
        <f t="shared" si="57"/>
        <v>0</v>
      </c>
      <c r="S412" s="300">
        <f t="shared" si="58"/>
        <v>0</v>
      </c>
      <c r="T412" s="300">
        <f t="shared" si="59"/>
        <v>0</v>
      </c>
      <c r="U412" s="300">
        <f t="shared" si="60"/>
        <v>0</v>
      </c>
      <c r="V412" s="300">
        <f t="shared" si="61"/>
        <v>0</v>
      </c>
      <c r="W412" s="300">
        <f t="shared" si="62"/>
        <v>0</v>
      </c>
      <c r="X412" s="300">
        <f t="shared" si="63"/>
        <v>0</v>
      </c>
      <c r="Y412" s="300">
        <f t="shared" si="64"/>
        <v>0</v>
      </c>
      <c r="Z412"/>
      <c r="AA412"/>
      <c r="AB412"/>
    </row>
    <row r="413" spans="1:28" x14ac:dyDescent="0.35">
      <c r="A413" s="299"/>
      <c r="B413" s="515">
        <v>1.8328292000000001E-6</v>
      </c>
      <c r="C413" s="515">
        <v>-0.65311493492614703</v>
      </c>
      <c r="D413" s="515">
        <v>1.7116048255821861</v>
      </c>
      <c r="E413" s="515">
        <v>4.5742533512397002E-2</v>
      </c>
      <c r="F413" s="515">
        <v>4.7861773407613002E-2</v>
      </c>
      <c r="G413" s="299"/>
      <c r="H413" s="300">
        <f t="shared" si="56"/>
        <v>0</v>
      </c>
      <c r="I413" s="299"/>
      <c r="J413" s="1"/>
      <c r="K413" s="299"/>
      <c r="L413" s="1"/>
      <c r="M413" s="299"/>
      <c r="N413" s="299"/>
      <c r="O413" s="299"/>
      <c r="P413" s="299"/>
      <c r="Q413" s="298"/>
      <c r="R413" s="300">
        <f t="shared" si="57"/>
        <v>0</v>
      </c>
      <c r="S413" s="300">
        <f t="shared" si="58"/>
        <v>0</v>
      </c>
      <c r="T413" s="300">
        <f t="shared" si="59"/>
        <v>0</v>
      </c>
      <c r="U413" s="300">
        <f t="shared" si="60"/>
        <v>0</v>
      </c>
      <c r="V413" s="300">
        <f t="shared" si="61"/>
        <v>0</v>
      </c>
      <c r="W413" s="300">
        <f t="shared" si="62"/>
        <v>0</v>
      </c>
      <c r="X413" s="300">
        <f t="shared" si="63"/>
        <v>0</v>
      </c>
      <c r="Y413" s="300">
        <f t="shared" si="64"/>
        <v>0</v>
      </c>
      <c r="Z413"/>
      <c r="AA413"/>
      <c r="AB413"/>
    </row>
    <row r="414" spans="1:28" x14ac:dyDescent="0.35">
      <c r="A414" s="299"/>
      <c r="B414" s="515">
        <v>4.4532391626662697</v>
      </c>
      <c r="C414" s="515">
        <v>9.5897874335097E-2</v>
      </c>
      <c r="D414" s="515">
        <v>1.3867641174408409</v>
      </c>
      <c r="E414" s="515">
        <v>2.7852602760000001E-6</v>
      </c>
      <c r="F414" s="515">
        <v>6.2341677349425001E-2</v>
      </c>
      <c r="G414" s="299"/>
      <c r="H414" s="300">
        <f t="shared" si="56"/>
        <v>0</v>
      </c>
      <c r="I414" s="299"/>
      <c r="J414" s="1"/>
      <c r="K414" s="299"/>
      <c r="L414" s="1"/>
      <c r="M414" s="299"/>
      <c r="N414" s="299"/>
      <c r="O414" s="299"/>
      <c r="P414" s="299"/>
      <c r="Q414" s="298"/>
      <c r="R414" s="300">
        <f t="shared" si="57"/>
        <v>0</v>
      </c>
      <c r="S414" s="300">
        <f t="shared" si="58"/>
        <v>0</v>
      </c>
      <c r="T414" s="300">
        <f t="shared" si="59"/>
        <v>0</v>
      </c>
      <c r="U414" s="300">
        <f t="shared" si="60"/>
        <v>0</v>
      </c>
      <c r="V414" s="300">
        <f t="shared" si="61"/>
        <v>0</v>
      </c>
      <c r="W414" s="300">
        <f t="shared" si="62"/>
        <v>0</v>
      </c>
      <c r="X414" s="300">
        <f t="shared" si="63"/>
        <v>0</v>
      </c>
      <c r="Y414" s="300">
        <f t="shared" si="64"/>
        <v>0</v>
      </c>
      <c r="Z414"/>
      <c r="AA414"/>
      <c r="AB414"/>
    </row>
    <row r="415" spans="1:28" x14ac:dyDescent="0.35">
      <c r="A415" s="299"/>
      <c r="B415" s="515">
        <v>4.7172210100000001E-6</v>
      </c>
      <c r="C415" s="515">
        <v>0.110665898990324</v>
      </c>
      <c r="D415" s="515">
        <v>7.1340000419369996E-3</v>
      </c>
      <c r="E415" s="515">
        <v>7.9943357497670994E-2</v>
      </c>
      <c r="F415" s="515">
        <v>5.5503654943629001E-2</v>
      </c>
      <c r="G415" s="299"/>
      <c r="H415" s="300">
        <f t="shared" si="56"/>
        <v>0</v>
      </c>
      <c r="I415" s="299"/>
      <c r="J415" s="1"/>
      <c r="K415" s="299"/>
      <c r="L415" s="1"/>
      <c r="M415" s="299"/>
      <c r="N415" s="299"/>
      <c r="O415" s="299"/>
      <c r="P415" s="299"/>
      <c r="Q415" s="298"/>
      <c r="R415" s="300">
        <f t="shared" si="57"/>
        <v>0</v>
      </c>
      <c r="S415" s="300">
        <f t="shared" si="58"/>
        <v>0</v>
      </c>
      <c r="T415" s="300">
        <f t="shared" si="59"/>
        <v>0</v>
      </c>
      <c r="U415" s="300">
        <f t="shared" si="60"/>
        <v>0</v>
      </c>
      <c r="V415" s="300">
        <f t="shared" si="61"/>
        <v>0</v>
      </c>
      <c r="W415" s="300">
        <f t="shared" si="62"/>
        <v>0</v>
      </c>
      <c r="X415" s="300">
        <f t="shared" si="63"/>
        <v>0</v>
      </c>
      <c r="Y415" s="300">
        <f t="shared" si="64"/>
        <v>0</v>
      </c>
      <c r="Z415"/>
      <c r="AA415"/>
      <c r="AB415"/>
    </row>
    <row r="416" spans="1:28" x14ac:dyDescent="0.35">
      <c r="A416" s="299"/>
      <c r="B416" s="515">
        <v>0.70574632390391101</v>
      </c>
      <c r="C416" s="515">
        <v>0.10349690044917199</v>
      </c>
      <c r="D416" s="515">
        <v>1.164441398439104</v>
      </c>
      <c r="E416" s="515">
        <v>0.14424990451886299</v>
      </c>
      <c r="F416" s="515">
        <v>3.1381986980014001E-2</v>
      </c>
      <c r="G416" s="299"/>
      <c r="H416" s="300">
        <f t="shared" si="56"/>
        <v>0</v>
      </c>
      <c r="I416" s="299"/>
      <c r="J416" s="1"/>
      <c r="K416" s="299"/>
      <c r="L416" s="1"/>
      <c r="M416" s="299"/>
      <c r="N416" s="299"/>
      <c r="O416" s="299"/>
      <c r="P416" s="299"/>
      <c r="Q416" s="298"/>
      <c r="R416" s="300">
        <f t="shared" si="57"/>
        <v>0</v>
      </c>
      <c r="S416" s="300">
        <f t="shared" si="58"/>
        <v>0</v>
      </c>
      <c r="T416" s="300">
        <f t="shared" si="59"/>
        <v>0</v>
      </c>
      <c r="U416" s="300">
        <f t="shared" si="60"/>
        <v>0</v>
      </c>
      <c r="V416" s="300">
        <f t="shared" si="61"/>
        <v>0</v>
      </c>
      <c r="W416" s="300">
        <f t="shared" si="62"/>
        <v>0</v>
      </c>
      <c r="X416" s="300">
        <f t="shared" si="63"/>
        <v>0</v>
      </c>
      <c r="Y416" s="300">
        <f t="shared" si="64"/>
        <v>0</v>
      </c>
      <c r="Z416"/>
      <c r="AA416"/>
      <c r="AB416"/>
    </row>
    <row r="417" spans="1:28" x14ac:dyDescent="0.35">
      <c r="A417" s="299"/>
      <c r="B417" s="515">
        <v>8.5726779561616659</v>
      </c>
      <c r="C417" s="515">
        <v>-2.6106929107102279</v>
      </c>
      <c r="D417" s="515">
        <v>0.30247588401982201</v>
      </c>
      <c r="E417" s="515">
        <v>0.226935990685316</v>
      </c>
      <c r="F417" s="515">
        <v>8.0216704826841997E-2</v>
      </c>
      <c r="G417" s="299"/>
      <c r="H417" s="300">
        <f t="shared" si="56"/>
        <v>0</v>
      </c>
      <c r="I417" s="299"/>
      <c r="J417" s="1"/>
      <c r="K417" s="299"/>
      <c r="L417" s="1"/>
      <c r="M417" s="299"/>
      <c r="N417" s="299"/>
      <c r="O417" s="299"/>
      <c r="P417" s="299"/>
      <c r="Q417" s="298"/>
      <c r="R417" s="300">
        <f t="shared" si="57"/>
        <v>0</v>
      </c>
      <c r="S417" s="300">
        <f t="shared" si="58"/>
        <v>0</v>
      </c>
      <c r="T417" s="300">
        <f t="shared" si="59"/>
        <v>0</v>
      </c>
      <c r="U417" s="300">
        <f t="shared" si="60"/>
        <v>0</v>
      </c>
      <c r="V417" s="300">
        <f t="shared" si="61"/>
        <v>0</v>
      </c>
      <c r="W417" s="300">
        <f t="shared" si="62"/>
        <v>0</v>
      </c>
      <c r="X417" s="300">
        <f t="shared" si="63"/>
        <v>0</v>
      </c>
      <c r="Y417" s="300">
        <f t="shared" si="64"/>
        <v>0</v>
      </c>
      <c r="Z417"/>
      <c r="AA417"/>
      <c r="AB417"/>
    </row>
    <row r="418" spans="1:28" x14ac:dyDescent="0.35">
      <c r="A418" s="299"/>
      <c r="B418" s="515">
        <v>3.1537098574193997E-2</v>
      </c>
      <c r="C418" s="515">
        <v>-2.644547250707E-3</v>
      </c>
      <c r="D418" s="515">
        <v>0.45643241013409203</v>
      </c>
      <c r="E418" s="515">
        <v>3.6804769259847998E-2</v>
      </c>
      <c r="F418" s="515">
        <v>5.8962100431507E-2</v>
      </c>
      <c r="G418" s="299"/>
      <c r="H418" s="300">
        <f t="shared" si="56"/>
        <v>0</v>
      </c>
      <c r="I418" s="299"/>
      <c r="J418" s="1"/>
      <c r="K418" s="299"/>
      <c r="L418" s="1"/>
      <c r="M418" s="299"/>
      <c r="N418" s="299"/>
      <c r="O418" s="299"/>
      <c r="P418" s="299"/>
      <c r="Q418" s="298"/>
      <c r="R418" s="300">
        <f t="shared" si="57"/>
        <v>0</v>
      </c>
      <c r="S418" s="300">
        <f t="shared" si="58"/>
        <v>0</v>
      </c>
      <c r="T418" s="300">
        <f t="shared" si="59"/>
        <v>0</v>
      </c>
      <c r="U418" s="300">
        <f t="shared" si="60"/>
        <v>0</v>
      </c>
      <c r="V418" s="300">
        <f t="shared" si="61"/>
        <v>0</v>
      </c>
      <c r="W418" s="300">
        <f t="shared" si="62"/>
        <v>0</v>
      </c>
      <c r="X418" s="300">
        <f t="shared" si="63"/>
        <v>0</v>
      </c>
      <c r="Y418" s="300">
        <f t="shared" si="64"/>
        <v>0</v>
      </c>
      <c r="Z418"/>
      <c r="AA418"/>
      <c r="AB418"/>
    </row>
    <row r="419" spans="1:28" x14ac:dyDescent="0.35">
      <c r="A419" s="299"/>
      <c r="B419" s="515">
        <v>1.4237259731309E-2</v>
      </c>
      <c r="C419" s="515">
        <v>0.104945887461854</v>
      </c>
      <c r="D419" s="515">
        <v>1.990336707824202</v>
      </c>
      <c r="E419" s="515">
        <v>0.155712596774748</v>
      </c>
      <c r="F419" s="515">
        <v>1.0685509922190001E-2</v>
      </c>
      <c r="G419" s="299"/>
      <c r="H419" s="300">
        <f t="shared" si="56"/>
        <v>0</v>
      </c>
      <c r="I419" s="299"/>
      <c r="J419" s="1"/>
      <c r="K419" s="299"/>
      <c r="L419" s="1"/>
      <c r="M419" s="299"/>
      <c r="N419" s="299"/>
      <c r="O419" s="299"/>
      <c r="P419" s="299"/>
      <c r="Q419" s="298"/>
      <c r="R419" s="300">
        <f t="shared" si="57"/>
        <v>0</v>
      </c>
      <c r="S419" s="300">
        <f t="shared" si="58"/>
        <v>0</v>
      </c>
      <c r="T419" s="300">
        <f t="shared" si="59"/>
        <v>0</v>
      </c>
      <c r="U419" s="300">
        <f t="shared" si="60"/>
        <v>0</v>
      </c>
      <c r="V419" s="300">
        <f t="shared" si="61"/>
        <v>0</v>
      </c>
      <c r="W419" s="300">
        <f t="shared" si="62"/>
        <v>0</v>
      </c>
      <c r="X419" s="300">
        <f t="shared" si="63"/>
        <v>0</v>
      </c>
      <c r="Y419" s="300">
        <f t="shared" si="64"/>
        <v>0</v>
      </c>
      <c r="Z419"/>
      <c r="AA419"/>
      <c r="AB419"/>
    </row>
    <row r="420" spans="1:28" x14ac:dyDescent="0.35">
      <c r="A420" s="299"/>
      <c r="B420" s="515">
        <v>0.338929019384689</v>
      </c>
      <c r="C420" s="515">
        <v>5.2059241543378001E-2</v>
      </c>
      <c r="D420" s="515">
        <v>1.855595113851455</v>
      </c>
      <c r="E420" s="515">
        <v>0.225179259736008</v>
      </c>
      <c r="F420" s="515">
        <v>6.6432799853909999E-3</v>
      </c>
      <c r="G420" s="299"/>
      <c r="H420" s="300">
        <f t="shared" si="56"/>
        <v>0</v>
      </c>
      <c r="I420" s="299"/>
      <c r="J420" s="1"/>
      <c r="K420" s="299"/>
      <c r="L420" s="1"/>
      <c r="M420" s="299"/>
      <c r="N420" s="299"/>
      <c r="O420" s="299"/>
      <c r="P420" s="299"/>
      <c r="Q420" s="298"/>
      <c r="R420" s="300">
        <f t="shared" si="57"/>
        <v>0</v>
      </c>
      <c r="S420" s="300">
        <f t="shared" si="58"/>
        <v>0</v>
      </c>
      <c r="T420" s="300">
        <f t="shared" si="59"/>
        <v>0</v>
      </c>
      <c r="U420" s="300">
        <f t="shared" si="60"/>
        <v>0</v>
      </c>
      <c r="V420" s="300">
        <f t="shared" si="61"/>
        <v>0</v>
      </c>
      <c r="W420" s="300">
        <f t="shared" si="62"/>
        <v>0</v>
      </c>
      <c r="X420" s="300">
        <f t="shared" si="63"/>
        <v>0</v>
      </c>
      <c r="Y420" s="300">
        <f t="shared" si="64"/>
        <v>0</v>
      </c>
      <c r="Z420"/>
      <c r="AA420"/>
      <c r="AB420"/>
    </row>
    <row r="421" spans="1:28" x14ac:dyDescent="0.35">
      <c r="A421" s="299"/>
      <c r="B421" s="515">
        <v>2.2158026548000001E-5</v>
      </c>
      <c r="C421" s="515">
        <v>0.12899603631540499</v>
      </c>
      <c r="D421" s="515">
        <v>0.76710668333633703</v>
      </c>
      <c r="E421" s="515">
        <v>0.118075285230369</v>
      </c>
      <c r="F421" s="515">
        <v>3.5065655545050999E-2</v>
      </c>
      <c r="G421" s="299"/>
      <c r="H421" s="300">
        <f t="shared" si="56"/>
        <v>0</v>
      </c>
      <c r="I421" s="299"/>
      <c r="J421" s="1"/>
      <c r="K421" s="299"/>
      <c r="L421" s="1"/>
      <c r="M421" s="299"/>
      <c r="N421" s="299"/>
      <c r="O421" s="299"/>
      <c r="P421" s="299"/>
      <c r="Q421" s="298"/>
      <c r="R421" s="300">
        <f t="shared" si="57"/>
        <v>0</v>
      </c>
      <c r="S421" s="300">
        <f t="shared" si="58"/>
        <v>0</v>
      </c>
      <c r="T421" s="300">
        <f t="shared" si="59"/>
        <v>0</v>
      </c>
      <c r="U421" s="300">
        <f t="shared" si="60"/>
        <v>0</v>
      </c>
      <c r="V421" s="300">
        <f t="shared" si="61"/>
        <v>0</v>
      </c>
      <c r="W421" s="300">
        <f t="shared" si="62"/>
        <v>0</v>
      </c>
      <c r="X421" s="300">
        <f t="shared" si="63"/>
        <v>0</v>
      </c>
      <c r="Y421" s="300">
        <f t="shared" si="64"/>
        <v>0</v>
      </c>
      <c r="Z421"/>
      <c r="AA421"/>
      <c r="AB421"/>
    </row>
    <row r="422" spans="1:28" x14ac:dyDescent="0.35">
      <c r="A422" s="299"/>
      <c r="B422" s="515">
        <v>0.75088689422264099</v>
      </c>
      <c r="C422" s="515">
        <v>0.108675705848995</v>
      </c>
      <c r="D422" s="515">
        <v>2.4813466817521002E-2</v>
      </c>
      <c r="E422" s="515">
        <v>1.8836272826399999E-4</v>
      </c>
      <c r="F422" s="515">
        <v>6.8333933163264998E-2</v>
      </c>
      <c r="G422" s="299"/>
      <c r="H422" s="300">
        <f t="shared" si="56"/>
        <v>0</v>
      </c>
      <c r="I422" s="299"/>
      <c r="J422" s="1"/>
      <c r="K422" s="299"/>
      <c r="L422" s="1"/>
      <c r="M422" s="299"/>
      <c r="N422" s="299"/>
      <c r="O422" s="299"/>
      <c r="P422" s="299"/>
      <c r="Q422" s="298"/>
      <c r="R422" s="300">
        <f t="shared" si="57"/>
        <v>0</v>
      </c>
      <c r="S422" s="300">
        <f t="shared" si="58"/>
        <v>0</v>
      </c>
      <c r="T422" s="300">
        <f t="shared" si="59"/>
        <v>0</v>
      </c>
      <c r="U422" s="300">
        <f t="shared" si="60"/>
        <v>0</v>
      </c>
      <c r="V422" s="300">
        <f t="shared" si="61"/>
        <v>0</v>
      </c>
      <c r="W422" s="300">
        <f t="shared" si="62"/>
        <v>0</v>
      </c>
      <c r="X422" s="300">
        <f t="shared" si="63"/>
        <v>0</v>
      </c>
      <c r="Y422" s="300">
        <f t="shared" si="64"/>
        <v>0</v>
      </c>
      <c r="Z422"/>
      <c r="AA422"/>
      <c r="AB422"/>
    </row>
    <row r="423" spans="1:28" x14ac:dyDescent="0.35">
      <c r="A423" s="299"/>
      <c r="B423" s="515">
        <v>4.4565220961713772</v>
      </c>
      <c r="C423" s="515">
        <v>9.5941560596634001E-2</v>
      </c>
      <c r="D423" s="515">
        <v>1.386775650485327</v>
      </c>
      <c r="E423" s="515">
        <v>5.0789823496999999E-5</v>
      </c>
      <c r="F423" s="515">
        <v>6.2345051184695001E-2</v>
      </c>
      <c r="G423" s="299"/>
      <c r="H423" s="300">
        <f t="shared" si="56"/>
        <v>0</v>
      </c>
      <c r="I423" s="299"/>
      <c r="J423" s="1"/>
      <c r="K423" s="299"/>
      <c r="L423" s="1"/>
      <c r="M423" s="299"/>
      <c r="N423" s="299"/>
      <c r="O423" s="299"/>
      <c r="P423" s="299"/>
      <c r="Q423" s="298"/>
      <c r="R423" s="300">
        <f t="shared" si="57"/>
        <v>0</v>
      </c>
      <c r="S423" s="300">
        <f t="shared" si="58"/>
        <v>0</v>
      </c>
      <c r="T423" s="300">
        <f t="shared" si="59"/>
        <v>0</v>
      </c>
      <c r="U423" s="300">
        <f t="shared" si="60"/>
        <v>0</v>
      </c>
      <c r="V423" s="300">
        <f t="shared" si="61"/>
        <v>0</v>
      </c>
      <c r="W423" s="300">
        <f t="shared" si="62"/>
        <v>0</v>
      </c>
      <c r="X423" s="300">
        <f t="shared" si="63"/>
        <v>0</v>
      </c>
      <c r="Y423" s="300">
        <f t="shared" si="64"/>
        <v>0</v>
      </c>
      <c r="Z423"/>
      <c r="AA423"/>
      <c r="AB423"/>
    </row>
    <row r="424" spans="1:28" x14ac:dyDescent="0.35">
      <c r="A424" s="299"/>
      <c r="B424" s="515">
        <v>14.391510856967511</v>
      </c>
      <c r="C424" s="515">
        <v>-0.93253635715996996</v>
      </c>
      <c r="D424" s="515">
        <v>1.6731265296843281</v>
      </c>
      <c r="E424" s="515">
        <v>0.22090134751923399</v>
      </c>
      <c r="F424" s="515">
        <v>7.4881706960390995E-2</v>
      </c>
      <c r="G424" s="299"/>
      <c r="H424" s="300">
        <f t="shared" si="56"/>
        <v>0</v>
      </c>
      <c r="I424" s="299"/>
      <c r="J424" s="1"/>
      <c r="K424" s="299"/>
      <c r="L424" s="1"/>
      <c r="M424" s="299"/>
      <c r="N424" s="299"/>
      <c r="O424" s="299"/>
      <c r="P424" s="299"/>
      <c r="Q424" s="298"/>
      <c r="R424" s="300">
        <f t="shared" si="57"/>
        <v>0</v>
      </c>
      <c r="S424" s="300">
        <f t="shared" si="58"/>
        <v>0</v>
      </c>
      <c r="T424" s="300">
        <f t="shared" si="59"/>
        <v>0</v>
      </c>
      <c r="U424" s="300">
        <f t="shared" si="60"/>
        <v>0</v>
      </c>
      <c r="V424" s="300">
        <f t="shared" si="61"/>
        <v>0</v>
      </c>
      <c r="W424" s="300">
        <f t="shared" si="62"/>
        <v>0</v>
      </c>
      <c r="X424" s="300">
        <f t="shared" si="63"/>
        <v>0</v>
      </c>
      <c r="Y424" s="300">
        <f t="shared" si="64"/>
        <v>0</v>
      </c>
      <c r="Z424"/>
      <c r="AA424"/>
      <c r="AB424"/>
    </row>
    <row r="425" spans="1:28" x14ac:dyDescent="0.35">
      <c r="A425" s="299"/>
      <c r="B425" s="515">
        <v>0.17475179418394099</v>
      </c>
      <c r="C425" s="515">
        <v>3.3324992559629001E-2</v>
      </c>
      <c r="D425" s="515">
        <v>1.9640771394379779</v>
      </c>
      <c r="E425" s="515">
        <v>0.22361121205772</v>
      </c>
      <c r="F425" s="515">
        <v>6.0979975842239999E-3</v>
      </c>
      <c r="G425" s="299"/>
      <c r="H425" s="300">
        <f t="shared" si="56"/>
        <v>0</v>
      </c>
      <c r="I425" s="299"/>
      <c r="J425" s="1"/>
      <c r="K425" s="299"/>
      <c r="L425" s="1"/>
      <c r="M425" s="299"/>
      <c r="N425" s="299"/>
      <c r="O425" s="299"/>
      <c r="P425" s="299"/>
      <c r="Q425" s="298"/>
      <c r="R425" s="300">
        <f t="shared" si="57"/>
        <v>0</v>
      </c>
      <c r="S425" s="300">
        <f t="shared" si="58"/>
        <v>0</v>
      </c>
      <c r="T425" s="300">
        <f t="shared" si="59"/>
        <v>0</v>
      </c>
      <c r="U425" s="300">
        <f t="shared" si="60"/>
        <v>0</v>
      </c>
      <c r="V425" s="300">
        <f t="shared" si="61"/>
        <v>0</v>
      </c>
      <c r="W425" s="300">
        <f t="shared" si="62"/>
        <v>0</v>
      </c>
      <c r="X425" s="300">
        <f t="shared" si="63"/>
        <v>0</v>
      </c>
      <c r="Y425" s="300">
        <f t="shared" si="64"/>
        <v>0</v>
      </c>
      <c r="Z425"/>
      <c r="AA425"/>
      <c r="AB425"/>
    </row>
    <row r="426" spans="1:28" x14ac:dyDescent="0.35">
      <c r="A426" s="299"/>
      <c r="B426" s="515">
        <v>9.9542540939999994E-6</v>
      </c>
      <c r="C426" s="515">
        <v>-1.4390767621925129</v>
      </c>
      <c r="D426" s="515">
        <v>0.25397381009591602</v>
      </c>
      <c r="E426" s="515">
        <v>0.115902317274648</v>
      </c>
      <c r="F426" s="515">
        <v>6.6015506926480005E-2</v>
      </c>
      <c r="G426" s="299"/>
      <c r="H426" s="300">
        <f t="shared" si="56"/>
        <v>0</v>
      </c>
      <c r="I426" s="299"/>
      <c r="J426" s="1"/>
      <c r="K426" s="299"/>
      <c r="L426" s="1"/>
      <c r="M426" s="299"/>
      <c r="N426" s="299"/>
      <c r="O426" s="299"/>
      <c r="P426" s="299"/>
      <c r="Q426" s="298"/>
      <c r="R426" s="300">
        <f t="shared" si="57"/>
        <v>0</v>
      </c>
      <c r="S426" s="300">
        <f t="shared" si="58"/>
        <v>0</v>
      </c>
      <c r="T426" s="300">
        <f t="shared" si="59"/>
        <v>0</v>
      </c>
      <c r="U426" s="300">
        <f t="shared" si="60"/>
        <v>0</v>
      </c>
      <c r="V426" s="300">
        <f t="shared" si="61"/>
        <v>0</v>
      </c>
      <c r="W426" s="300">
        <f t="shared" si="62"/>
        <v>0</v>
      </c>
      <c r="X426" s="300">
        <f t="shared" si="63"/>
        <v>0</v>
      </c>
      <c r="Y426" s="300">
        <f t="shared" si="64"/>
        <v>0</v>
      </c>
      <c r="Z426"/>
      <c r="AA426"/>
      <c r="AB426"/>
    </row>
    <row r="427" spans="1:28" x14ac:dyDescent="0.35">
      <c r="A427" s="299"/>
      <c r="B427" s="515">
        <v>2.1777577288565001E-2</v>
      </c>
      <c r="C427" s="515">
        <v>-8.5455179703169994E-3</v>
      </c>
      <c r="D427" s="515">
        <v>7.0219919452999997E-3</v>
      </c>
      <c r="E427" s="515">
        <v>3.2816727999999999E-7</v>
      </c>
      <c r="F427" s="515">
        <v>6.9172579926066E-2</v>
      </c>
      <c r="G427" s="299"/>
      <c r="H427" s="300">
        <f t="shared" si="56"/>
        <v>0</v>
      </c>
      <c r="I427" s="299"/>
      <c r="J427" s="1"/>
      <c r="K427" s="299"/>
      <c r="L427" s="1"/>
      <c r="M427" s="299"/>
      <c r="N427" s="299"/>
      <c r="O427" s="299"/>
      <c r="P427" s="299"/>
      <c r="Q427" s="298"/>
      <c r="R427" s="300">
        <f t="shared" si="57"/>
        <v>0</v>
      </c>
      <c r="S427" s="300">
        <f t="shared" si="58"/>
        <v>0</v>
      </c>
      <c r="T427" s="300">
        <f t="shared" si="59"/>
        <v>0</v>
      </c>
      <c r="U427" s="300">
        <f t="shared" si="60"/>
        <v>0</v>
      </c>
      <c r="V427" s="300">
        <f t="shared" si="61"/>
        <v>0</v>
      </c>
      <c r="W427" s="300">
        <f t="shared" si="62"/>
        <v>0</v>
      </c>
      <c r="X427" s="300">
        <f t="shared" si="63"/>
        <v>0</v>
      </c>
      <c r="Y427" s="300">
        <f t="shared" si="64"/>
        <v>0</v>
      </c>
      <c r="Z427"/>
      <c r="AA427"/>
      <c r="AB427"/>
    </row>
    <row r="428" spans="1:28" x14ac:dyDescent="0.35">
      <c r="A428" s="299"/>
      <c r="B428" s="515">
        <v>0.33772125759661198</v>
      </c>
      <c r="C428" s="515">
        <v>4.9899565179985998E-2</v>
      </c>
      <c r="D428" s="515">
        <v>2.0404746284368498</v>
      </c>
      <c r="E428" s="515">
        <v>0.226237408402885</v>
      </c>
      <c r="F428" s="515">
        <v>3.8420051655470001E-3</v>
      </c>
      <c r="G428" s="299"/>
      <c r="H428" s="300">
        <f t="shared" si="56"/>
        <v>0</v>
      </c>
      <c r="I428" s="299"/>
      <c r="J428" s="1"/>
      <c r="K428" s="299"/>
      <c r="L428" s="1"/>
      <c r="M428" s="299"/>
      <c r="N428" s="299"/>
      <c r="O428" s="299"/>
      <c r="P428" s="299"/>
      <c r="Q428" s="298"/>
      <c r="R428" s="300">
        <f t="shared" si="57"/>
        <v>0</v>
      </c>
      <c r="S428" s="300">
        <f t="shared" si="58"/>
        <v>0</v>
      </c>
      <c r="T428" s="300">
        <f t="shared" si="59"/>
        <v>0</v>
      </c>
      <c r="U428" s="300">
        <f t="shared" si="60"/>
        <v>0</v>
      </c>
      <c r="V428" s="300">
        <f t="shared" si="61"/>
        <v>0</v>
      </c>
      <c r="W428" s="300">
        <f t="shared" si="62"/>
        <v>0</v>
      </c>
      <c r="X428" s="300">
        <f t="shared" si="63"/>
        <v>0</v>
      </c>
      <c r="Y428" s="300">
        <f t="shared" si="64"/>
        <v>0</v>
      </c>
      <c r="Z428"/>
      <c r="AA428"/>
      <c r="AB428"/>
    </row>
    <row r="429" spans="1:28" x14ac:dyDescent="0.35">
      <c r="A429" s="299"/>
      <c r="B429" s="515">
        <v>0.65399282526453495</v>
      </c>
      <c r="C429" s="515">
        <v>-0.33749527639292298</v>
      </c>
      <c r="D429" s="515">
        <v>7.3181409850099997E-3</v>
      </c>
      <c r="E429" s="515">
        <v>1.61968922E-6</v>
      </c>
      <c r="F429" s="515">
        <v>7.1773420921700998E-2</v>
      </c>
      <c r="G429" s="299"/>
      <c r="H429" s="300">
        <f t="shared" si="56"/>
        <v>0</v>
      </c>
      <c r="I429" s="299"/>
      <c r="J429" s="1"/>
      <c r="K429" s="299"/>
      <c r="L429" s="1"/>
      <c r="M429" s="299"/>
      <c r="N429" s="299"/>
      <c r="O429" s="299"/>
      <c r="P429" s="299"/>
      <c r="Q429" s="298"/>
      <c r="R429" s="300">
        <f t="shared" si="57"/>
        <v>0</v>
      </c>
      <c r="S429" s="300">
        <f t="shared" si="58"/>
        <v>0</v>
      </c>
      <c r="T429" s="300">
        <f t="shared" si="59"/>
        <v>0</v>
      </c>
      <c r="U429" s="300">
        <f t="shared" si="60"/>
        <v>0</v>
      </c>
      <c r="V429" s="300">
        <f t="shared" si="61"/>
        <v>0</v>
      </c>
      <c r="W429" s="300">
        <f t="shared" si="62"/>
        <v>0</v>
      </c>
      <c r="X429" s="300">
        <f t="shared" si="63"/>
        <v>0</v>
      </c>
      <c r="Y429" s="300">
        <f t="shared" si="64"/>
        <v>0</v>
      </c>
      <c r="Z429"/>
      <c r="AA429"/>
      <c r="AB429"/>
    </row>
    <row r="430" spans="1:28" x14ac:dyDescent="0.35">
      <c r="A430" s="299"/>
      <c r="B430" s="515">
        <v>0.201407726366165</v>
      </c>
      <c r="C430" s="515">
        <v>3.1472673287851E-2</v>
      </c>
      <c r="D430" s="515">
        <v>8.9946939815790002E-3</v>
      </c>
      <c r="E430" s="515">
        <v>0.109683136850574</v>
      </c>
      <c r="F430" s="515">
        <v>5.5115192866113001E-2</v>
      </c>
      <c r="G430" s="299"/>
      <c r="H430" s="300">
        <f t="shared" si="56"/>
        <v>0</v>
      </c>
      <c r="I430" s="299"/>
      <c r="J430" s="1"/>
      <c r="K430" s="299"/>
      <c r="L430" s="1"/>
      <c r="M430" s="299"/>
      <c r="N430" s="299"/>
      <c r="O430" s="299"/>
      <c r="P430" s="299"/>
      <c r="Q430" s="298"/>
      <c r="R430" s="300">
        <f t="shared" si="57"/>
        <v>0</v>
      </c>
      <c r="S430" s="300">
        <f t="shared" si="58"/>
        <v>0</v>
      </c>
      <c r="T430" s="300">
        <f t="shared" si="59"/>
        <v>0</v>
      </c>
      <c r="U430" s="300">
        <f t="shared" si="60"/>
        <v>0</v>
      </c>
      <c r="V430" s="300">
        <f t="shared" si="61"/>
        <v>0</v>
      </c>
      <c r="W430" s="300">
        <f t="shared" si="62"/>
        <v>0</v>
      </c>
      <c r="X430" s="300">
        <f t="shared" si="63"/>
        <v>0</v>
      </c>
      <c r="Y430" s="300">
        <f t="shared" si="64"/>
        <v>0</v>
      </c>
      <c r="Z430"/>
      <c r="AA430"/>
      <c r="AB430"/>
    </row>
    <row r="431" spans="1:28" x14ac:dyDescent="0.35">
      <c r="A431" s="299"/>
      <c r="B431" s="515">
        <v>5.4555728740000004E-6</v>
      </c>
      <c r="C431" s="515">
        <v>0.12899656103839199</v>
      </c>
      <c r="D431" s="515">
        <v>0.76710596909526896</v>
      </c>
      <c r="E431" s="515">
        <v>0.11807458374132999</v>
      </c>
      <c r="F431" s="515">
        <v>3.5065639641283002E-2</v>
      </c>
      <c r="G431" s="299"/>
      <c r="H431" s="300">
        <f t="shared" si="56"/>
        <v>0</v>
      </c>
      <c r="I431" s="299"/>
      <c r="J431" s="1"/>
      <c r="K431" s="299"/>
      <c r="L431" s="1"/>
      <c r="M431" s="299"/>
      <c r="N431" s="299"/>
      <c r="O431" s="299"/>
      <c r="P431" s="299"/>
      <c r="Q431" s="298"/>
      <c r="R431" s="300">
        <f t="shared" si="57"/>
        <v>0</v>
      </c>
      <c r="S431" s="300">
        <f t="shared" si="58"/>
        <v>0</v>
      </c>
      <c r="T431" s="300">
        <f t="shared" si="59"/>
        <v>0</v>
      </c>
      <c r="U431" s="300">
        <f t="shared" si="60"/>
        <v>0</v>
      </c>
      <c r="V431" s="300">
        <f t="shared" si="61"/>
        <v>0</v>
      </c>
      <c r="W431" s="300">
        <f t="shared" si="62"/>
        <v>0</v>
      </c>
      <c r="X431" s="300">
        <f t="shared" si="63"/>
        <v>0</v>
      </c>
      <c r="Y431" s="300">
        <f t="shared" si="64"/>
        <v>0</v>
      </c>
      <c r="Z431"/>
      <c r="AA431"/>
      <c r="AB431"/>
    </row>
    <row r="432" spans="1:28" x14ac:dyDescent="0.35">
      <c r="A432" s="299"/>
      <c r="B432" s="515">
        <v>4.5565122934876916</v>
      </c>
      <c r="C432" s="515">
        <v>-0.59187429649172896</v>
      </c>
      <c r="D432" s="515">
        <v>1.334537504489175</v>
      </c>
      <c r="E432" s="515">
        <v>5.4924411559799998E-4</v>
      </c>
      <c r="F432" s="515">
        <v>6.6393561853116997E-2</v>
      </c>
      <c r="G432" s="299"/>
      <c r="H432" s="300">
        <f t="shared" si="56"/>
        <v>0</v>
      </c>
      <c r="I432" s="299"/>
      <c r="J432" s="1"/>
      <c r="K432" s="299"/>
      <c r="L432" s="1"/>
      <c r="M432" s="299"/>
      <c r="N432" s="299"/>
      <c r="O432" s="299"/>
      <c r="P432" s="299"/>
      <c r="Q432" s="298"/>
      <c r="R432" s="300">
        <f t="shared" si="57"/>
        <v>0</v>
      </c>
      <c r="S432" s="300">
        <f t="shared" si="58"/>
        <v>0</v>
      </c>
      <c r="T432" s="300">
        <f t="shared" si="59"/>
        <v>0</v>
      </c>
      <c r="U432" s="300">
        <f t="shared" si="60"/>
        <v>0</v>
      </c>
      <c r="V432" s="300">
        <f t="shared" si="61"/>
        <v>0</v>
      </c>
      <c r="W432" s="300">
        <f t="shared" si="62"/>
        <v>0</v>
      </c>
      <c r="X432" s="300">
        <f t="shared" si="63"/>
        <v>0</v>
      </c>
      <c r="Y432" s="300">
        <f t="shared" si="64"/>
        <v>0</v>
      </c>
      <c r="Z432"/>
      <c r="AA432"/>
      <c r="AB432"/>
    </row>
    <row r="433" spans="1:28" x14ac:dyDescent="0.35">
      <c r="A433" s="299"/>
      <c r="B433" s="515">
        <v>4.1743984014852273</v>
      </c>
      <c r="C433" s="515">
        <v>0.15902461120646499</v>
      </c>
      <c r="D433" s="515">
        <v>0.68471504402692596</v>
      </c>
      <c r="E433" s="515">
        <v>4.0165207771380003E-2</v>
      </c>
      <c r="F433" s="515">
        <v>6.1527531841577998E-2</v>
      </c>
      <c r="G433" s="299"/>
      <c r="H433" s="300">
        <f t="shared" si="56"/>
        <v>0</v>
      </c>
      <c r="I433" s="299"/>
      <c r="J433" s="1"/>
      <c r="K433" s="299"/>
      <c r="L433" s="1"/>
      <c r="M433" s="299"/>
      <c r="N433" s="299"/>
      <c r="O433" s="299"/>
      <c r="P433" s="299"/>
      <c r="Q433" s="298"/>
      <c r="R433" s="300">
        <f t="shared" si="57"/>
        <v>0</v>
      </c>
      <c r="S433" s="300">
        <f t="shared" si="58"/>
        <v>0</v>
      </c>
      <c r="T433" s="300">
        <f t="shared" si="59"/>
        <v>0</v>
      </c>
      <c r="U433" s="300">
        <f t="shared" si="60"/>
        <v>0</v>
      </c>
      <c r="V433" s="300">
        <f t="shared" si="61"/>
        <v>0</v>
      </c>
      <c r="W433" s="300">
        <f t="shared" si="62"/>
        <v>0</v>
      </c>
      <c r="X433" s="300">
        <f t="shared" si="63"/>
        <v>0</v>
      </c>
      <c r="Y433" s="300">
        <f t="shared" si="64"/>
        <v>0</v>
      </c>
      <c r="Z433"/>
      <c r="AA433"/>
      <c r="AB433"/>
    </row>
    <row r="434" spans="1:28" x14ac:dyDescent="0.35">
      <c r="A434" s="299"/>
      <c r="B434" s="515">
        <v>10.790169150001541</v>
      </c>
      <c r="C434" s="515">
        <v>0.13061656641113301</v>
      </c>
      <c r="D434" s="515">
        <v>1.3058376789139139</v>
      </c>
      <c r="E434" s="515">
        <v>1.2801945083664E-2</v>
      </c>
      <c r="F434" s="515">
        <v>7.6158933517378999E-2</v>
      </c>
      <c r="G434" s="299"/>
      <c r="H434" s="300">
        <f t="shared" si="56"/>
        <v>0</v>
      </c>
      <c r="I434" s="299"/>
      <c r="J434" s="1"/>
      <c r="K434" s="299"/>
      <c r="L434" s="1"/>
      <c r="M434" s="299"/>
      <c r="N434" s="299"/>
      <c r="O434" s="299"/>
      <c r="P434" s="299"/>
      <c r="Q434" s="298"/>
      <c r="R434" s="300">
        <f t="shared" si="57"/>
        <v>0</v>
      </c>
      <c r="S434" s="300">
        <f t="shared" si="58"/>
        <v>0</v>
      </c>
      <c r="T434" s="300">
        <f t="shared" si="59"/>
        <v>0</v>
      </c>
      <c r="U434" s="300">
        <f t="shared" si="60"/>
        <v>0</v>
      </c>
      <c r="V434" s="300">
        <f t="shared" si="61"/>
        <v>0</v>
      </c>
      <c r="W434" s="300">
        <f t="shared" si="62"/>
        <v>0</v>
      </c>
      <c r="X434" s="300">
        <f t="shared" si="63"/>
        <v>0</v>
      </c>
      <c r="Y434" s="300">
        <f t="shared" si="64"/>
        <v>0</v>
      </c>
      <c r="Z434"/>
      <c r="AA434"/>
      <c r="AB434"/>
    </row>
    <row r="435" spans="1:28" x14ac:dyDescent="0.35">
      <c r="A435" s="299"/>
      <c r="B435" s="515">
        <v>9.7424593771852646</v>
      </c>
      <c r="C435" s="515">
        <v>0.10136771671445099</v>
      </c>
      <c r="D435" s="515">
        <v>1.0652828024262779</v>
      </c>
      <c r="E435" s="515">
        <v>0.134377005721247</v>
      </c>
      <c r="F435" s="515">
        <v>6.5067231402471004E-2</v>
      </c>
      <c r="G435" s="299"/>
      <c r="H435" s="300">
        <f t="shared" si="56"/>
        <v>0</v>
      </c>
      <c r="I435" s="299"/>
      <c r="J435" s="1"/>
      <c r="K435" s="299"/>
      <c r="L435" s="1"/>
      <c r="M435" s="299"/>
      <c r="N435" s="299"/>
      <c r="O435" s="299"/>
      <c r="P435" s="299"/>
      <c r="Q435" s="298"/>
      <c r="R435" s="300">
        <f t="shared" si="57"/>
        <v>0</v>
      </c>
      <c r="S435" s="300">
        <f t="shared" si="58"/>
        <v>0</v>
      </c>
      <c r="T435" s="300">
        <f t="shared" si="59"/>
        <v>0</v>
      </c>
      <c r="U435" s="300">
        <f t="shared" si="60"/>
        <v>0</v>
      </c>
      <c r="V435" s="300">
        <f t="shared" si="61"/>
        <v>0</v>
      </c>
      <c r="W435" s="300">
        <f t="shared" si="62"/>
        <v>0</v>
      </c>
      <c r="X435" s="300">
        <f t="shared" si="63"/>
        <v>0</v>
      </c>
      <c r="Y435" s="300">
        <f t="shared" si="64"/>
        <v>0</v>
      </c>
      <c r="Z435"/>
      <c r="AA435"/>
      <c r="AB435"/>
    </row>
    <row r="436" spans="1:28" x14ac:dyDescent="0.35">
      <c r="A436" s="299"/>
      <c r="B436" s="515">
        <v>6.1254823090000001E-6</v>
      </c>
      <c r="C436" s="515">
        <v>2.7958008804176999E-2</v>
      </c>
      <c r="D436" s="515">
        <v>1.9813120499862349</v>
      </c>
      <c r="E436" s="515">
        <v>0.22438147291963101</v>
      </c>
      <c r="F436" s="515">
        <v>5.1742840709619996E-3</v>
      </c>
      <c r="G436" s="299"/>
      <c r="H436" s="300">
        <f t="shared" si="56"/>
        <v>0</v>
      </c>
      <c r="I436" s="299"/>
      <c r="J436" s="1"/>
      <c r="K436" s="299"/>
      <c r="L436" s="1"/>
      <c r="M436" s="299"/>
      <c r="N436" s="299"/>
      <c r="O436" s="299"/>
      <c r="P436" s="299"/>
      <c r="Q436" s="298"/>
      <c r="R436" s="300">
        <f t="shared" si="57"/>
        <v>0</v>
      </c>
      <c r="S436" s="300">
        <f t="shared" si="58"/>
        <v>0</v>
      </c>
      <c r="T436" s="300">
        <f t="shared" si="59"/>
        <v>0</v>
      </c>
      <c r="U436" s="300">
        <f t="shared" si="60"/>
        <v>0</v>
      </c>
      <c r="V436" s="300">
        <f t="shared" si="61"/>
        <v>0</v>
      </c>
      <c r="W436" s="300">
        <f t="shared" si="62"/>
        <v>0</v>
      </c>
      <c r="X436" s="300">
        <f t="shared" si="63"/>
        <v>0</v>
      </c>
      <c r="Y436" s="300">
        <f t="shared" si="64"/>
        <v>0</v>
      </c>
      <c r="Z436"/>
      <c r="AA436"/>
      <c r="AB436"/>
    </row>
    <row r="437" spans="1:28" x14ac:dyDescent="0.35">
      <c r="A437" s="299"/>
      <c r="B437" s="515">
        <v>1.7334064249430481</v>
      </c>
      <c r="C437" s="515">
        <v>5.8917876906925001E-2</v>
      </c>
      <c r="D437" s="515">
        <v>0.382669711475146</v>
      </c>
      <c r="E437" s="515">
        <v>9.3758861502300003E-4</v>
      </c>
      <c r="F437" s="515">
        <v>6.8009430005473007E-2</v>
      </c>
      <c r="G437" s="299"/>
      <c r="H437" s="300">
        <f t="shared" si="56"/>
        <v>0</v>
      </c>
      <c r="I437" s="299"/>
      <c r="J437" s="1"/>
      <c r="K437" s="299"/>
      <c r="L437" s="1"/>
      <c r="M437" s="299"/>
      <c r="N437" s="299"/>
      <c r="O437" s="299"/>
      <c r="P437" s="299"/>
      <c r="Q437" s="298"/>
      <c r="R437" s="300">
        <f t="shared" si="57"/>
        <v>0</v>
      </c>
      <c r="S437" s="300">
        <f t="shared" si="58"/>
        <v>0</v>
      </c>
      <c r="T437" s="300">
        <f t="shared" si="59"/>
        <v>0</v>
      </c>
      <c r="U437" s="300">
        <f t="shared" si="60"/>
        <v>0</v>
      </c>
      <c r="V437" s="300">
        <f t="shared" si="61"/>
        <v>0</v>
      </c>
      <c r="W437" s="300">
        <f t="shared" si="62"/>
        <v>0</v>
      </c>
      <c r="X437" s="300">
        <f t="shared" si="63"/>
        <v>0</v>
      </c>
      <c r="Y437" s="300">
        <f t="shared" si="64"/>
        <v>0</v>
      </c>
      <c r="Z437"/>
      <c r="AA437"/>
      <c r="AB437"/>
    </row>
    <row r="438" spans="1:28" x14ac:dyDescent="0.35">
      <c r="A438" s="299"/>
      <c r="B438" s="515">
        <v>2.0448617575780001E-3</v>
      </c>
      <c r="C438" s="515">
        <v>2.7967253360516E-2</v>
      </c>
      <c r="D438" s="515">
        <v>1.982010047747186</v>
      </c>
      <c r="E438" s="515">
        <v>0.22443643911137701</v>
      </c>
      <c r="F438" s="515">
        <v>5.161157387724E-3</v>
      </c>
      <c r="G438" s="299"/>
      <c r="H438" s="300">
        <f t="shared" si="56"/>
        <v>0</v>
      </c>
      <c r="I438" s="299"/>
      <c r="J438" s="1"/>
      <c r="K438" s="299"/>
      <c r="L438" s="1"/>
      <c r="M438" s="299"/>
      <c r="N438" s="299"/>
      <c r="O438" s="299"/>
      <c r="P438" s="299"/>
      <c r="Q438" s="298"/>
      <c r="R438" s="300">
        <f t="shared" si="57"/>
        <v>0</v>
      </c>
      <c r="S438" s="300">
        <f t="shared" si="58"/>
        <v>0</v>
      </c>
      <c r="T438" s="300">
        <f t="shared" si="59"/>
        <v>0</v>
      </c>
      <c r="U438" s="300">
        <f t="shared" si="60"/>
        <v>0</v>
      </c>
      <c r="V438" s="300">
        <f t="shared" si="61"/>
        <v>0</v>
      </c>
      <c r="W438" s="300">
        <f t="shared" si="62"/>
        <v>0</v>
      </c>
      <c r="X438" s="300">
        <f t="shared" si="63"/>
        <v>0</v>
      </c>
      <c r="Y438" s="300">
        <f t="shared" si="64"/>
        <v>0</v>
      </c>
      <c r="Z438"/>
      <c r="AA438"/>
      <c r="AB438"/>
    </row>
    <row r="439" spans="1:28" x14ac:dyDescent="0.35">
      <c r="A439" s="299"/>
      <c r="B439" s="515">
        <v>12.56726653365245</v>
      </c>
      <c r="C439" s="515">
        <v>-0.80434684176475402</v>
      </c>
      <c r="D439" s="515">
        <v>2.995658551151068</v>
      </c>
      <c r="E439" s="515">
        <v>1.081722697E-6</v>
      </c>
      <c r="F439" s="515">
        <v>6.2911158714911E-2</v>
      </c>
      <c r="G439" s="299"/>
      <c r="H439" s="300">
        <f t="shared" si="56"/>
        <v>0</v>
      </c>
      <c r="I439" s="299"/>
      <c r="J439" s="1"/>
      <c r="K439" s="299"/>
      <c r="L439" s="1"/>
      <c r="M439" s="299"/>
      <c r="N439" s="299"/>
      <c r="O439" s="299"/>
      <c r="P439" s="299"/>
      <c r="Q439" s="298"/>
      <c r="R439" s="300">
        <f t="shared" si="57"/>
        <v>0</v>
      </c>
      <c r="S439" s="300">
        <f t="shared" si="58"/>
        <v>0</v>
      </c>
      <c r="T439" s="300">
        <f t="shared" si="59"/>
        <v>0</v>
      </c>
      <c r="U439" s="300">
        <f t="shared" si="60"/>
        <v>0</v>
      </c>
      <c r="V439" s="300">
        <f t="shared" si="61"/>
        <v>0</v>
      </c>
      <c r="W439" s="300">
        <f t="shared" si="62"/>
        <v>0</v>
      </c>
      <c r="X439" s="300">
        <f t="shared" si="63"/>
        <v>0</v>
      </c>
      <c r="Y439" s="300">
        <f t="shared" si="64"/>
        <v>0</v>
      </c>
      <c r="Z439"/>
      <c r="AA439"/>
      <c r="AB439"/>
    </row>
    <row r="440" spans="1:28" x14ac:dyDescent="0.35">
      <c r="A440" s="299"/>
      <c r="B440" s="515">
        <v>4.3332399245963193</v>
      </c>
      <c r="C440" s="515">
        <v>0.167999625770032</v>
      </c>
      <c r="D440" s="515">
        <v>7.0011699862369998E-3</v>
      </c>
      <c r="E440" s="515">
        <v>1.1279372500000001E-7</v>
      </c>
      <c r="F440" s="515">
        <v>7.6384766067824003E-2</v>
      </c>
      <c r="G440" s="299"/>
      <c r="H440" s="300">
        <f t="shared" si="56"/>
        <v>0</v>
      </c>
      <c r="I440" s="299"/>
      <c r="J440" s="1"/>
      <c r="K440" s="299"/>
      <c r="L440" s="1"/>
      <c r="M440" s="299"/>
      <c r="N440" s="299"/>
      <c r="O440" s="299"/>
      <c r="P440" s="299"/>
      <c r="Q440" s="298"/>
      <c r="R440" s="300">
        <f t="shared" si="57"/>
        <v>0</v>
      </c>
      <c r="S440" s="300">
        <f t="shared" si="58"/>
        <v>0</v>
      </c>
      <c r="T440" s="300">
        <f t="shared" si="59"/>
        <v>0</v>
      </c>
      <c r="U440" s="300">
        <f t="shared" si="60"/>
        <v>0</v>
      </c>
      <c r="V440" s="300">
        <f t="shared" si="61"/>
        <v>0</v>
      </c>
      <c r="W440" s="300">
        <f t="shared" si="62"/>
        <v>0</v>
      </c>
      <c r="X440" s="300">
        <f t="shared" si="63"/>
        <v>0</v>
      </c>
      <c r="Y440" s="300">
        <f t="shared" si="64"/>
        <v>0</v>
      </c>
      <c r="Z440"/>
      <c r="AA440"/>
      <c r="AB440"/>
    </row>
    <row r="441" spans="1:28" x14ac:dyDescent="0.35">
      <c r="A441" s="299"/>
      <c r="B441" s="515">
        <v>2.0170038221517159</v>
      </c>
      <c r="C441" s="515">
        <v>0.118192824745812</v>
      </c>
      <c r="D441" s="515">
        <v>7.0997120511510003E-3</v>
      </c>
      <c r="E441" s="515">
        <v>8.2649037349196999E-2</v>
      </c>
      <c r="F441" s="515">
        <v>6.2185283918618002E-2</v>
      </c>
      <c r="G441" s="299"/>
      <c r="H441" s="300">
        <f t="shared" si="56"/>
        <v>0</v>
      </c>
      <c r="I441" s="299"/>
      <c r="J441" s="1"/>
      <c r="K441" s="299"/>
      <c r="L441" s="1"/>
      <c r="M441" s="299"/>
      <c r="N441" s="299"/>
      <c r="O441" s="299"/>
      <c r="P441" s="299"/>
      <c r="Q441" s="298"/>
      <c r="R441" s="300">
        <f t="shared" si="57"/>
        <v>0</v>
      </c>
      <c r="S441" s="300">
        <f t="shared" si="58"/>
        <v>0</v>
      </c>
      <c r="T441" s="300">
        <f t="shared" si="59"/>
        <v>0</v>
      </c>
      <c r="U441" s="300">
        <f t="shared" si="60"/>
        <v>0</v>
      </c>
      <c r="V441" s="300">
        <f t="shared" si="61"/>
        <v>0</v>
      </c>
      <c r="W441" s="300">
        <f t="shared" si="62"/>
        <v>0</v>
      </c>
      <c r="X441" s="300">
        <f t="shared" si="63"/>
        <v>0</v>
      </c>
      <c r="Y441" s="300">
        <f t="shared" si="64"/>
        <v>0</v>
      </c>
      <c r="Z441"/>
      <c r="AA441"/>
      <c r="AB441"/>
    </row>
    <row r="442" spans="1:28" x14ac:dyDescent="0.35">
      <c r="A442" s="299"/>
      <c r="B442" s="515">
        <v>6.1297694960877154</v>
      </c>
      <c r="C442" s="515">
        <v>9.2524463257501993E-2</v>
      </c>
      <c r="D442" s="515">
        <v>0.93278711457110097</v>
      </c>
      <c r="E442" s="515">
        <v>3.5018787908449998E-2</v>
      </c>
      <c r="F442" s="515">
        <v>7.0147825924016E-2</v>
      </c>
      <c r="G442" s="299"/>
      <c r="H442" s="300">
        <f t="shared" si="56"/>
        <v>0</v>
      </c>
      <c r="I442" s="299"/>
      <c r="J442" s="1"/>
      <c r="K442" s="299"/>
      <c r="L442" s="1"/>
      <c r="M442" s="299"/>
      <c r="N442" s="299"/>
      <c r="O442" s="299"/>
      <c r="P442" s="299"/>
      <c r="Q442" s="298"/>
      <c r="R442" s="300">
        <f t="shared" si="57"/>
        <v>0</v>
      </c>
      <c r="S442" s="300">
        <f t="shared" si="58"/>
        <v>0</v>
      </c>
      <c r="T442" s="300">
        <f t="shared" si="59"/>
        <v>0</v>
      </c>
      <c r="U442" s="300">
        <f t="shared" si="60"/>
        <v>0</v>
      </c>
      <c r="V442" s="300">
        <f t="shared" si="61"/>
        <v>0</v>
      </c>
      <c r="W442" s="300">
        <f t="shared" si="62"/>
        <v>0</v>
      </c>
      <c r="X442" s="300">
        <f t="shared" si="63"/>
        <v>0</v>
      </c>
      <c r="Y442" s="300">
        <f t="shared" si="64"/>
        <v>0</v>
      </c>
      <c r="Z442"/>
      <c r="AA442"/>
      <c r="AB442"/>
    </row>
    <row r="443" spans="1:28" x14ac:dyDescent="0.35">
      <c r="A443" s="299"/>
      <c r="B443" s="515">
        <v>13.189301293962149</v>
      </c>
      <c r="C443" s="515">
        <v>-1.552754478701674</v>
      </c>
      <c r="D443" s="515">
        <v>2.2133948064775182</v>
      </c>
      <c r="E443" s="515">
        <v>2.3528285088870002E-3</v>
      </c>
      <c r="F443" s="515">
        <v>7.3570262645592993E-2</v>
      </c>
      <c r="G443" s="299"/>
      <c r="H443" s="300">
        <f t="shared" si="56"/>
        <v>0</v>
      </c>
      <c r="I443" s="299"/>
      <c r="J443" s="1"/>
      <c r="K443" s="299"/>
      <c r="L443" s="1"/>
      <c r="M443" s="299"/>
      <c r="N443" s="299"/>
      <c r="O443" s="299"/>
      <c r="P443" s="299"/>
      <c r="Q443" s="298"/>
      <c r="R443" s="300">
        <f t="shared" si="57"/>
        <v>0</v>
      </c>
      <c r="S443" s="300">
        <f t="shared" si="58"/>
        <v>0</v>
      </c>
      <c r="T443" s="300">
        <f t="shared" si="59"/>
        <v>0</v>
      </c>
      <c r="U443" s="300">
        <f t="shared" si="60"/>
        <v>0</v>
      </c>
      <c r="V443" s="300">
        <f t="shared" si="61"/>
        <v>0</v>
      </c>
      <c r="W443" s="300">
        <f t="shared" si="62"/>
        <v>0</v>
      </c>
      <c r="X443" s="300">
        <f t="shared" si="63"/>
        <v>0</v>
      </c>
      <c r="Y443" s="300">
        <f t="shared" si="64"/>
        <v>0</v>
      </c>
      <c r="Z443"/>
      <c r="AA443"/>
      <c r="AB443"/>
    </row>
    <row r="444" spans="1:28" x14ac:dyDescent="0.35">
      <c r="A444" s="299"/>
      <c r="B444" s="515">
        <v>3.6421939268570002E-3</v>
      </c>
      <c r="C444" s="515">
        <v>2.8160419573672001E-2</v>
      </c>
      <c r="D444" s="515">
        <v>1.9783235211009429</v>
      </c>
      <c r="E444" s="515">
        <v>0.224149612170222</v>
      </c>
      <c r="F444" s="515">
        <v>5.2743259244790001E-3</v>
      </c>
      <c r="G444" s="299"/>
      <c r="H444" s="300">
        <f t="shared" si="56"/>
        <v>0</v>
      </c>
      <c r="I444" s="299"/>
      <c r="J444" s="1"/>
      <c r="K444" s="299"/>
      <c r="L444" s="1"/>
      <c r="M444" s="299"/>
      <c r="N444" s="299"/>
      <c r="O444" s="299"/>
      <c r="P444" s="299"/>
      <c r="Q444" s="298"/>
      <c r="R444" s="300">
        <f t="shared" si="57"/>
        <v>0</v>
      </c>
      <c r="S444" s="300">
        <f t="shared" si="58"/>
        <v>0</v>
      </c>
      <c r="T444" s="300">
        <f t="shared" si="59"/>
        <v>0</v>
      </c>
      <c r="U444" s="300">
        <f t="shared" si="60"/>
        <v>0</v>
      </c>
      <c r="V444" s="300">
        <f t="shared" si="61"/>
        <v>0</v>
      </c>
      <c r="W444" s="300">
        <f t="shared" si="62"/>
        <v>0</v>
      </c>
      <c r="X444" s="300">
        <f t="shared" si="63"/>
        <v>0</v>
      </c>
      <c r="Y444" s="300">
        <f t="shared" si="64"/>
        <v>0</v>
      </c>
      <c r="Z444"/>
      <c r="AA444"/>
      <c r="AB444"/>
    </row>
    <row r="445" spans="1:28" x14ac:dyDescent="0.35">
      <c r="A445" s="299"/>
      <c r="B445" s="515">
        <v>3.7705806745622019</v>
      </c>
      <c r="C445" s="515">
        <v>0.11153229204682</v>
      </c>
      <c r="D445" s="515">
        <v>1.487018737346913</v>
      </c>
      <c r="E445" s="515">
        <v>0.15702851325926101</v>
      </c>
      <c r="F445" s="515">
        <v>3.5666028232911998E-2</v>
      </c>
      <c r="G445" s="299"/>
      <c r="H445" s="300">
        <f t="shared" si="56"/>
        <v>0</v>
      </c>
      <c r="I445" s="299"/>
      <c r="J445" s="1"/>
      <c r="K445" s="299"/>
      <c r="L445" s="1"/>
      <c r="M445" s="299"/>
      <c r="N445" s="299"/>
      <c r="O445" s="299"/>
      <c r="P445" s="299"/>
      <c r="Q445" s="298"/>
      <c r="R445" s="300">
        <f t="shared" si="57"/>
        <v>0</v>
      </c>
      <c r="S445" s="300">
        <f t="shared" si="58"/>
        <v>0</v>
      </c>
      <c r="T445" s="300">
        <f t="shared" si="59"/>
        <v>0</v>
      </c>
      <c r="U445" s="300">
        <f t="shared" si="60"/>
        <v>0</v>
      </c>
      <c r="V445" s="300">
        <f t="shared" si="61"/>
        <v>0</v>
      </c>
      <c r="W445" s="300">
        <f t="shared" si="62"/>
        <v>0</v>
      </c>
      <c r="X445" s="300">
        <f t="shared" si="63"/>
        <v>0</v>
      </c>
      <c r="Y445" s="300">
        <f t="shared" si="64"/>
        <v>0</v>
      </c>
      <c r="Z445"/>
      <c r="AA445"/>
      <c r="AB445"/>
    </row>
    <row r="446" spans="1:28" x14ac:dyDescent="0.35">
      <c r="A446" s="299"/>
      <c r="B446" s="515">
        <v>6.8687906730109738</v>
      </c>
      <c r="C446" s="515">
        <v>1.7779063312046001E-2</v>
      </c>
      <c r="D446" s="515">
        <v>1.227166823103917</v>
      </c>
      <c r="E446" s="515">
        <v>0.155041928500052</v>
      </c>
      <c r="F446" s="515">
        <v>5.5388648659545001E-2</v>
      </c>
      <c r="G446" s="299"/>
      <c r="H446" s="300">
        <f t="shared" si="56"/>
        <v>0</v>
      </c>
      <c r="I446" s="299"/>
      <c r="J446" s="1"/>
      <c r="K446" s="299"/>
      <c r="L446" s="1"/>
      <c r="M446" s="299"/>
      <c r="N446" s="299"/>
      <c r="O446" s="299"/>
      <c r="P446" s="299"/>
      <c r="Q446" s="298"/>
      <c r="R446" s="300">
        <f t="shared" si="57"/>
        <v>0</v>
      </c>
      <c r="S446" s="300">
        <f t="shared" si="58"/>
        <v>0</v>
      </c>
      <c r="T446" s="300">
        <f t="shared" si="59"/>
        <v>0</v>
      </c>
      <c r="U446" s="300">
        <f t="shared" si="60"/>
        <v>0</v>
      </c>
      <c r="V446" s="300">
        <f t="shared" si="61"/>
        <v>0</v>
      </c>
      <c r="W446" s="300">
        <f t="shared" si="62"/>
        <v>0</v>
      </c>
      <c r="X446" s="300">
        <f t="shared" si="63"/>
        <v>0</v>
      </c>
      <c r="Y446" s="300">
        <f t="shared" si="64"/>
        <v>0</v>
      </c>
      <c r="Z446"/>
      <c r="AA446"/>
      <c r="AB446"/>
    </row>
    <row r="447" spans="1:28" x14ac:dyDescent="0.35">
      <c r="A447" s="299"/>
      <c r="B447" s="515">
        <v>3.5321056201215999E-2</v>
      </c>
      <c r="C447" s="515">
        <v>4.4381292955563999E-2</v>
      </c>
      <c r="D447" s="515">
        <v>1.0430653701190999E-2</v>
      </c>
      <c r="E447" s="515">
        <v>0.106537636377892</v>
      </c>
      <c r="F447" s="515">
        <v>5.4725770930614002E-2</v>
      </c>
      <c r="G447" s="299"/>
      <c r="H447" s="300">
        <f t="shared" si="56"/>
        <v>0</v>
      </c>
      <c r="I447" s="299"/>
      <c r="J447" s="1"/>
      <c r="K447" s="299"/>
      <c r="L447" s="1"/>
      <c r="M447" s="299"/>
      <c r="N447" s="299"/>
      <c r="O447" s="299"/>
      <c r="P447" s="299"/>
      <c r="Q447" s="298"/>
      <c r="R447" s="300">
        <f t="shared" si="57"/>
        <v>0</v>
      </c>
      <c r="S447" s="300">
        <f t="shared" si="58"/>
        <v>0</v>
      </c>
      <c r="T447" s="300">
        <f t="shared" si="59"/>
        <v>0</v>
      </c>
      <c r="U447" s="300">
        <f t="shared" si="60"/>
        <v>0</v>
      </c>
      <c r="V447" s="300">
        <f t="shared" si="61"/>
        <v>0</v>
      </c>
      <c r="W447" s="300">
        <f t="shared" si="62"/>
        <v>0</v>
      </c>
      <c r="X447" s="300">
        <f t="shared" si="63"/>
        <v>0</v>
      </c>
      <c r="Y447" s="300">
        <f t="shared" si="64"/>
        <v>0</v>
      </c>
      <c r="Z447"/>
      <c r="AA447"/>
      <c r="AB447"/>
    </row>
    <row r="448" spans="1:28" x14ac:dyDescent="0.35">
      <c r="A448" s="299"/>
      <c r="B448" s="515">
        <v>12.78116629000205</v>
      </c>
      <c r="C448" s="515">
        <v>-0.15754528526929701</v>
      </c>
      <c r="D448" s="515">
        <v>1.4535767006929179</v>
      </c>
      <c r="E448" s="515">
        <v>0.112988575368365</v>
      </c>
      <c r="F448" s="515">
        <v>7.5760533780899003E-2</v>
      </c>
      <c r="G448" s="299"/>
      <c r="H448" s="300">
        <f t="shared" si="56"/>
        <v>0</v>
      </c>
      <c r="I448" s="299"/>
      <c r="J448" s="1"/>
      <c r="K448" s="299"/>
      <c r="L448" s="1"/>
      <c r="M448" s="299"/>
      <c r="N448" s="299"/>
      <c r="O448" s="299"/>
      <c r="P448" s="299"/>
      <c r="Q448" s="298"/>
      <c r="R448" s="300">
        <f t="shared" si="57"/>
        <v>0</v>
      </c>
      <c r="S448" s="300">
        <f t="shared" si="58"/>
        <v>0</v>
      </c>
      <c r="T448" s="300">
        <f t="shared" si="59"/>
        <v>0</v>
      </c>
      <c r="U448" s="300">
        <f t="shared" si="60"/>
        <v>0</v>
      </c>
      <c r="V448" s="300">
        <f t="shared" si="61"/>
        <v>0</v>
      </c>
      <c r="W448" s="300">
        <f t="shared" si="62"/>
        <v>0</v>
      </c>
      <c r="X448" s="300">
        <f t="shared" si="63"/>
        <v>0</v>
      </c>
      <c r="Y448" s="300">
        <f t="shared" si="64"/>
        <v>0</v>
      </c>
      <c r="Z448"/>
      <c r="AA448"/>
      <c r="AB448"/>
    </row>
    <row r="449" spans="1:28" x14ac:dyDescent="0.35">
      <c r="A449" s="299"/>
      <c r="B449" s="515">
        <v>7.8611378384362212</v>
      </c>
      <c r="C449" s="515">
        <v>-6.9024956236396998E-2</v>
      </c>
      <c r="D449" s="515">
        <v>1.5752107848536729</v>
      </c>
      <c r="E449" s="515">
        <v>0.17605693646755599</v>
      </c>
      <c r="F449" s="515">
        <v>5.1847114351278999E-2</v>
      </c>
      <c r="G449" s="299"/>
      <c r="H449" s="300">
        <f t="shared" ref="H449:H512" si="65">SUMPRODUCT(B449:F449,B$61:F$61)</f>
        <v>0</v>
      </c>
      <c r="I449" s="299"/>
      <c r="J449" s="1"/>
      <c r="K449" s="299"/>
      <c r="L449" s="1"/>
      <c r="M449" s="299"/>
      <c r="N449" s="299"/>
      <c r="O449" s="299"/>
      <c r="P449" s="299"/>
      <c r="Q449" s="298"/>
      <c r="R449" s="300">
        <f t="shared" ref="R449:R512" si="66">SUMPRODUCT($B449:$F449,$K$64:$O$64)</f>
        <v>0</v>
      </c>
      <c r="S449" s="300">
        <f t="shared" ref="S449:S512" si="67">SUMPRODUCT($B449:$F449,$K$65:$O$65)</f>
        <v>0</v>
      </c>
      <c r="T449" s="300">
        <f t="shared" ref="T449:T512" si="68">SUMPRODUCT($B449:$F449,$K$66:$O$66)</f>
        <v>0</v>
      </c>
      <c r="U449" s="300">
        <f t="shared" ref="U449:U512" si="69">SUMPRODUCT($B449:$F449,$K$67:$O$67)</f>
        <v>0</v>
      </c>
      <c r="V449" s="300">
        <f t="shared" ref="V449:V512" si="70">SUMPRODUCT($B449:$F449,$K$68:$O$68)</f>
        <v>0</v>
      </c>
      <c r="W449" s="300">
        <f t="shared" ref="W449:W512" si="71">SUMPRODUCT($B449:$F449,$K$69:$O$69)</f>
        <v>0</v>
      </c>
      <c r="X449" s="300">
        <f t="shared" ref="X449:X512" si="72">SUMPRODUCT($B449:$F449,$K$70:$O$70)</f>
        <v>0</v>
      </c>
      <c r="Y449" s="300">
        <f t="shared" ref="Y449:Y512" si="73">SUMPRODUCT($B449:$F449,$K$71:$O$71)</f>
        <v>0</v>
      </c>
      <c r="Z449"/>
      <c r="AA449"/>
      <c r="AB449"/>
    </row>
    <row r="450" spans="1:28" x14ac:dyDescent="0.35">
      <c r="A450" s="299"/>
      <c r="B450" s="515">
        <v>13.466276117413109</v>
      </c>
      <c r="C450" s="515">
        <v>-1.3458074462270251</v>
      </c>
      <c r="D450" s="515">
        <v>2.188055625818035</v>
      </c>
      <c r="E450" s="515">
        <v>8.0572937771300002E-4</v>
      </c>
      <c r="F450" s="515">
        <v>7.4056572161807999E-2</v>
      </c>
      <c r="G450" s="299"/>
      <c r="H450" s="300">
        <f t="shared" si="65"/>
        <v>0</v>
      </c>
      <c r="I450" s="299"/>
      <c r="J450" s="1"/>
      <c r="K450" s="299"/>
      <c r="L450" s="1"/>
      <c r="M450" s="299"/>
      <c r="N450" s="299"/>
      <c r="O450" s="299"/>
      <c r="P450" s="299"/>
      <c r="Q450" s="298"/>
      <c r="R450" s="300">
        <f t="shared" si="66"/>
        <v>0</v>
      </c>
      <c r="S450" s="300">
        <f t="shared" si="67"/>
        <v>0</v>
      </c>
      <c r="T450" s="300">
        <f t="shared" si="68"/>
        <v>0</v>
      </c>
      <c r="U450" s="300">
        <f t="shared" si="69"/>
        <v>0</v>
      </c>
      <c r="V450" s="300">
        <f t="shared" si="70"/>
        <v>0</v>
      </c>
      <c r="W450" s="300">
        <f t="shared" si="71"/>
        <v>0</v>
      </c>
      <c r="X450" s="300">
        <f t="shared" si="72"/>
        <v>0</v>
      </c>
      <c r="Y450" s="300">
        <f t="shared" si="73"/>
        <v>0</v>
      </c>
      <c r="Z450"/>
      <c r="AA450"/>
      <c r="AB450"/>
    </row>
    <row r="451" spans="1:28" x14ac:dyDescent="0.35">
      <c r="A451" s="299"/>
      <c r="B451" s="515">
        <v>10.854397772215989</v>
      </c>
      <c r="C451" s="515">
        <v>0.167990485700516</v>
      </c>
      <c r="D451" s="515">
        <v>1.3453741221366511</v>
      </c>
      <c r="E451" s="515">
        <v>5.9251130240999997E-5</v>
      </c>
      <c r="F451" s="515">
        <v>7.6098110145260994E-2</v>
      </c>
      <c r="G451" s="299"/>
      <c r="H451" s="300">
        <f t="shared" si="65"/>
        <v>0</v>
      </c>
      <c r="I451" s="299"/>
      <c r="J451" s="1"/>
      <c r="K451" s="299"/>
      <c r="L451" s="1"/>
      <c r="M451" s="299"/>
      <c r="N451" s="299"/>
      <c r="O451" s="299"/>
      <c r="P451" s="299"/>
      <c r="Q451" s="298"/>
      <c r="R451" s="300">
        <f t="shared" si="66"/>
        <v>0</v>
      </c>
      <c r="S451" s="300">
        <f t="shared" si="67"/>
        <v>0</v>
      </c>
      <c r="T451" s="300">
        <f t="shared" si="68"/>
        <v>0</v>
      </c>
      <c r="U451" s="300">
        <f t="shared" si="69"/>
        <v>0</v>
      </c>
      <c r="V451" s="300">
        <f t="shared" si="70"/>
        <v>0</v>
      </c>
      <c r="W451" s="300">
        <f t="shared" si="71"/>
        <v>0</v>
      </c>
      <c r="X451" s="300">
        <f t="shared" si="72"/>
        <v>0</v>
      </c>
      <c r="Y451" s="300">
        <f t="shared" si="73"/>
        <v>0</v>
      </c>
      <c r="Z451"/>
      <c r="AA451"/>
      <c r="AB451"/>
    </row>
    <row r="452" spans="1:28" x14ac:dyDescent="0.35">
      <c r="A452" s="299"/>
      <c r="B452" s="515">
        <v>3.9793031973079998E-3</v>
      </c>
      <c r="C452" s="515">
        <v>2.4262372412257E-2</v>
      </c>
      <c r="D452" s="515">
        <v>1.7825330401901269</v>
      </c>
      <c r="E452" s="515">
        <v>0.16458149274718201</v>
      </c>
      <c r="F452" s="515">
        <v>1.8388850953296999E-2</v>
      </c>
      <c r="G452" s="299"/>
      <c r="H452" s="300">
        <f t="shared" si="65"/>
        <v>0</v>
      </c>
      <c r="I452" s="299"/>
      <c r="J452" s="1"/>
      <c r="K452" s="299"/>
      <c r="L452" s="1"/>
      <c r="M452" s="299"/>
      <c r="N452" s="299"/>
      <c r="O452" s="299"/>
      <c r="P452" s="299"/>
      <c r="Q452" s="298"/>
      <c r="R452" s="300">
        <f t="shared" si="66"/>
        <v>0</v>
      </c>
      <c r="S452" s="300">
        <f t="shared" si="67"/>
        <v>0</v>
      </c>
      <c r="T452" s="300">
        <f t="shared" si="68"/>
        <v>0</v>
      </c>
      <c r="U452" s="300">
        <f t="shared" si="69"/>
        <v>0</v>
      </c>
      <c r="V452" s="300">
        <f t="shared" si="70"/>
        <v>0</v>
      </c>
      <c r="W452" s="300">
        <f t="shared" si="71"/>
        <v>0</v>
      </c>
      <c r="X452" s="300">
        <f t="shared" si="72"/>
        <v>0</v>
      </c>
      <c r="Y452" s="300">
        <f t="shared" si="73"/>
        <v>0</v>
      </c>
      <c r="Z452"/>
      <c r="AA452"/>
      <c r="AB452"/>
    </row>
    <row r="453" spans="1:28" x14ac:dyDescent="0.35">
      <c r="A453" s="299"/>
      <c r="B453" s="515">
        <v>3.5412843069589999E-3</v>
      </c>
      <c r="C453" s="515">
        <v>5.1437163928605999E-2</v>
      </c>
      <c r="D453" s="515">
        <v>6.3970714742180995E-2</v>
      </c>
      <c r="E453" s="515">
        <v>0.10597575871291399</v>
      </c>
      <c r="F453" s="515">
        <v>5.3688449694692997E-2</v>
      </c>
      <c r="G453" s="299"/>
      <c r="H453" s="300">
        <f t="shared" si="65"/>
        <v>0</v>
      </c>
      <c r="I453" s="299"/>
      <c r="J453" s="1"/>
      <c r="K453" s="299"/>
      <c r="L453" s="1"/>
      <c r="M453" s="299"/>
      <c r="N453" s="299"/>
      <c r="O453" s="299"/>
      <c r="P453" s="299"/>
      <c r="Q453" s="298"/>
      <c r="R453" s="300">
        <f t="shared" si="66"/>
        <v>0</v>
      </c>
      <c r="S453" s="300">
        <f t="shared" si="67"/>
        <v>0</v>
      </c>
      <c r="T453" s="300">
        <f t="shared" si="68"/>
        <v>0</v>
      </c>
      <c r="U453" s="300">
        <f t="shared" si="69"/>
        <v>0</v>
      </c>
      <c r="V453" s="300">
        <f t="shared" si="70"/>
        <v>0</v>
      </c>
      <c r="W453" s="300">
        <f t="shared" si="71"/>
        <v>0</v>
      </c>
      <c r="X453" s="300">
        <f t="shared" si="72"/>
        <v>0</v>
      </c>
      <c r="Y453" s="300">
        <f t="shared" si="73"/>
        <v>0</v>
      </c>
      <c r="Z453"/>
      <c r="AA453"/>
      <c r="AB453"/>
    </row>
    <row r="454" spans="1:28" x14ac:dyDescent="0.35">
      <c r="A454" s="299"/>
      <c r="B454" s="515">
        <v>1.4993908892435539</v>
      </c>
      <c r="C454" s="515">
        <v>5.0911571318370999E-2</v>
      </c>
      <c r="D454" s="515">
        <v>1.9007512122551939</v>
      </c>
      <c r="E454" s="515">
        <v>0.254804082740266</v>
      </c>
      <c r="F454" s="515">
        <v>2.0152540103529999E-3</v>
      </c>
      <c r="G454" s="299"/>
      <c r="H454" s="300">
        <f t="shared" si="65"/>
        <v>0</v>
      </c>
      <c r="I454" s="299"/>
      <c r="J454" s="1"/>
      <c r="K454" s="299"/>
      <c r="L454" s="1"/>
      <c r="M454" s="299"/>
      <c r="N454" s="299"/>
      <c r="O454" s="299"/>
      <c r="P454" s="299"/>
      <c r="Q454" s="298"/>
      <c r="R454" s="300">
        <f t="shared" si="66"/>
        <v>0</v>
      </c>
      <c r="S454" s="300">
        <f t="shared" si="67"/>
        <v>0</v>
      </c>
      <c r="T454" s="300">
        <f t="shared" si="68"/>
        <v>0</v>
      </c>
      <c r="U454" s="300">
        <f t="shared" si="69"/>
        <v>0</v>
      </c>
      <c r="V454" s="300">
        <f t="shared" si="70"/>
        <v>0</v>
      </c>
      <c r="W454" s="300">
        <f t="shared" si="71"/>
        <v>0</v>
      </c>
      <c r="X454" s="300">
        <f t="shared" si="72"/>
        <v>0</v>
      </c>
      <c r="Y454" s="300">
        <f t="shared" si="73"/>
        <v>0</v>
      </c>
      <c r="Z454"/>
      <c r="AA454"/>
      <c r="AB454"/>
    </row>
    <row r="455" spans="1:28" x14ac:dyDescent="0.35">
      <c r="A455" s="299"/>
      <c r="B455" s="515">
        <v>1.250338834206E-3</v>
      </c>
      <c r="C455" s="515">
        <v>-9.2577182884950003E-3</v>
      </c>
      <c r="D455" s="515">
        <v>7.0031802855300002E-3</v>
      </c>
      <c r="E455" s="515">
        <v>3.5947859400000002E-7</v>
      </c>
      <c r="F455" s="515">
        <v>6.9128469282065994E-2</v>
      </c>
      <c r="G455" s="299"/>
      <c r="H455" s="300">
        <f t="shared" si="65"/>
        <v>0</v>
      </c>
      <c r="I455" s="299"/>
      <c r="J455" s="1"/>
      <c r="K455" s="299"/>
      <c r="L455" s="1"/>
      <c r="M455" s="299"/>
      <c r="N455" s="299"/>
      <c r="O455" s="299"/>
      <c r="P455" s="299"/>
      <c r="Q455" s="298"/>
      <c r="R455" s="300">
        <f t="shared" si="66"/>
        <v>0</v>
      </c>
      <c r="S455" s="300">
        <f t="shared" si="67"/>
        <v>0</v>
      </c>
      <c r="T455" s="300">
        <f t="shared" si="68"/>
        <v>0</v>
      </c>
      <c r="U455" s="300">
        <f t="shared" si="69"/>
        <v>0</v>
      </c>
      <c r="V455" s="300">
        <f t="shared" si="70"/>
        <v>0</v>
      </c>
      <c r="W455" s="300">
        <f t="shared" si="71"/>
        <v>0</v>
      </c>
      <c r="X455" s="300">
        <f t="shared" si="72"/>
        <v>0</v>
      </c>
      <c r="Y455" s="300">
        <f t="shared" si="73"/>
        <v>0</v>
      </c>
      <c r="Z455"/>
      <c r="AA455"/>
      <c r="AB455"/>
    </row>
    <row r="456" spans="1:28" x14ac:dyDescent="0.35">
      <c r="A456" s="299"/>
      <c r="B456" s="515">
        <v>6.0753812913000002E-5</v>
      </c>
      <c r="C456" s="515">
        <v>2.7927606700595999E-2</v>
      </c>
      <c r="D456" s="515">
        <v>1.9818761021825499</v>
      </c>
      <c r="E456" s="515">
        <v>0.22441425172830501</v>
      </c>
      <c r="F456" s="515">
        <v>5.161465743883E-3</v>
      </c>
      <c r="G456" s="299"/>
      <c r="H456" s="300">
        <f t="shared" si="65"/>
        <v>0</v>
      </c>
      <c r="I456" s="299"/>
      <c r="J456" s="1"/>
      <c r="K456" s="299"/>
      <c r="L456" s="1"/>
      <c r="M456" s="299"/>
      <c r="N456" s="299"/>
      <c r="O456" s="299"/>
      <c r="P456" s="299"/>
      <c r="Q456" s="298"/>
      <c r="R456" s="300">
        <f t="shared" si="66"/>
        <v>0</v>
      </c>
      <c r="S456" s="300">
        <f t="shared" si="67"/>
        <v>0</v>
      </c>
      <c r="T456" s="300">
        <f t="shared" si="68"/>
        <v>0</v>
      </c>
      <c r="U456" s="300">
        <f t="shared" si="69"/>
        <v>0</v>
      </c>
      <c r="V456" s="300">
        <f t="shared" si="70"/>
        <v>0</v>
      </c>
      <c r="W456" s="300">
        <f t="shared" si="71"/>
        <v>0</v>
      </c>
      <c r="X456" s="300">
        <f t="shared" si="72"/>
        <v>0</v>
      </c>
      <c r="Y456" s="300">
        <f t="shared" si="73"/>
        <v>0</v>
      </c>
      <c r="Z456"/>
      <c r="AA456"/>
      <c r="AB456"/>
    </row>
    <row r="457" spans="1:28" x14ac:dyDescent="0.35">
      <c r="A457" s="299"/>
      <c r="B457" s="515">
        <v>8.6436854719999997E-6</v>
      </c>
      <c r="C457" s="515">
        <v>-3.2949897475256771</v>
      </c>
      <c r="D457" s="515">
        <v>2.71168822756781</v>
      </c>
      <c r="E457" s="515">
        <v>7.6305171638601996E-2</v>
      </c>
      <c r="F457" s="515">
        <v>4.1495069345072001E-2</v>
      </c>
      <c r="G457" s="299"/>
      <c r="H457" s="300">
        <f t="shared" si="65"/>
        <v>0</v>
      </c>
      <c r="I457" s="299"/>
      <c r="J457" s="1"/>
      <c r="K457" s="299"/>
      <c r="L457" s="1"/>
      <c r="M457" s="299"/>
      <c r="N457" s="299"/>
      <c r="O457" s="299"/>
      <c r="P457" s="299"/>
      <c r="Q457" s="298"/>
      <c r="R457" s="300">
        <f t="shared" si="66"/>
        <v>0</v>
      </c>
      <c r="S457" s="300">
        <f t="shared" si="67"/>
        <v>0</v>
      </c>
      <c r="T457" s="300">
        <f t="shared" si="68"/>
        <v>0</v>
      </c>
      <c r="U457" s="300">
        <f t="shared" si="69"/>
        <v>0</v>
      </c>
      <c r="V457" s="300">
        <f t="shared" si="70"/>
        <v>0</v>
      </c>
      <c r="W457" s="300">
        <f t="shared" si="71"/>
        <v>0</v>
      </c>
      <c r="X457" s="300">
        <f t="shared" si="72"/>
        <v>0</v>
      </c>
      <c r="Y457" s="300">
        <f t="shared" si="73"/>
        <v>0</v>
      </c>
      <c r="Z457"/>
      <c r="AA457"/>
      <c r="AB457"/>
    </row>
    <row r="458" spans="1:28" x14ac:dyDescent="0.35">
      <c r="A458" s="299"/>
      <c r="B458" s="515">
        <v>4.4538915669726196</v>
      </c>
      <c r="C458" s="515">
        <v>9.5923375322731E-2</v>
      </c>
      <c r="D458" s="515">
        <v>1.3868446726162571</v>
      </c>
      <c r="E458" s="515">
        <v>1.1806811E-8</v>
      </c>
      <c r="F458" s="515">
        <v>6.2342298720184999E-2</v>
      </c>
      <c r="G458" s="299"/>
      <c r="H458" s="300">
        <f t="shared" si="65"/>
        <v>0</v>
      </c>
      <c r="I458" s="299"/>
      <c r="J458" s="1"/>
      <c r="K458" s="299"/>
      <c r="L458" s="1"/>
      <c r="M458" s="299"/>
      <c r="N458" s="299"/>
      <c r="O458" s="299"/>
      <c r="P458" s="299"/>
      <c r="Q458" s="298"/>
      <c r="R458" s="300">
        <f t="shared" si="66"/>
        <v>0</v>
      </c>
      <c r="S458" s="300">
        <f t="shared" si="67"/>
        <v>0</v>
      </c>
      <c r="T458" s="300">
        <f t="shared" si="68"/>
        <v>0</v>
      </c>
      <c r="U458" s="300">
        <f t="shared" si="69"/>
        <v>0</v>
      </c>
      <c r="V458" s="300">
        <f t="shared" si="70"/>
        <v>0</v>
      </c>
      <c r="W458" s="300">
        <f t="shared" si="71"/>
        <v>0</v>
      </c>
      <c r="X458" s="300">
        <f t="shared" si="72"/>
        <v>0</v>
      </c>
      <c r="Y458" s="300">
        <f t="shared" si="73"/>
        <v>0</v>
      </c>
      <c r="Z458"/>
      <c r="AA458"/>
      <c r="AB458"/>
    </row>
    <row r="459" spans="1:28" x14ac:dyDescent="0.35">
      <c r="A459" s="299"/>
      <c r="B459" s="515">
        <v>9.9703135780995975</v>
      </c>
      <c r="C459" s="515">
        <v>0.153302930799289</v>
      </c>
      <c r="D459" s="515">
        <v>1.1146547676866601</v>
      </c>
      <c r="E459" s="515">
        <v>4.6926656831418001E-2</v>
      </c>
      <c r="F459" s="515">
        <v>7.5106742625306006E-2</v>
      </c>
      <c r="G459" s="299"/>
      <c r="H459" s="300">
        <f t="shared" si="65"/>
        <v>0</v>
      </c>
      <c r="I459" s="299"/>
      <c r="J459" s="1"/>
      <c r="K459" s="299"/>
      <c r="L459" s="1"/>
      <c r="M459" s="299"/>
      <c r="N459" s="299"/>
      <c r="O459" s="299"/>
      <c r="P459" s="299"/>
      <c r="Q459" s="298"/>
      <c r="R459" s="300">
        <f t="shared" si="66"/>
        <v>0</v>
      </c>
      <c r="S459" s="300">
        <f t="shared" si="67"/>
        <v>0</v>
      </c>
      <c r="T459" s="300">
        <f t="shared" si="68"/>
        <v>0</v>
      </c>
      <c r="U459" s="300">
        <f t="shared" si="69"/>
        <v>0</v>
      </c>
      <c r="V459" s="300">
        <f t="shared" si="70"/>
        <v>0</v>
      </c>
      <c r="W459" s="300">
        <f t="shared" si="71"/>
        <v>0</v>
      </c>
      <c r="X459" s="300">
        <f t="shared" si="72"/>
        <v>0</v>
      </c>
      <c r="Y459" s="300">
        <f t="shared" si="73"/>
        <v>0</v>
      </c>
      <c r="Z459"/>
      <c r="AA459"/>
      <c r="AB459"/>
    </row>
    <row r="460" spans="1:28" x14ac:dyDescent="0.35">
      <c r="A460" s="299"/>
      <c r="B460" s="515">
        <v>6.593019122150638</v>
      </c>
      <c r="C460" s="515">
        <v>-0.254771930618995</v>
      </c>
      <c r="D460" s="515">
        <v>0.348833016532415</v>
      </c>
      <c r="E460" s="515">
        <v>2.9687075963700003E-4</v>
      </c>
      <c r="F460" s="515">
        <v>7.8701412423790001E-2</v>
      </c>
      <c r="G460" s="299"/>
      <c r="H460" s="300">
        <f t="shared" si="65"/>
        <v>0</v>
      </c>
      <c r="I460" s="299"/>
      <c r="J460" s="1"/>
      <c r="K460" s="299"/>
      <c r="L460" s="1"/>
      <c r="M460" s="299"/>
      <c r="N460" s="299"/>
      <c r="O460" s="299"/>
      <c r="P460" s="299"/>
      <c r="Q460" s="298"/>
      <c r="R460" s="300">
        <f t="shared" si="66"/>
        <v>0</v>
      </c>
      <c r="S460" s="300">
        <f t="shared" si="67"/>
        <v>0</v>
      </c>
      <c r="T460" s="300">
        <f t="shared" si="68"/>
        <v>0</v>
      </c>
      <c r="U460" s="300">
        <f t="shared" si="69"/>
        <v>0</v>
      </c>
      <c r="V460" s="300">
        <f t="shared" si="70"/>
        <v>0</v>
      </c>
      <c r="W460" s="300">
        <f t="shared" si="71"/>
        <v>0</v>
      </c>
      <c r="X460" s="300">
        <f t="shared" si="72"/>
        <v>0</v>
      </c>
      <c r="Y460" s="300">
        <f t="shared" si="73"/>
        <v>0</v>
      </c>
      <c r="Z460"/>
      <c r="AA460"/>
      <c r="AB460"/>
    </row>
    <row r="461" spans="1:28" x14ac:dyDescent="0.35">
      <c r="A461" s="299"/>
      <c r="B461" s="515">
        <v>1.3488343053186001E-2</v>
      </c>
      <c r="C461" s="515">
        <v>-0.18480497338514901</v>
      </c>
      <c r="D461" s="515">
        <v>2.7161745065210519</v>
      </c>
      <c r="E461" s="515">
        <v>3.6802492510049002E-2</v>
      </c>
      <c r="F461" s="515">
        <v>2.1463733114485E-2</v>
      </c>
      <c r="G461" s="299"/>
      <c r="H461" s="300">
        <f t="shared" si="65"/>
        <v>0</v>
      </c>
      <c r="I461" s="299"/>
      <c r="J461" s="1"/>
      <c r="K461" s="299"/>
      <c r="L461" s="1"/>
      <c r="M461" s="299"/>
      <c r="N461" s="299"/>
      <c r="O461" s="299"/>
      <c r="P461" s="299"/>
      <c r="Q461" s="298"/>
      <c r="R461" s="300">
        <f t="shared" si="66"/>
        <v>0</v>
      </c>
      <c r="S461" s="300">
        <f t="shared" si="67"/>
        <v>0</v>
      </c>
      <c r="T461" s="300">
        <f t="shared" si="68"/>
        <v>0</v>
      </c>
      <c r="U461" s="300">
        <f t="shared" si="69"/>
        <v>0</v>
      </c>
      <c r="V461" s="300">
        <f t="shared" si="70"/>
        <v>0</v>
      </c>
      <c r="W461" s="300">
        <f t="shared" si="71"/>
        <v>0</v>
      </c>
      <c r="X461" s="300">
        <f t="shared" si="72"/>
        <v>0</v>
      </c>
      <c r="Y461" s="300">
        <f t="shared" si="73"/>
        <v>0</v>
      </c>
      <c r="Z461"/>
      <c r="AA461"/>
      <c r="AB461"/>
    </row>
    <row r="462" spans="1:28" x14ac:dyDescent="0.35">
      <c r="A462" s="299"/>
      <c r="B462" s="515">
        <v>6.7895753690000001E-6</v>
      </c>
      <c r="C462" s="515">
        <v>6.3600757590697998E-2</v>
      </c>
      <c r="D462" s="515">
        <v>7.0005985593950002E-3</v>
      </c>
      <c r="E462" s="515">
        <v>7.0161488002198E-2</v>
      </c>
      <c r="F462" s="515">
        <v>5.9981959121108999E-2</v>
      </c>
      <c r="G462" s="299"/>
      <c r="H462" s="300">
        <f t="shared" si="65"/>
        <v>0</v>
      </c>
      <c r="I462" s="299"/>
      <c r="J462" s="1"/>
      <c r="K462" s="299"/>
      <c r="L462" s="1"/>
      <c r="M462" s="299"/>
      <c r="N462" s="299"/>
      <c r="O462" s="299"/>
      <c r="P462" s="299"/>
      <c r="Q462" s="298"/>
      <c r="R462" s="300">
        <f t="shared" si="66"/>
        <v>0</v>
      </c>
      <c r="S462" s="300">
        <f t="shared" si="67"/>
        <v>0</v>
      </c>
      <c r="T462" s="300">
        <f t="shared" si="68"/>
        <v>0</v>
      </c>
      <c r="U462" s="300">
        <f t="shared" si="69"/>
        <v>0</v>
      </c>
      <c r="V462" s="300">
        <f t="shared" si="70"/>
        <v>0</v>
      </c>
      <c r="W462" s="300">
        <f t="shared" si="71"/>
        <v>0</v>
      </c>
      <c r="X462" s="300">
        <f t="shared" si="72"/>
        <v>0</v>
      </c>
      <c r="Y462" s="300">
        <f t="shared" si="73"/>
        <v>0</v>
      </c>
      <c r="Z462"/>
      <c r="AA462"/>
      <c r="AB462"/>
    </row>
    <row r="463" spans="1:28" x14ac:dyDescent="0.35">
      <c r="A463" s="299"/>
      <c r="B463" s="515">
        <v>9.2116209153812836</v>
      </c>
      <c r="C463" s="515">
        <v>-1.6177654763056091</v>
      </c>
      <c r="D463" s="515">
        <v>3.6504623076909999E-2</v>
      </c>
      <c r="E463" s="515">
        <v>0.24566266737402501</v>
      </c>
      <c r="F463" s="515">
        <v>8.0667086039656E-2</v>
      </c>
      <c r="G463" s="299"/>
      <c r="H463" s="300">
        <f t="shared" si="65"/>
        <v>0</v>
      </c>
      <c r="I463" s="299"/>
      <c r="J463" s="1"/>
      <c r="K463" s="299"/>
      <c r="L463" s="1"/>
      <c r="M463" s="299"/>
      <c r="N463" s="299"/>
      <c r="O463" s="299"/>
      <c r="P463" s="299"/>
      <c r="Q463" s="298"/>
      <c r="R463" s="300">
        <f t="shared" si="66"/>
        <v>0</v>
      </c>
      <c r="S463" s="300">
        <f t="shared" si="67"/>
        <v>0</v>
      </c>
      <c r="T463" s="300">
        <f t="shared" si="68"/>
        <v>0</v>
      </c>
      <c r="U463" s="300">
        <f t="shared" si="69"/>
        <v>0</v>
      </c>
      <c r="V463" s="300">
        <f t="shared" si="70"/>
        <v>0</v>
      </c>
      <c r="W463" s="300">
        <f t="shared" si="71"/>
        <v>0</v>
      </c>
      <c r="X463" s="300">
        <f t="shared" si="72"/>
        <v>0</v>
      </c>
      <c r="Y463" s="300">
        <f t="shared" si="73"/>
        <v>0</v>
      </c>
      <c r="Z463"/>
      <c r="AA463"/>
      <c r="AB463"/>
    </row>
    <row r="464" spans="1:28" x14ac:dyDescent="0.35">
      <c r="A464" s="299"/>
      <c r="B464" s="515">
        <v>7.5672207857557279</v>
      </c>
      <c r="C464" s="515">
        <v>-8.5338788438893004E-2</v>
      </c>
      <c r="D464" s="515">
        <v>3.3171932733433169</v>
      </c>
      <c r="E464" s="515">
        <v>0.21693301645232499</v>
      </c>
      <c r="F464" s="515">
        <v>2.2781310470819998E-3</v>
      </c>
      <c r="G464" s="299"/>
      <c r="H464" s="300">
        <f t="shared" si="65"/>
        <v>0</v>
      </c>
      <c r="I464" s="299"/>
      <c r="J464" s="1"/>
      <c r="K464" s="299"/>
      <c r="L464" s="1"/>
      <c r="M464" s="299"/>
      <c r="N464" s="299"/>
      <c r="O464" s="299"/>
      <c r="P464" s="299"/>
      <c r="Q464" s="298"/>
      <c r="R464" s="300">
        <f t="shared" si="66"/>
        <v>0</v>
      </c>
      <c r="S464" s="300">
        <f t="shared" si="67"/>
        <v>0</v>
      </c>
      <c r="T464" s="300">
        <f t="shared" si="68"/>
        <v>0</v>
      </c>
      <c r="U464" s="300">
        <f t="shared" si="69"/>
        <v>0</v>
      </c>
      <c r="V464" s="300">
        <f t="shared" si="70"/>
        <v>0</v>
      </c>
      <c r="W464" s="300">
        <f t="shared" si="71"/>
        <v>0</v>
      </c>
      <c r="X464" s="300">
        <f t="shared" si="72"/>
        <v>0</v>
      </c>
      <c r="Y464" s="300">
        <f t="shared" si="73"/>
        <v>0</v>
      </c>
      <c r="Z464"/>
      <c r="AA464"/>
      <c r="AB464"/>
    </row>
    <row r="465" spans="1:28" x14ac:dyDescent="0.35">
      <c r="A465" s="299"/>
      <c r="B465" s="515">
        <v>4.0803740088000002E-4</v>
      </c>
      <c r="C465" s="515">
        <v>4.1253335533319002E-2</v>
      </c>
      <c r="D465" s="515">
        <v>7.0012678274110002E-3</v>
      </c>
      <c r="E465" s="515">
        <v>0.105450123865165</v>
      </c>
      <c r="F465" s="515">
        <v>5.4875370063333997E-2</v>
      </c>
      <c r="G465" s="299"/>
      <c r="H465" s="300">
        <f t="shared" si="65"/>
        <v>0</v>
      </c>
      <c r="I465" s="299"/>
      <c r="J465" s="1"/>
      <c r="K465" s="299"/>
      <c r="L465" s="1"/>
      <c r="M465" s="299"/>
      <c r="N465" s="299"/>
      <c r="O465" s="299"/>
      <c r="P465" s="299"/>
      <c r="Q465" s="298"/>
      <c r="R465" s="300">
        <f t="shared" si="66"/>
        <v>0</v>
      </c>
      <c r="S465" s="300">
        <f t="shared" si="67"/>
        <v>0</v>
      </c>
      <c r="T465" s="300">
        <f t="shared" si="68"/>
        <v>0</v>
      </c>
      <c r="U465" s="300">
        <f t="shared" si="69"/>
        <v>0</v>
      </c>
      <c r="V465" s="300">
        <f t="shared" si="70"/>
        <v>0</v>
      </c>
      <c r="W465" s="300">
        <f t="shared" si="71"/>
        <v>0</v>
      </c>
      <c r="X465" s="300">
        <f t="shared" si="72"/>
        <v>0</v>
      </c>
      <c r="Y465" s="300">
        <f t="shared" si="73"/>
        <v>0</v>
      </c>
      <c r="Z465"/>
      <c r="AA465"/>
      <c r="AB465"/>
    </row>
    <row r="466" spans="1:28" x14ac:dyDescent="0.35">
      <c r="A466" s="299"/>
      <c r="B466" s="515">
        <v>4.650930310742E-3</v>
      </c>
      <c r="C466" s="515">
        <v>8.4971247001454003E-2</v>
      </c>
      <c r="D466" s="515">
        <v>1.478505738210653</v>
      </c>
      <c r="E466" s="515">
        <v>0.22073294949785599</v>
      </c>
      <c r="F466" s="515">
        <v>6.221708830134E-3</v>
      </c>
      <c r="G466" s="299"/>
      <c r="H466" s="300">
        <f t="shared" si="65"/>
        <v>0</v>
      </c>
      <c r="I466" s="299"/>
      <c r="J466" s="1"/>
      <c r="K466" s="299"/>
      <c r="L466" s="1"/>
      <c r="M466" s="299"/>
      <c r="N466" s="299"/>
      <c r="O466" s="299"/>
      <c r="P466" s="299"/>
      <c r="Q466" s="298"/>
      <c r="R466" s="300">
        <f t="shared" si="66"/>
        <v>0</v>
      </c>
      <c r="S466" s="300">
        <f t="shared" si="67"/>
        <v>0</v>
      </c>
      <c r="T466" s="300">
        <f t="shared" si="68"/>
        <v>0</v>
      </c>
      <c r="U466" s="300">
        <f t="shared" si="69"/>
        <v>0</v>
      </c>
      <c r="V466" s="300">
        <f t="shared" si="70"/>
        <v>0</v>
      </c>
      <c r="W466" s="300">
        <f t="shared" si="71"/>
        <v>0</v>
      </c>
      <c r="X466" s="300">
        <f t="shared" si="72"/>
        <v>0</v>
      </c>
      <c r="Y466" s="300">
        <f t="shared" si="73"/>
        <v>0</v>
      </c>
      <c r="Z466"/>
      <c r="AA466"/>
      <c r="AB466"/>
    </row>
    <row r="467" spans="1:28" x14ac:dyDescent="0.35">
      <c r="A467" s="299"/>
      <c r="B467" s="515">
        <v>1.826938914E-6</v>
      </c>
      <c r="C467" s="515">
        <v>2.7928216438158002E-2</v>
      </c>
      <c r="D467" s="515">
        <v>1.981883519593908</v>
      </c>
      <c r="E467" s="515">
        <v>0.22441256884845401</v>
      </c>
      <c r="F467" s="515">
        <v>5.1613824326010001E-3</v>
      </c>
      <c r="G467" s="299"/>
      <c r="H467" s="300">
        <f t="shared" si="65"/>
        <v>0</v>
      </c>
      <c r="I467" s="299"/>
      <c r="J467" s="1"/>
      <c r="K467" s="299"/>
      <c r="L467" s="1"/>
      <c r="M467" s="299"/>
      <c r="N467" s="299"/>
      <c r="O467" s="299"/>
      <c r="P467" s="299"/>
      <c r="Q467" s="298"/>
      <c r="R467" s="300">
        <f t="shared" si="66"/>
        <v>0</v>
      </c>
      <c r="S467" s="300">
        <f t="shared" si="67"/>
        <v>0</v>
      </c>
      <c r="T467" s="300">
        <f t="shared" si="68"/>
        <v>0</v>
      </c>
      <c r="U467" s="300">
        <f t="shared" si="69"/>
        <v>0</v>
      </c>
      <c r="V467" s="300">
        <f t="shared" si="70"/>
        <v>0</v>
      </c>
      <c r="W467" s="300">
        <f t="shared" si="71"/>
        <v>0</v>
      </c>
      <c r="X467" s="300">
        <f t="shared" si="72"/>
        <v>0</v>
      </c>
      <c r="Y467" s="300">
        <f t="shared" si="73"/>
        <v>0</v>
      </c>
      <c r="Z467"/>
      <c r="AA467"/>
      <c r="AB467"/>
    </row>
    <row r="468" spans="1:28" x14ac:dyDescent="0.35">
      <c r="A468" s="299"/>
      <c r="B468" s="515">
        <v>10.15743219332178</v>
      </c>
      <c r="C468" s="515">
        <v>-2.2425452314024619</v>
      </c>
      <c r="D468" s="515">
        <v>1.0853077820978669</v>
      </c>
      <c r="E468" s="515">
        <v>0.27099265544556</v>
      </c>
      <c r="F468" s="515">
        <v>7.3630858976953997E-2</v>
      </c>
      <c r="G468" s="299"/>
      <c r="H468" s="300">
        <f t="shared" si="65"/>
        <v>0</v>
      </c>
      <c r="I468" s="299"/>
      <c r="J468" s="1"/>
      <c r="K468" s="299"/>
      <c r="L468" s="1"/>
      <c r="M468" s="299"/>
      <c r="N468" s="299"/>
      <c r="O468" s="299"/>
      <c r="P468" s="299"/>
      <c r="Q468" s="298"/>
      <c r="R468" s="300">
        <f t="shared" si="66"/>
        <v>0</v>
      </c>
      <c r="S468" s="300">
        <f t="shared" si="67"/>
        <v>0</v>
      </c>
      <c r="T468" s="300">
        <f t="shared" si="68"/>
        <v>0</v>
      </c>
      <c r="U468" s="300">
        <f t="shared" si="69"/>
        <v>0</v>
      </c>
      <c r="V468" s="300">
        <f t="shared" si="70"/>
        <v>0</v>
      </c>
      <c r="W468" s="300">
        <f t="shared" si="71"/>
        <v>0</v>
      </c>
      <c r="X468" s="300">
        <f t="shared" si="72"/>
        <v>0</v>
      </c>
      <c r="Y468" s="300">
        <f t="shared" si="73"/>
        <v>0</v>
      </c>
      <c r="Z468"/>
      <c r="AA468"/>
      <c r="AB468"/>
    </row>
    <row r="469" spans="1:28" x14ac:dyDescent="0.35">
      <c r="A469" s="299"/>
      <c r="B469" s="515">
        <v>7.5441350814927741</v>
      </c>
      <c r="C469" s="515">
        <v>0.104092121996311</v>
      </c>
      <c r="D469" s="515">
        <v>1.390322069801313</v>
      </c>
      <c r="E469" s="515">
        <v>0.131657578988051</v>
      </c>
      <c r="F469" s="515">
        <v>5.6025362157061998E-2</v>
      </c>
      <c r="G469" s="299"/>
      <c r="H469" s="300">
        <f t="shared" si="65"/>
        <v>0</v>
      </c>
      <c r="I469" s="299"/>
      <c r="J469" s="1"/>
      <c r="K469" s="299"/>
      <c r="L469" s="1"/>
      <c r="M469" s="299"/>
      <c r="N469" s="299"/>
      <c r="O469" s="299"/>
      <c r="P469" s="299"/>
      <c r="Q469" s="298"/>
      <c r="R469" s="300">
        <f t="shared" si="66"/>
        <v>0</v>
      </c>
      <c r="S469" s="300">
        <f t="shared" si="67"/>
        <v>0</v>
      </c>
      <c r="T469" s="300">
        <f t="shared" si="68"/>
        <v>0</v>
      </c>
      <c r="U469" s="300">
        <f t="shared" si="69"/>
        <v>0</v>
      </c>
      <c r="V469" s="300">
        <f t="shared" si="70"/>
        <v>0</v>
      </c>
      <c r="W469" s="300">
        <f t="shared" si="71"/>
        <v>0</v>
      </c>
      <c r="X469" s="300">
        <f t="shared" si="72"/>
        <v>0</v>
      </c>
      <c r="Y469" s="300">
        <f t="shared" si="73"/>
        <v>0</v>
      </c>
      <c r="Z469"/>
      <c r="AA469"/>
      <c r="AB469"/>
    </row>
    <row r="470" spans="1:28" x14ac:dyDescent="0.35">
      <c r="A470" s="299"/>
      <c r="B470" s="515">
        <v>10.861786811744579</v>
      </c>
      <c r="C470" s="515">
        <v>0.16799784856733799</v>
      </c>
      <c r="D470" s="515">
        <v>1.3459243761647439</v>
      </c>
      <c r="E470" s="515">
        <v>5.0036474090000002E-6</v>
      </c>
      <c r="F470" s="515">
        <v>7.6105035633106E-2</v>
      </c>
      <c r="G470" s="299"/>
      <c r="H470" s="300">
        <f t="shared" si="65"/>
        <v>0</v>
      </c>
      <c r="I470" s="299"/>
      <c r="J470" s="1"/>
      <c r="K470" s="299"/>
      <c r="L470" s="1"/>
      <c r="M470" s="299"/>
      <c r="N470" s="299"/>
      <c r="O470" s="299"/>
      <c r="P470" s="299"/>
      <c r="Q470" s="298"/>
      <c r="R470" s="300">
        <f t="shared" si="66"/>
        <v>0</v>
      </c>
      <c r="S470" s="300">
        <f t="shared" si="67"/>
        <v>0</v>
      </c>
      <c r="T470" s="300">
        <f t="shared" si="68"/>
        <v>0</v>
      </c>
      <c r="U470" s="300">
        <f t="shared" si="69"/>
        <v>0</v>
      </c>
      <c r="V470" s="300">
        <f t="shared" si="70"/>
        <v>0</v>
      </c>
      <c r="W470" s="300">
        <f t="shared" si="71"/>
        <v>0</v>
      </c>
      <c r="X470" s="300">
        <f t="shared" si="72"/>
        <v>0</v>
      </c>
      <c r="Y470" s="300">
        <f t="shared" si="73"/>
        <v>0</v>
      </c>
      <c r="Z470"/>
      <c r="AA470"/>
      <c r="AB470"/>
    </row>
    <row r="471" spans="1:28" x14ac:dyDescent="0.35">
      <c r="A471" s="299"/>
      <c r="B471" s="515">
        <v>1.185806644829722</v>
      </c>
      <c r="C471" s="515">
        <v>6.7843769623566003E-2</v>
      </c>
      <c r="D471" s="515">
        <v>7.0090990243719996E-3</v>
      </c>
      <c r="E471" s="515">
        <v>0.105648788898832</v>
      </c>
      <c r="F471" s="515">
        <v>5.9031979163444999E-2</v>
      </c>
      <c r="G471" s="299"/>
      <c r="H471" s="300">
        <f t="shared" si="65"/>
        <v>0</v>
      </c>
      <c r="I471" s="299"/>
      <c r="J471" s="1"/>
      <c r="K471" s="299"/>
      <c r="L471" s="1"/>
      <c r="M471" s="299"/>
      <c r="N471" s="299"/>
      <c r="O471" s="299"/>
      <c r="P471" s="299"/>
      <c r="Q471" s="298"/>
      <c r="R471" s="300">
        <f t="shared" si="66"/>
        <v>0</v>
      </c>
      <c r="S471" s="300">
        <f t="shared" si="67"/>
        <v>0</v>
      </c>
      <c r="T471" s="300">
        <f t="shared" si="68"/>
        <v>0</v>
      </c>
      <c r="U471" s="300">
        <f t="shared" si="69"/>
        <v>0</v>
      </c>
      <c r="V471" s="300">
        <f t="shared" si="70"/>
        <v>0</v>
      </c>
      <c r="W471" s="300">
        <f t="shared" si="71"/>
        <v>0</v>
      </c>
      <c r="X471" s="300">
        <f t="shared" si="72"/>
        <v>0</v>
      </c>
      <c r="Y471" s="300">
        <f t="shared" si="73"/>
        <v>0</v>
      </c>
      <c r="Z471"/>
      <c r="AA471"/>
      <c r="AB471"/>
    </row>
    <row r="472" spans="1:28" x14ac:dyDescent="0.35">
      <c r="A472" s="299"/>
      <c r="B472" s="515">
        <v>1.656843440877233</v>
      </c>
      <c r="C472" s="515">
        <v>6.3352327974263004E-2</v>
      </c>
      <c r="D472" s="515">
        <v>2.0114212642313092</v>
      </c>
      <c r="E472" s="515">
        <v>0.24410088165076399</v>
      </c>
      <c r="F472" s="515">
        <v>5.0013871950849997E-3</v>
      </c>
      <c r="G472" s="299"/>
      <c r="H472" s="300">
        <f t="shared" si="65"/>
        <v>0</v>
      </c>
      <c r="I472" s="299"/>
      <c r="J472" s="1"/>
      <c r="K472" s="299"/>
      <c r="L472" s="1"/>
      <c r="M472" s="299"/>
      <c r="N472" s="299"/>
      <c r="O472" s="299"/>
      <c r="P472" s="299"/>
      <c r="Q472" s="298"/>
      <c r="R472" s="300">
        <f t="shared" si="66"/>
        <v>0</v>
      </c>
      <c r="S472" s="300">
        <f t="shared" si="67"/>
        <v>0</v>
      </c>
      <c r="T472" s="300">
        <f t="shared" si="68"/>
        <v>0</v>
      </c>
      <c r="U472" s="300">
        <f t="shared" si="69"/>
        <v>0</v>
      </c>
      <c r="V472" s="300">
        <f t="shared" si="70"/>
        <v>0</v>
      </c>
      <c r="W472" s="300">
        <f t="shared" si="71"/>
        <v>0</v>
      </c>
      <c r="X472" s="300">
        <f t="shared" si="72"/>
        <v>0</v>
      </c>
      <c r="Y472" s="300">
        <f t="shared" si="73"/>
        <v>0</v>
      </c>
      <c r="Z472"/>
      <c r="AA472"/>
      <c r="AB472"/>
    </row>
    <row r="473" spans="1:28" x14ac:dyDescent="0.35">
      <c r="A473" s="299"/>
      <c r="B473" s="515">
        <v>0.127173024478964</v>
      </c>
      <c r="C473" s="515">
        <v>3.1709865741088999E-2</v>
      </c>
      <c r="D473" s="515">
        <v>1.972559959588539</v>
      </c>
      <c r="E473" s="515">
        <v>0.22459524172265699</v>
      </c>
      <c r="F473" s="515">
        <v>5.6225820716299998E-3</v>
      </c>
      <c r="G473" s="299"/>
      <c r="H473" s="300">
        <f t="shared" si="65"/>
        <v>0</v>
      </c>
      <c r="I473" s="299"/>
      <c r="J473" s="1"/>
      <c r="K473" s="299"/>
      <c r="L473" s="1"/>
      <c r="M473" s="299"/>
      <c r="N473" s="299"/>
      <c r="O473" s="299"/>
      <c r="P473" s="299"/>
      <c r="Q473" s="298"/>
      <c r="R473" s="300">
        <f t="shared" si="66"/>
        <v>0</v>
      </c>
      <c r="S473" s="300">
        <f t="shared" si="67"/>
        <v>0</v>
      </c>
      <c r="T473" s="300">
        <f t="shared" si="68"/>
        <v>0</v>
      </c>
      <c r="U473" s="300">
        <f t="shared" si="69"/>
        <v>0</v>
      </c>
      <c r="V473" s="300">
        <f t="shared" si="70"/>
        <v>0</v>
      </c>
      <c r="W473" s="300">
        <f t="shared" si="71"/>
        <v>0</v>
      </c>
      <c r="X473" s="300">
        <f t="shared" si="72"/>
        <v>0</v>
      </c>
      <c r="Y473" s="300">
        <f t="shared" si="73"/>
        <v>0</v>
      </c>
      <c r="Z473"/>
      <c r="AA473"/>
      <c r="AB473"/>
    </row>
    <row r="474" spans="1:28" x14ac:dyDescent="0.35">
      <c r="A474" s="299"/>
      <c r="B474" s="515">
        <v>0.424174400390812</v>
      </c>
      <c r="C474" s="515">
        <v>1.0928348691122001E-2</v>
      </c>
      <c r="D474" s="515">
        <v>1.0297770157119E-2</v>
      </c>
      <c r="E474" s="515">
        <v>0.10976987319906401</v>
      </c>
      <c r="F474" s="515">
        <v>5.6311757660145997E-2</v>
      </c>
      <c r="G474" s="299"/>
      <c r="H474" s="300">
        <f t="shared" si="65"/>
        <v>0</v>
      </c>
      <c r="I474" s="299"/>
      <c r="J474" s="1"/>
      <c r="K474" s="299"/>
      <c r="L474" s="1"/>
      <c r="M474" s="299"/>
      <c r="N474" s="299"/>
      <c r="O474" s="299"/>
      <c r="P474" s="299"/>
      <c r="Q474" s="298"/>
      <c r="R474" s="300">
        <f t="shared" si="66"/>
        <v>0</v>
      </c>
      <c r="S474" s="300">
        <f t="shared" si="67"/>
        <v>0</v>
      </c>
      <c r="T474" s="300">
        <f t="shared" si="68"/>
        <v>0</v>
      </c>
      <c r="U474" s="300">
        <f t="shared" si="69"/>
        <v>0</v>
      </c>
      <c r="V474" s="300">
        <f t="shared" si="70"/>
        <v>0</v>
      </c>
      <c r="W474" s="300">
        <f t="shared" si="71"/>
        <v>0</v>
      </c>
      <c r="X474" s="300">
        <f t="shared" si="72"/>
        <v>0</v>
      </c>
      <c r="Y474" s="300">
        <f t="shared" si="73"/>
        <v>0</v>
      </c>
      <c r="Z474"/>
      <c r="AA474"/>
      <c r="AB474"/>
    </row>
    <row r="475" spans="1:28" x14ac:dyDescent="0.35">
      <c r="A475" s="299"/>
      <c r="B475" s="515">
        <v>0.104780256855286</v>
      </c>
      <c r="C475" s="515">
        <v>-3.2903347926699622</v>
      </c>
      <c r="D475" s="515">
        <v>3.115931029939961</v>
      </c>
      <c r="E475" s="515">
        <v>2.7185869087419999E-3</v>
      </c>
      <c r="F475" s="515">
        <v>4.0359711968643998E-2</v>
      </c>
      <c r="G475" s="299"/>
      <c r="H475" s="300">
        <f t="shared" si="65"/>
        <v>0</v>
      </c>
      <c r="I475" s="299"/>
      <c r="J475" s="1"/>
      <c r="K475" s="299"/>
      <c r="L475" s="1"/>
      <c r="M475" s="299"/>
      <c r="N475" s="299"/>
      <c r="O475" s="299"/>
      <c r="P475" s="299"/>
      <c r="Q475" s="298"/>
      <c r="R475" s="300">
        <f t="shared" si="66"/>
        <v>0</v>
      </c>
      <c r="S475" s="300">
        <f t="shared" si="67"/>
        <v>0</v>
      </c>
      <c r="T475" s="300">
        <f t="shared" si="68"/>
        <v>0</v>
      </c>
      <c r="U475" s="300">
        <f t="shared" si="69"/>
        <v>0</v>
      </c>
      <c r="V475" s="300">
        <f t="shared" si="70"/>
        <v>0</v>
      </c>
      <c r="W475" s="300">
        <f t="shared" si="71"/>
        <v>0</v>
      </c>
      <c r="X475" s="300">
        <f t="shared" si="72"/>
        <v>0</v>
      </c>
      <c r="Y475" s="300">
        <f t="shared" si="73"/>
        <v>0</v>
      </c>
      <c r="Z475"/>
      <c r="AA475"/>
      <c r="AB475"/>
    </row>
    <row r="476" spans="1:28" x14ac:dyDescent="0.35">
      <c r="A476" s="299"/>
      <c r="B476" s="515">
        <v>5.5282275816449997E-3</v>
      </c>
      <c r="C476" s="515">
        <v>2.8074670052481002E-2</v>
      </c>
      <c r="D476" s="515">
        <v>1.9812008767041149</v>
      </c>
      <c r="E476" s="515">
        <v>0.224357636793272</v>
      </c>
      <c r="F476" s="515">
        <v>5.2012398576750003E-3</v>
      </c>
      <c r="G476" s="299"/>
      <c r="H476" s="300">
        <f t="shared" si="65"/>
        <v>0</v>
      </c>
      <c r="I476" s="299"/>
      <c r="J476" s="1"/>
      <c r="K476" s="299"/>
      <c r="L476" s="1"/>
      <c r="M476" s="299"/>
      <c r="N476" s="299"/>
      <c r="O476" s="299"/>
      <c r="P476" s="299"/>
      <c r="Q476" s="298"/>
      <c r="R476" s="300">
        <f t="shared" si="66"/>
        <v>0</v>
      </c>
      <c r="S476" s="300">
        <f t="shared" si="67"/>
        <v>0</v>
      </c>
      <c r="T476" s="300">
        <f t="shared" si="68"/>
        <v>0</v>
      </c>
      <c r="U476" s="300">
        <f t="shared" si="69"/>
        <v>0</v>
      </c>
      <c r="V476" s="300">
        <f t="shared" si="70"/>
        <v>0</v>
      </c>
      <c r="W476" s="300">
        <f t="shared" si="71"/>
        <v>0</v>
      </c>
      <c r="X476" s="300">
        <f t="shared" si="72"/>
        <v>0</v>
      </c>
      <c r="Y476" s="300">
        <f t="shared" si="73"/>
        <v>0</v>
      </c>
      <c r="Z476"/>
      <c r="AA476"/>
      <c r="AB476"/>
    </row>
    <row r="477" spans="1:28" x14ac:dyDescent="0.35">
      <c r="A477" s="299"/>
      <c r="B477" s="515">
        <v>12.97254577343201</v>
      </c>
      <c r="C477" s="515">
        <v>-0.228078941452585</v>
      </c>
      <c r="D477" s="515">
        <v>1.279404750596502</v>
      </c>
      <c r="E477" s="515">
        <v>0.142237045061676</v>
      </c>
      <c r="F477" s="515">
        <v>7.6519491096528003E-2</v>
      </c>
      <c r="G477" s="299"/>
      <c r="H477" s="300">
        <f t="shared" si="65"/>
        <v>0</v>
      </c>
      <c r="I477" s="299"/>
      <c r="J477" s="1"/>
      <c r="K477" s="299"/>
      <c r="L477" s="1"/>
      <c r="M477" s="299"/>
      <c r="N477" s="299"/>
      <c r="O477" s="299"/>
      <c r="P477" s="299"/>
      <c r="Q477" s="298"/>
      <c r="R477" s="300">
        <f t="shared" si="66"/>
        <v>0</v>
      </c>
      <c r="S477" s="300">
        <f t="shared" si="67"/>
        <v>0</v>
      </c>
      <c r="T477" s="300">
        <f t="shared" si="68"/>
        <v>0</v>
      </c>
      <c r="U477" s="300">
        <f t="shared" si="69"/>
        <v>0</v>
      </c>
      <c r="V477" s="300">
        <f t="shared" si="70"/>
        <v>0</v>
      </c>
      <c r="W477" s="300">
        <f t="shared" si="71"/>
        <v>0</v>
      </c>
      <c r="X477" s="300">
        <f t="shared" si="72"/>
        <v>0</v>
      </c>
      <c r="Y477" s="300">
        <f t="shared" si="73"/>
        <v>0</v>
      </c>
      <c r="Z477"/>
      <c r="AA477"/>
      <c r="AB477"/>
    </row>
    <row r="478" spans="1:28" x14ac:dyDescent="0.35">
      <c r="A478" s="299"/>
      <c r="B478" s="515">
        <v>6.07234470386528</v>
      </c>
      <c r="C478" s="515">
        <v>0.16799862703690199</v>
      </c>
      <c r="D478" s="515">
        <v>7.0043580385519997E-3</v>
      </c>
      <c r="E478" s="515">
        <v>6.4940301426550003E-3</v>
      </c>
      <c r="F478" s="515">
        <v>8.0125119118092003E-2</v>
      </c>
      <c r="G478" s="299"/>
      <c r="H478" s="300">
        <f t="shared" si="65"/>
        <v>0</v>
      </c>
      <c r="I478" s="299"/>
      <c r="J478" s="1"/>
      <c r="K478" s="299"/>
      <c r="L478" s="1"/>
      <c r="M478" s="299"/>
      <c r="N478" s="299"/>
      <c r="O478" s="299"/>
      <c r="P478" s="299"/>
      <c r="Q478" s="298"/>
      <c r="R478" s="300">
        <f t="shared" si="66"/>
        <v>0</v>
      </c>
      <c r="S478" s="300">
        <f t="shared" si="67"/>
        <v>0</v>
      </c>
      <c r="T478" s="300">
        <f t="shared" si="68"/>
        <v>0</v>
      </c>
      <c r="U478" s="300">
        <f t="shared" si="69"/>
        <v>0</v>
      </c>
      <c r="V478" s="300">
        <f t="shared" si="70"/>
        <v>0</v>
      </c>
      <c r="W478" s="300">
        <f t="shared" si="71"/>
        <v>0</v>
      </c>
      <c r="X478" s="300">
        <f t="shared" si="72"/>
        <v>0</v>
      </c>
      <c r="Y478" s="300">
        <f t="shared" si="73"/>
        <v>0</v>
      </c>
      <c r="Z478"/>
      <c r="AA478"/>
      <c r="AB478"/>
    </row>
    <row r="479" spans="1:28" x14ac:dyDescent="0.35">
      <c r="A479" s="299"/>
      <c r="B479" s="515">
        <v>1.1166173159E-5</v>
      </c>
      <c r="C479" s="515">
        <v>-1.8730645942139299</v>
      </c>
      <c r="D479" s="515">
        <v>2.4983179198153702</v>
      </c>
      <c r="E479" s="515">
        <v>0.27099835166928199</v>
      </c>
      <c r="F479" s="515">
        <v>3.587311147834E-3</v>
      </c>
      <c r="G479" s="299"/>
      <c r="H479" s="300">
        <f t="shared" si="65"/>
        <v>0</v>
      </c>
      <c r="I479" s="299"/>
      <c r="J479" s="1"/>
      <c r="K479" s="299"/>
      <c r="L479" s="1"/>
      <c r="M479" s="299"/>
      <c r="N479" s="299"/>
      <c r="O479" s="299"/>
      <c r="P479" s="299"/>
      <c r="Q479" s="298"/>
      <c r="R479" s="300">
        <f t="shared" si="66"/>
        <v>0</v>
      </c>
      <c r="S479" s="300">
        <f t="shared" si="67"/>
        <v>0</v>
      </c>
      <c r="T479" s="300">
        <f t="shared" si="68"/>
        <v>0</v>
      </c>
      <c r="U479" s="300">
        <f t="shared" si="69"/>
        <v>0</v>
      </c>
      <c r="V479" s="300">
        <f t="shared" si="70"/>
        <v>0</v>
      </c>
      <c r="W479" s="300">
        <f t="shared" si="71"/>
        <v>0</v>
      </c>
      <c r="X479" s="300">
        <f t="shared" si="72"/>
        <v>0</v>
      </c>
      <c r="Y479" s="300">
        <f t="shared" si="73"/>
        <v>0</v>
      </c>
      <c r="Z479"/>
      <c r="AA479"/>
      <c r="AB479"/>
    </row>
    <row r="480" spans="1:28" x14ac:dyDescent="0.35">
      <c r="A480" s="299"/>
      <c r="B480" s="515">
        <v>5.265641915533279</v>
      </c>
      <c r="C480" s="515">
        <v>9.2407165582253994E-2</v>
      </c>
      <c r="D480" s="515">
        <v>0.76128918833364001</v>
      </c>
      <c r="E480" s="515">
        <v>9.5019376548643994E-2</v>
      </c>
      <c r="F480" s="515">
        <v>6.2551775103068002E-2</v>
      </c>
      <c r="G480" s="299"/>
      <c r="H480" s="300">
        <f t="shared" si="65"/>
        <v>0</v>
      </c>
      <c r="I480" s="299"/>
      <c r="J480" s="1"/>
      <c r="K480" s="299"/>
      <c r="L480" s="1"/>
      <c r="M480" s="299"/>
      <c r="N480" s="299"/>
      <c r="O480" s="299"/>
      <c r="P480" s="299"/>
      <c r="Q480" s="298"/>
      <c r="R480" s="300">
        <f t="shared" si="66"/>
        <v>0</v>
      </c>
      <c r="S480" s="300">
        <f t="shared" si="67"/>
        <v>0</v>
      </c>
      <c r="T480" s="300">
        <f t="shared" si="68"/>
        <v>0</v>
      </c>
      <c r="U480" s="300">
        <f t="shared" si="69"/>
        <v>0</v>
      </c>
      <c r="V480" s="300">
        <f t="shared" si="70"/>
        <v>0</v>
      </c>
      <c r="W480" s="300">
        <f t="shared" si="71"/>
        <v>0</v>
      </c>
      <c r="X480" s="300">
        <f t="shared" si="72"/>
        <v>0</v>
      </c>
      <c r="Y480" s="300">
        <f t="shared" si="73"/>
        <v>0</v>
      </c>
      <c r="Z480"/>
      <c r="AA480"/>
      <c r="AB480"/>
    </row>
    <row r="481" spans="1:28" x14ac:dyDescent="0.35">
      <c r="A481" s="299"/>
      <c r="B481" s="515">
        <v>1.3375186140775E-2</v>
      </c>
      <c r="C481" s="515">
        <v>-1.170417682730736</v>
      </c>
      <c r="D481" s="515">
        <v>3.3243322493811029</v>
      </c>
      <c r="E481" s="515">
        <v>0.13972706409073399</v>
      </c>
      <c r="F481" s="515">
        <v>2.5165408181119999E-3</v>
      </c>
      <c r="G481" s="299"/>
      <c r="H481" s="300">
        <f t="shared" si="65"/>
        <v>0</v>
      </c>
      <c r="I481" s="299"/>
      <c r="J481" s="1"/>
      <c r="K481" s="299"/>
      <c r="L481" s="1"/>
      <c r="M481" s="299"/>
      <c r="N481" s="299"/>
      <c r="O481" s="299"/>
      <c r="P481" s="299"/>
      <c r="Q481" s="298"/>
      <c r="R481" s="300">
        <f t="shared" si="66"/>
        <v>0</v>
      </c>
      <c r="S481" s="300">
        <f t="shared" si="67"/>
        <v>0</v>
      </c>
      <c r="T481" s="300">
        <f t="shared" si="68"/>
        <v>0</v>
      </c>
      <c r="U481" s="300">
        <f t="shared" si="69"/>
        <v>0</v>
      </c>
      <c r="V481" s="300">
        <f t="shared" si="70"/>
        <v>0</v>
      </c>
      <c r="W481" s="300">
        <f t="shared" si="71"/>
        <v>0</v>
      </c>
      <c r="X481" s="300">
        <f t="shared" si="72"/>
        <v>0</v>
      </c>
      <c r="Y481" s="300">
        <f t="shared" si="73"/>
        <v>0</v>
      </c>
      <c r="Z481"/>
      <c r="AA481"/>
      <c r="AB481"/>
    </row>
    <row r="482" spans="1:28" x14ac:dyDescent="0.35">
      <c r="A482" s="299"/>
      <c r="B482" s="515">
        <v>13.990586702698961</v>
      </c>
      <c r="C482" s="515">
        <v>-1.244962278713631</v>
      </c>
      <c r="D482" s="515">
        <v>1.7494380489427701</v>
      </c>
      <c r="E482" s="515">
        <v>0.243333618541788</v>
      </c>
      <c r="F482" s="515">
        <v>7.2997740439229006E-2</v>
      </c>
      <c r="G482" s="299"/>
      <c r="H482" s="300">
        <f t="shared" si="65"/>
        <v>0</v>
      </c>
      <c r="I482" s="299"/>
      <c r="J482" s="1"/>
      <c r="K482" s="299"/>
      <c r="L482" s="1"/>
      <c r="M482" s="299"/>
      <c r="N482" s="299"/>
      <c r="O482" s="299"/>
      <c r="P482" s="299"/>
      <c r="Q482" s="298"/>
      <c r="R482" s="300">
        <f t="shared" si="66"/>
        <v>0</v>
      </c>
      <c r="S482" s="300">
        <f t="shared" si="67"/>
        <v>0</v>
      </c>
      <c r="T482" s="300">
        <f t="shared" si="68"/>
        <v>0</v>
      </c>
      <c r="U482" s="300">
        <f t="shared" si="69"/>
        <v>0</v>
      </c>
      <c r="V482" s="300">
        <f t="shared" si="70"/>
        <v>0</v>
      </c>
      <c r="W482" s="300">
        <f t="shared" si="71"/>
        <v>0</v>
      </c>
      <c r="X482" s="300">
        <f t="shared" si="72"/>
        <v>0</v>
      </c>
      <c r="Y482" s="300">
        <f t="shared" si="73"/>
        <v>0</v>
      </c>
      <c r="Z482"/>
      <c r="AA482"/>
      <c r="AB482"/>
    </row>
    <row r="483" spans="1:28" x14ac:dyDescent="0.35">
      <c r="A483" s="299"/>
      <c r="B483" s="515">
        <v>2.9554976451000001E-5</v>
      </c>
      <c r="C483" s="515">
        <v>-0.194322042562215</v>
      </c>
      <c r="D483" s="515">
        <v>3.330872452878562</v>
      </c>
      <c r="E483" s="515">
        <v>3.0842456068385E-2</v>
      </c>
      <c r="F483" s="515">
        <v>8.3797664997989994E-3</v>
      </c>
      <c r="G483" s="299"/>
      <c r="H483" s="300">
        <f t="shared" si="65"/>
        <v>0</v>
      </c>
      <c r="I483" s="299"/>
      <c r="J483" s="1"/>
      <c r="K483" s="299"/>
      <c r="L483" s="1"/>
      <c r="M483" s="299"/>
      <c r="N483" s="299"/>
      <c r="O483" s="299"/>
      <c r="P483" s="299"/>
      <c r="Q483" s="298"/>
      <c r="R483" s="300">
        <f t="shared" si="66"/>
        <v>0</v>
      </c>
      <c r="S483" s="300">
        <f t="shared" si="67"/>
        <v>0</v>
      </c>
      <c r="T483" s="300">
        <f t="shared" si="68"/>
        <v>0</v>
      </c>
      <c r="U483" s="300">
        <f t="shared" si="69"/>
        <v>0</v>
      </c>
      <c r="V483" s="300">
        <f t="shared" si="70"/>
        <v>0</v>
      </c>
      <c r="W483" s="300">
        <f t="shared" si="71"/>
        <v>0</v>
      </c>
      <c r="X483" s="300">
        <f t="shared" si="72"/>
        <v>0</v>
      </c>
      <c r="Y483" s="300">
        <f t="shared" si="73"/>
        <v>0</v>
      </c>
      <c r="Z483"/>
      <c r="AA483"/>
      <c r="AB483"/>
    </row>
    <row r="484" spans="1:28" x14ac:dyDescent="0.35">
      <c r="A484" s="299"/>
      <c r="B484" s="515">
        <v>0.75314983321903495</v>
      </c>
      <c r="C484" s="515">
        <v>6.4505800437690997E-2</v>
      </c>
      <c r="D484" s="515">
        <v>1.9180517094253109</v>
      </c>
      <c r="E484" s="515">
        <v>0.22986956272619399</v>
      </c>
      <c r="F484" s="515">
        <v>6.0498866483279998E-3</v>
      </c>
      <c r="G484" s="299"/>
      <c r="H484" s="300">
        <f t="shared" si="65"/>
        <v>0</v>
      </c>
      <c r="I484" s="299"/>
      <c r="J484" s="1"/>
      <c r="K484" s="299"/>
      <c r="L484" s="1"/>
      <c r="M484" s="299"/>
      <c r="N484" s="299"/>
      <c r="O484" s="299"/>
      <c r="P484" s="299"/>
      <c r="Q484" s="298"/>
      <c r="R484" s="300">
        <f t="shared" si="66"/>
        <v>0</v>
      </c>
      <c r="S484" s="300">
        <f t="shared" si="67"/>
        <v>0</v>
      </c>
      <c r="T484" s="300">
        <f t="shared" si="68"/>
        <v>0</v>
      </c>
      <c r="U484" s="300">
        <f t="shared" si="69"/>
        <v>0</v>
      </c>
      <c r="V484" s="300">
        <f t="shared" si="70"/>
        <v>0</v>
      </c>
      <c r="W484" s="300">
        <f t="shared" si="71"/>
        <v>0</v>
      </c>
      <c r="X484" s="300">
        <f t="shared" si="72"/>
        <v>0</v>
      </c>
      <c r="Y484" s="300">
        <f t="shared" si="73"/>
        <v>0</v>
      </c>
      <c r="Z484"/>
      <c r="AA484"/>
      <c r="AB484"/>
    </row>
    <row r="485" spans="1:28" x14ac:dyDescent="0.35">
      <c r="A485" s="299"/>
      <c r="B485" s="515">
        <v>1.604321282184465</v>
      </c>
      <c r="C485" s="515">
        <v>-1.6616288015440001E-3</v>
      </c>
      <c r="D485" s="515">
        <v>8.6874558058479996E-3</v>
      </c>
      <c r="E485" s="515">
        <v>5.9938092124283998E-2</v>
      </c>
      <c r="F485" s="515">
        <v>6.7761309986900997E-2</v>
      </c>
      <c r="G485" s="299"/>
      <c r="H485" s="300">
        <f t="shared" si="65"/>
        <v>0</v>
      </c>
      <c r="I485" s="299"/>
      <c r="J485" s="1"/>
      <c r="K485" s="299"/>
      <c r="L485" s="1"/>
      <c r="M485" s="299"/>
      <c r="N485" s="299"/>
      <c r="O485" s="299"/>
      <c r="P485" s="299"/>
      <c r="Q485" s="298"/>
      <c r="R485" s="300">
        <f t="shared" si="66"/>
        <v>0</v>
      </c>
      <c r="S485" s="300">
        <f t="shared" si="67"/>
        <v>0</v>
      </c>
      <c r="T485" s="300">
        <f t="shared" si="68"/>
        <v>0</v>
      </c>
      <c r="U485" s="300">
        <f t="shared" si="69"/>
        <v>0</v>
      </c>
      <c r="V485" s="300">
        <f t="shared" si="70"/>
        <v>0</v>
      </c>
      <c r="W485" s="300">
        <f t="shared" si="71"/>
        <v>0</v>
      </c>
      <c r="X485" s="300">
        <f t="shared" si="72"/>
        <v>0</v>
      </c>
      <c r="Y485" s="300">
        <f t="shared" si="73"/>
        <v>0</v>
      </c>
      <c r="Z485"/>
      <c r="AA485"/>
      <c r="AB485"/>
    </row>
    <row r="486" spans="1:28" x14ac:dyDescent="0.35">
      <c r="A486" s="299"/>
      <c r="B486" s="515">
        <v>13.62985259881526</v>
      </c>
      <c r="C486" s="515">
        <v>5.2605056130732998E-2</v>
      </c>
      <c r="D486" s="515">
        <v>0.73248474054985002</v>
      </c>
      <c r="E486" s="515">
        <v>0.233722648593189</v>
      </c>
      <c r="F486" s="515">
        <v>5.4069166409181003E-2</v>
      </c>
      <c r="G486" s="299"/>
      <c r="H486" s="300">
        <f t="shared" si="65"/>
        <v>0</v>
      </c>
      <c r="I486" s="299"/>
      <c r="J486" s="1"/>
      <c r="K486" s="299"/>
      <c r="L486" s="1"/>
      <c r="M486" s="299"/>
      <c r="N486" s="299"/>
      <c r="O486" s="299"/>
      <c r="P486" s="299"/>
      <c r="Q486" s="298"/>
      <c r="R486" s="300">
        <f t="shared" si="66"/>
        <v>0</v>
      </c>
      <c r="S486" s="300">
        <f t="shared" si="67"/>
        <v>0</v>
      </c>
      <c r="T486" s="300">
        <f t="shared" si="68"/>
        <v>0</v>
      </c>
      <c r="U486" s="300">
        <f t="shared" si="69"/>
        <v>0</v>
      </c>
      <c r="V486" s="300">
        <f t="shared" si="70"/>
        <v>0</v>
      </c>
      <c r="W486" s="300">
        <f t="shared" si="71"/>
        <v>0</v>
      </c>
      <c r="X486" s="300">
        <f t="shared" si="72"/>
        <v>0</v>
      </c>
      <c r="Y486" s="300">
        <f t="shared" si="73"/>
        <v>0</v>
      </c>
      <c r="Z486"/>
      <c r="AA486"/>
      <c r="AB486"/>
    </row>
    <row r="487" spans="1:28" x14ac:dyDescent="0.35">
      <c r="A487" s="299"/>
      <c r="B487" s="515">
        <v>2.4716463674429999E-2</v>
      </c>
      <c r="C487" s="515">
        <v>-0.33818984573196698</v>
      </c>
      <c r="D487" s="515">
        <v>1.9029986208695001E-2</v>
      </c>
      <c r="E487" s="515">
        <v>7.7861906438325995E-2</v>
      </c>
      <c r="F487" s="515">
        <v>6.4047624391640995E-2</v>
      </c>
      <c r="G487" s="299"/>
      <c r="H487" s="300">
        <f t="shared" si="65"/>
        <v>0</v>
      </c>
      <c r="I487" s="299"/>
      <c r="J487" s="1"/>
      <c r="K487" s="299"/>
      <c r="L487" s="1"/>
      <c r="M487" s="299"/>
      <c r="N487" s="299"/>
      <c r="O487" s="299"/>
      <c r="P487" s="299"/>
      <c r="Q487" s="298"/>
      <c r="R487" s="300">
        <f t="shared" si="66"/>
        <v>0</v>
      </c>
      <c r="S487" s="300">
        <f t="shared" si="67"/>
        <v>0</v>
      </c>
      <c r="T487" s="300">
        <f t="shared" si="68"/>
        <v>0</v>
      </c>
      <c r="U487" s="300">
        <f t="shared" si="69"/>
        <v>0</v>
      </c>
      <c r="V487" s="300">
        <f t="shared" si="70"/>
        <v>0</v>
      </c>
      <c r="W487" s="300">
        <f t="shared" si="71"/>
        <v>0</v>
      </c>
      <c r="X487" s="300">
        <f t="shared" si="72"/>
        <v>0</v>
      </c>
      <c r="Y487" s="300">
        <f t="shared" si="73"/>
        <v>0</v>
      </c>
      <c r="Z487"/>
      <c r="AA487"/>
      <c r="AB487"/>
    </row>
    <row r="488" spans="1:28" x14ac:dyDescent="0.35">
      <c r="A488" s="299"/>
      <c r="B488" s="515">
        <v>2.7492132124261621</v>
      </c>
      <c r="C488" s="515">
        <v>7.4468432909000001E-2</v>
      </c>
      <c r="D488" s="515">
        <v>2.0004302317453959</v>
      </c>
      <c r="E488" s="515">
        <v>0.25029155519704099</v>
      </c>
      <c r="F488" s="515">
        <v>7.2656691869259996E-3</v>
      </c>
      <c r="G488" s="299"/>
      <c r="H488" s="300">
        <f t="shared" si="65"/>
        <v>0</v>
      </c>
      <c r="I488" s="299"/>
      <c r="J488" s="1"/>
      <c r="K488" s="299"/>
      <c r="L488" s="1"/>
      <c r="M488" s="299"/>
      <c r="N488" s="299"/>
      <c r="O488" s="299"/>
      <c r="P488" s="299"/>
      <c r="Q488" s="298"/>
      <c r="R488" s="300">
        <f t="shared" si="66"/>
        <v>0</v>
      </c>
      <c r="S488" s="300">
        <f t="shared" si="67"/>
        <v>0</v>
      </c>
      <c r="T488" s="300">
        <f t="shared" si="68"/>
        <v>0</v>
      </c>
      <c r="U488" s="300">
        <f t="shared" si="69"/>
        <v>0</v>
      </c>
      <c r="V488" s="300">
        <f t="shared" si="70"/>
        <v>0</v>
      </c>
      <c r="W488" s="300">
        <f t="shared" si="71"/>
        <v>0</v>
      </c>
      <c r="X488" s="300">
        <f t="shared" si="72"/>
        <v>0</v>
      </c>
      <c r="Y488" s="300">
        <f t="shared" si="73"/>
        <v>0</v>
      </c>
      <c r="Z488"/>
      <c r="AA488"/>
      <c r="AB488"/>
    </row>
    <row r="489" spans="1:28" x14ac:dyDescent="0.35">
      <c r="A489" s="299"/>
      <c r="B489" s="515">
        <v>1.993013389E-6</v>
      </c>
      <c r="C489" s="515">
        <v>-0.62167277470848104</v>
      </c>
      <c r="D489" s="515">
        <v>1.9690229300078499</v>
      </c>
      <c r="E489" s="515">
        <v>3.3643935792999998E-5</v>
      </c>
      <c r="F489" s="515">
        <v>4.8955628808517997E-2</v>
      </c>
      <c r="G489" s="299"/>
      <c r="H489" s="300">
        <f t="shared" si="65"/>
        <v>0</v>
      </c>
      <c r="I489" s="299"/>
      <c r="J489" s="1"/>
      <c r="K489" s="299"/>
      <c r="L489" s="1"/>
      <c r="M489" s="299"/>
      <c r="N489" s="299"/>
      <c r="O489" s="299"/>
      <c r="P489" s="299"/>
      <c r="Q489" s="298"/>
      <c r="R489" s="300">
        <f t="shared" si="66"/>
        <v>0</v>
      </c>
      <c r="S489" s="300">
        <f t="shared" si="67"/>
        <v>0</v>
      </c>
      <c r="T489" s="300">
        <f t="shared" si="68"/>
        <v>0</v>
      </c>
      <c r="U489" s="300">
        <f t="shared" si="69"/>
        <v>0</v>
      </c>
      <c r="V489" s="300">
        <f t="shared" si="70"/>
        <v>0</v>
      </c>
      <c r="W489" s="300">
        <f t="shared" si="71"/>
        <v>0</v>
      </c>
      <c r="X489" s="300">
        <f t="shared" si="72"/>
        <v>0</v>
      </c>
      <c r="Y489" s="300">
        <f t="shared" si="73"/>
        <v>0</v>
      </c>
      <c r="Z489"/>
      <c r="AA489"/>
      <c r="AB489"/>
    </row>
    <row r="490" spans="1:28" x14ac:dyDescent="0.35">
      <c r="A490" s="299"/>
      <c r="B490" s="515">
        <v>3.5857041619999999E-6</v>
      </c>
      <c r="C490" s="515">
        <v>-0.53486518058198096</v>
      </c>
      <c r="D490" s="515">
        <v>1.7432592147526891</v>
      </c>
      <c r="E490" s="515">
        <v>4.5824131542884998E-2</v>
      </c>
      <c r="F490" s="515">
        <v>4.5809227000532998E-2</v>
      </c>
      <c r="G490" s="299"/>
      <c r="H490" s="300">
        <f t="shared" si="65"/>
        <v>0</v>
      </c>
      <c r="I490" s="299"/>
      <c r="J490" s="1"/>
      <c r="K490" s="299"/>
      <c r="L490" s="1"/>
      <c r="M490" s="299"/>
      <c r="N490" s="299"/>
      <c r="O490" s="299"/>
      <c r="P490" s="299"/>
      <c r="Q490" s="298"/>
      <c r="R490" s="300">
        <f t="shared" si="66"/>
        <v>0</v>
      </c>
      <c r="S490" s="300">
        <f t="shared" si="67"/>
        <v>0</v>
      </c>
      <c r="T490" s="300">
        <f t="shared" si="68"/>
        <v>0</v>
      </c>
      <c r="U490" s="300">
        <f t="shared" si="69"/>
        <v>0</v>
      </c>
      <c r="V490" s="300">
        <f t="shared" si="70"/>
        <v>0</v>
      </c>
      <c r="W490" s="300">
        <f t="shared" si="71"/>
        <v>0</v>
      </c>
      <c r="X490" s="300">
        <f t="shared" si="72"/>
        <v>0</v>
      </c>
      <c r="Y490" s="300">
        <f t="shared" si="73"/>
        <v>0</v>
      </c>
      <c r="Z490"/>
      <c r="AA490"/>
      <c r="AB490"/>
    </row>
    <row r="491" spans="1:28" x14ac:dyDescent="0.35">
      <c r="A491" s="299"/>
      <c r="B491" s="515">
        <v>4.4538919889954283</v>
      </c>
      <c r="C491" s="515">
        <v>9.5922793542201998E-2</v>
      </c>
      <c r="D491" s="515">
        <v>1.386842806926629</v>
      </c>
      <c r="E491" s="515">
        <v>2.7409850999999999E-7</v>
      </c>
      <c r="F491" s="515">
        <v>6.2342322696572E-2</v>
      </c>
      <c r="G491" s="299"/>
      <c r="H491" s="300">
        <f t="shared" si="65"/>
        <v>0</v>
      </c>
      <c r="I491" s="299"/>
      <c r="J491" s="1"/>
      <c r="K491" s="299"/>
      <c r="L491" s="1"/>
      <c r="M491" s="299"/>
      <c r="N491" s="299"/>
      <c r="O491" s="299"/>
      <c r="P491" s="299"/>
      <c r="Q491" s="298"/>
      <c r="R491" s="300">
        <f t="shared" si="66"/>
        <v>0</v>
      </c>
      <c r="S491" s="300">
        <f t="shared" si="67"/>
        <v>0</v>
      </c>
      <c r="T491" s="300">
        <f t="shared" si="68"/>
        <v>0</v>
      </c>
      <c r="U491" s="300">
        <f t="shared" si="69"/>
        <v>0</v>
      </c>
      <c r="V491" s="300">
        <f t="shared" si="70"/>
        <v>0</v>
      </c>
      <c r="W491" s="300">
        <f t="shared" si="71"/>
        <v>0</v>
      </c>
      <c r="X491" s="300">
        <f t="shared" si="72"/>
        <v>0</v>
      </c>
      <c r="Y491" s="300">
        <f t="shared" si="73"/>
        <v>0</v>
      </c>
      <c r="Z491"/>
      <c r="AA491"/>
      <c r="AB491"/>
    </row>
    <row r="492" spans="1:28" x14ac:dyDescent="0.35">
      <c r="A492" s="299"/>
      <c r="B492" s="515">
        <v>4.9581465040000001E-6</v>
      </c>
      <c r="C492" s="515">
        <v>0.1045097354882</v>
      </c>
      <c r="D492" s="515">
        <v>0.246399580674656</v>
      </c>
      <c r="E492" s="515">
        <v>9.6850641519852995E-2</v>
      </c>
      <c r="F492" s="515">
        <v>5.0078382435135002E-2</v>
      </c>
      <c r="G492" s="299"/>
      <c r="H492" s="300">
        <f t="shared" si="65"/>
        <v>0</v>
      </c>
      <c r="I492" s="299"/>
      <c r="J492" s="1"/>
      <c r="K492" s="299"/>
      <c r="L492" s="1"/>
      <c r="M492" s="299"/>
      <c r="N492" s="299"/>
      <c r="O492" s="299"/>
      <c r="P492" s="299"/>
      <c r="Q492" s="298"/>
      <c r="R492" s="300">
        <f t="shared" si="66"/>
        <v>0</v>
      </c>
      <c r="S492" s="300">
        <f t="shared" si="67"/>
        <v>0</v>
      </c>
      <c r="T492" s="300">
        <f t="shared" si="68"/>
        <v>0</v>
      </c>
      <c r="U492" s="300">
        <f t="shared" si="69"/>
        <v>0</v>
      </c>
      <c r="V492" s="300">
        <f t="shared" si="70"/>
        <v>0</v>
      </c>
      <c r="W492" s="300">
        <f t="shared" si="71"/>
        <v>0</v>
      </c>
      <c r="X492" s="300">
        <f t="shared" si="72"/>
        <v>0</v>
      </c>
      <c r="Y492" s="300">
        <f t="shared" si="73"/>
        <v>0</v>
      </c>
      <c r="Z492"/>
      <c r="AA492"/>
      <c r="AB492"/>
    </row>
    <row r="493" spans="1:28" x14ac:dyDescent="0.35">
      <c r="A493" s="299"/>
      <c r="B493" s="515">
        <v>3.5746457953399999E-4</v>
      </c>
      <c r="C493" s="515">
        <v>2.7969391454183999E-2</v>
      </c>
      <c r="D493" s="515">
        <v>1.982079219172423</v>
      </c>
      <c r="E493" s="515">
        <v>0.22437249464284001</v>
      </c>
      <c r="F493" s="515">
        <v>5.1660341437769998E-3</v>
      </c>
      <c r="G493" s="299"/>
      <c r="H493" s="300">
        <f t="shared" si="65"/>
        <v>0</v>
      </c>
      <c r="I493" s="299"/>
      <c r="J493" s="1"/>
      <c r="K493" s="299"/>
      <c r="L493" s="1"/>
      <c r="M493" s="299"/>
      <c r="N493" s="299"/>
      <c r="O493" s="299"/>
      <c r="P493" s="299"/>
      <c r="Q493" s="298"/>
      <c r="R493" s="300">
        <f t="shared" si="66"/>
        <v>0</v>
      </c>
      <c r="S493" s="300">
        <f t="shared" si="67"/>
        <v>0</v>
      </c>
      <c r="T493" s="300">
        <f t="shared" si="68"/>
        <v>0</v>
      </c>
      <c r="U493" s="300">
        <f t="shared" si="69"/>
        <v>0</v>
      </c>
      <c r="V493" s="300">
        <f t="shared" si="70"/>
        <v>0</v>
      </c>
      <c r="W493" s="300">
        <f t="shared" si="71"/>
        <v>0</v>
      </c>
      <c r="X493" s="300">
        <f t="shared" si="72"/>
        <v>0</v>
      </c>
      <c r="Y493" s="300">
        <f t="shared" si="73"/>
        <v>0</v>
      </c>
      <c r="Z493"/>
      <c r="AA493"/>
      <c r="AB493"/>
    </row>
    <row r="494" spans="1:28" x14ac:dyDescent="0.35">
      <c r="A494" s="299"/>
      <c r="B494" s="515">
        <v>9.3348459945333637</v>
      </c>
      <c r="C494" s="515">
        <v>-0.65885534488068997</v>
      </c>
      <c r="D494" s="515">
        <v>0.49377878382669599</v>
      </c>
      <c r="E494" s="515">
        <v>0.12566848797984301</v>
      </c>
      <c r="F494" s="515">
        <v>7.9533168702589002E-2</v>
      </c>
      <c r="G494" s="299"/>
      <c r="H494" s="300">
        <f t="shared" si="65"/>
        <v>0</v>
      </c>
      <c r="I494" s="299"/>
      <c r="J494" s="1"/>
      <c r="K494" s="299"/>
      <c r="L494" s="1"/>
      <c r="M494" s="299"/>
      <c r="N494" s="299"/>
      <c r="O494" s="299"/>
      <c r="P494" s="299"/>
      <c r="Q494" s="298"/>
      <c r="R494" s="300">
        <f t="shared" si="66"/>
        <v>0</v>
      </c>
      <c r="S494" s="300">
        <f t="shared" si="67"/>
        <v>0</v>
      </c>
      <c r="T494" s="300">
        <f t="shared" si="68"/>
        <v>0</v>
      </c>
      <c r="U494" s="300">
        <f t="shared" si="69"/>
        <v>0</v>
      </c>
      <c r="V494" s="300">
        <f t="shared" si="70"/>
        <v>0</v>
      </c>
      <c r="W494" s="300">
        <f t="shared" si="71"/>
        <v>0</v>
      </c>
      <c r="X494" s="300">
        <f t="shared" si="72"/>
        <v>0</v>
      </c>
      <c r="Y494" s="300">
        <f t="shared" si="73"/>
        <v>0</v>
      </c>
      <c r="Z494"/>
      <c r="AA494"/>
      <c r="AB494"/>
    </row>
    <row r="495" spans="1:28" x14ac:dyDescent="0.35">
      <c r="A495" s="299"/>
      <c r="B495" s="515">
        <v>4.4660267167589316</v>
      </c>
      <c r="C495" s="515">
        <v>9.6053532832435007E-2</v>
      </c>
      <c r="D495" s="515">
        <v>1.3857918645810601</v>
      </c>
      <c r="E495" s="515">
        <v>1.9808284046900001E-4</v>
      </c>
      <c r="F495" s="515">
        <v>6.2369111446589E-2</v>
      </c>
      <c r="G495" s="299"/>
      <c r="H495" s="300">
        <f t="shared" si="65"/>
        <v>0</v>
      </c>
      <c r="I495" s="299"/>
      <c r="J495" s="1"/>
      <c r="K495" s="299"/>
      <c r="L495" s="1"/>
      <c r="M495" s="299"/>
      <c r="N495" s="299"/>
      <c r="O495" s="299"/>
      <c r="P495" s="299"/>
      <c r="Q495" s="298"/>
      <c r="R495" s="300">
        <f t="shared" si="66"/>
        <v>0</v>
      </c>
      <c r="S495" s="300">
        <f t="shared" si="67"/>
        <v>0</v>
      </c>
      <c r="T495" s="300">
        <f t="shared" si="68"/>
        <v>0</v>
      </c>
      <c r="U495" s="300">
        <f t="shared" si="69"/>
        <v>0</v>
      </c>
      <c r="V495" s="300">
        <f t="shared" si="70"/>
        <v>0</v>
      </c>
      <c r="W495" s="300">
        <f t="shared" si="71"/>
        <v>0</v>
      </c>
      <c r="X495" s="300">
        <f t="shared" si="72"/>
        <v>0</v>
      </c>
      <c r="Y495" s="300">
        <f t="shared" si="73"/>
        <v>0</v>
      </c>
      <c r="Z495"/>
      <c r="AA495"/>
      <c r="AB495"/>
    </row>
    <row r="496" spans="1:28" x14ac:dyDescent="0.35">
      <c r="A496" s="299"/>
      <c r="B496" s="515">
        <v>3.0186552543E-5</v>
      </c>
      <c r="C496" s="515">
        <v>2.7977819187134999E-2</v>
      </c>
      <c r="D496" s="515">
        <v>1.9822202429172331</v>
      </c>
      <c r="E496" s="515">
        <v>0.22436776791101701</v>
      </c>
      <c r="F496" s="515">
        <v>5.1622567899839997E-3</v>
      </c>
      <c r="G496" s="299"/>
      <c r="H496" s="300">
        <f t="shared" si="65"/>
        <v>0</v>
      </c>
      <c r="I496" s="299"/>
      <c r="J496" s="1"/>
      <c r="K496" s="299"/>
      <c r="L496" s="1"/>
      <c r="M496" s="299"/>
      <c r="N496" s="299"/>
      <c r="O496" s="299"/>
      <c r="P496" s="299"/>
      <c r="Q496" s="298"/>
      <c r="R496" s="300">
        <f t="shared" si="66"/>
        <v>0</v>
      </c>
      <c r="S496" s="300">
        <f t="shared" si="67"/>
        <v>0</v>
      </c>
      <c r="T496" s="300">
        <f t="shared" si="68"/>
        <v>0</v>
      </c>
      <c r="U496" s="300">
        <f t="shared" si="69"/>
        <v>0</v>
      </c>
      <c r="V496" s="300">
        <f t="shared" si="70"/>
        <v>0</v>
      </c>
      <c r="W496" s="300">
        <f t="shared" si="71"/>
        <v>0</v>
      </c>
      <c r="X496" s="300">
        <f t="shared" si="72"/>
        <v>0</v>
      </c>
      <c r="Y496" s="300">
        <f t="shared" si="73"/>
        <v>0</v>
      </c>
      <c r="Z496"/>
      <c r="AA496"/>
      <c r="AB496"/>
    </row>
    <row r="497" spans="1:28" x14ac:dyDescent="0.35">
      <c r="A497" s="299"/>
      <c r="B497" s="515">
        <v>0.56368541290641405</v>
      </c>
      <c r="C497" s="515">
        <v>5.2820875175333001E-2</v>
      </c>
      <c r="D497" s="515">
        <v>1.934357924441175</v>
      </c>
      <c r="E497" s="515">
        <v>0.228813771641908</v>
      </c>
      <c r="F497" s="515">
        <v>5.8947387874020004E-3</v>
      </c>
      <c r="G497" s="299"/>
      <c r="H497" s="300">
        <f t="shared" si="65"/>
        <v>0</v>
      </c>
      <c r="I497" s="299"/>
      <c r="J497" s="1"/>
      <c r="K497" s="299"/>
      <c r="L497" s="1"/>
      <c r="M497" s="299"/>
      <c r="N497" s="299"/>
      <c r="O497" s="299"/>
      <c r="P497" s="299"/>
      <c r="Q497" s="298"/>
      <c r="R497" s="300">
        <f t="shared" si="66"/>
        <v>0</v>
      </c>
      <c r="S497" s="300">
        <f t="shared" si="67"/>
        <v>0</v>
      </c>
      <c r="T497" s="300">
        <f t="shared" si="68"/>
        <v>0</v>
      </c>
      <c r="U497" s="300">
        <f t="shared" si="69"/>
        <v>0</v>
      </c>
      <c r="V497" s="300">
        <f t="shared" si="70"/>
        <v>0</v>
      </c>
      <c r="W497" s="300">
        <f t="shared" si="71"/>
        <v>0</v>
      </c>
      <c r="X497" s="300">
        <f t="shared" si="72"/>
        <v>0</v>
      </c>
      <c r="Y497" s="300">
        <f t="shared" si="73"/>
        <v>0</v>
      </c>
      <c r="Z497"/>
      <c r="AA497"/>
      <c r="AB497"/>
    </row>
    <row r="498" spans="1:28" x14ac:dyDescent="0.35">
      <c r="A498" s="299"/>
      <c r="B498" s="515">
        <v>0.75423441233298105</v>
      </c>
      <c r="C498" s="515">
        <v>6.4484680571020997E-2</v>
      </c>
      <c r="D498" s="515">
        <v>1.9189003445959589</v>
      </c>
      <c r="E498" s="515">
        <v>0.229848673509673</v>
      </c>
      <c r="F498" s="515">
        <v>6.0563819071109996E-3</v>
      </c>
      <c r="G498" s="299"/>
      <c r="H498" s="300">
        <f t="shared" si="65"/>
        <v>0</v>
      </c>
      <c r="I498" s="299"/>
      <c r="J498" s="1"/>
      <c r="K498" s="299"/>
      <c r="L498" s="1"/>
      <c r="M498" s="299"/>
      <c r="N498" s="299"/>
      <c r="O498" s="299"/>
      <c r="P498" s="299"/>
      <c r="Q498" s="298"/>
      <c r="R498" s="300">
        <f t="shared" si="66"/>
        <v>0</v>
      </c>
      <c r="S498" s="300">
        <f t="shared" si="67"/>
        <v>0</v>
      </c>
      <c r="T498" s="300">
        <f t="shared" si="68"/>
        <v>0</v>
      </c>
      <c r="U498" s="300">
        <f t="shared" si="69"/>
        <v>0</v>
      </c>
      <c r="V498" s="300">
        <f t="shared" si="70"/>
        <v>0</v>
      </c>
      <c r="W498" s="300">
        <f t="shared" si="71"/>
        <v>0</v>
      </c>
      <c r="X498" s="300">
        <f t="shared" si="72"/>
        <v>0</v>
      </c>
      <c r="Y498" s="300">
        <f t="shared" si="73"/>
        <v>0</v>
      </c>
      <c r="Z498"/>
      <c r="AA498"/>
      <c r="AB498"/>
    </row>
    <row r="499" spans="1:28" x14ac:dyDescent="0.35">
      <c r="A499" s="299"/>
      <c r="B499" s="515">
        <v>4.1762123259569003E-2</v>
      </c>
      <c r="C499" s="515">
        <v>-0.44781353307990301</v>
      </c>
      <c r="D499" s="515">
        <v>1.431735995458854</v>
      </c>
      <c r="E499" s="515">
        <v>2.23773971086E-4</v>
      </c>
      <c r="F499" s="515">
        <v>5.4712564964403E-2</v>
      </c>
      <c r="G499" s="299"/>
      <c r="H499" s="300">
        <f t="shared" si="65"/>
        <v>0</v>
      </c>
      <c r="I499" s="299"/>
      <c r="J499" s="1"/>
      <c r="K499" s="299"/>
      <c r="L499" s="1"/>
      <c r="M499" s="299"/>
      <c r="N499" s="299"/>
      <c r="O499" s="299"/>
      <c r="P499" s="299"/>
      <c r="Q499" s="298"/>
      <c r="R499" s="300">
        <f t="shared" si="66"/>
        <v>0</v>
      </c>
      <c r="S499" s="300">
        <f t="shared" si="67"/>
        <v>0</v>
      </c>
      <c r="T499" s="300">
        <f t="shared" si="68"/>
        <v>0</v>
      </c>
      <c r="U499" s="300">
        <f t="shared" si="69"/>
        <v>0</v>
      </c>
      <c r="V499" s="300">
        <f t="shared" si="70"/>
        <v>0</v>
      </c>
      <c r="W499" s="300">
        <f t="shared" si="71"/>
        <v>0</v>
      </c>
      <c r="X499" s="300">
        <f t="shared" si="72"/>
        <v>0</v>
      </c>
      <c r="Y499" s="300">
        <f t="shared" si="73"/>
        <v>0</v>
      </c>
      <c r="Z499"/>
      <c r="AA499"/>
      <c r="AB499"/>
    </row>
    <row r="500" spans="1:28" x14ac:dyDescent="0.35">
      <c r="A500" s="299"/>
      <c r="B500" s="515">
        <v>14.2105560107596</v>
      </c>
      <c r="C500" s="515">
        <v>-0.317408600966884</v>
      </c>
      <c r="D500" s="515">
        <v>1.720031506700672</v>
      </c>
      <c r="E500" s="515">
        <v>0.16525724605039199</v>
      </c>
      <c r="F500" s="515">
        <v>7.1409364630575997E-2</v>
      </c>
      <c r="G500" s="299"/>
      <c r="H500" s="300">
        <f t="shared" si="65"/>
        <v>0</v>
      </c>
      <c r="I500" s="299"/>
      <c r="J500" s="1"/>
      <c r="K500" s="299"/>
      <c r="L500" s="1"/>
      <c r="M500" s="299"/>
      <c r="N500" s="299"/>
      <c r="O500" s="299"/>
      <c r="P500" s="299"/>
      <c r="Q500" s="298"/>
      <c r="R500" s="300">
        <f t="shared" si="66"/>
        <v>0</v>
      </c>
      <c r="S500" s="300">
        <f t="shared" si="67"/>
        <v>0</v>
      </c>
      <c r="T500" s="300">
        <f t="shared" si="68"/>
        <v>0</v>
      </c>
      <c r="U500" s="300">
        <f t="shared" si="69"/>
        <v>0</v>
      </c>
      <c r="V500" s="300">
        <f t="shared" si="70"/>
        <v>0</v>
      </c>
      <c r="W500" s="300">
        <f t="shared" si="71"/>
        <v>0</v>
      </c>
      <c r="X500" s="300">
        <f t="shared" si="72"/>
        <v>0</v>
      </c>
      <c r="Y500" s="300">
        <f t="shared" si="73"/>
        <v>0</v>
      </c>
      <c r="Z500"/>
      <c r="AA500"/>
      <c r="AB500"/>
    </row>
    <row r="501" spans="1:28" x14ac:dyDescent="0.35">
      <c r="A501" s="299"/>
      <c r="B501" s="515">
        <v>18.07484122774385</v>
      </c>
      <c r="C501" s="515">
        <v>-3.294999255214099</v>
      </c>
      <c r="D501" s="515">
        <v>3.33099542892101</v>
      </c>
      <c r="E501" s="515">
        <v>0.27099996519997299</v>
      </c>
      <c r="F501" s="515">
        <v>6.3868526829044994E-2</v>
      </c>
      <c r="G501" s="299"/>
      <c r="H501" s="300">
        <f t="shared" si="65"/>
        <v>0</v>
      </c>
      <c r="I501" s="299"/>
      <c r="J501" s="1"/>
      <c r="K501" s="299"/>
      <c r="L501" s="1"/>
      <c r="M501" s="299"/>
      <c r="N501" s="299"/>
      <c r="O501" s="299"/>
      <c r="P501" s="299"/>
      <c r="Q501" s="298"/>
      <c r="R501" s="300">
        <f t="shared" si="66"/>
        <v>0</v>
      </c>
      <c r="S501" s="300">
        <f t="shared" si="67"/>
        <v>0</v>
      </c>
      <c r="T501" s="300">
        <f t="shared" si="68"/>
        <v>0</v>
      </c>
      <c r="U501" s="300">
        <f t="shared" si="69"/>
        <v>0</v>
      </c>
      <c r="V501" s="300">
        <f t="shared" si="70"/>
        <v>0</v>
      </c>
      <c r="W501" s="300">
        <f t="shared" si="71"/>
        <v>0</v>
      </c>
      <c r="X501" s="300">
        <f t="shared" si="72"/>
        <v>0</v>
      </c>
      <c r="Y501" s="300">
        <f t="shared" si="73"/>
        <v>0</v>
      </c>
      <c r="Z501"/>
      <c r="AA501"/>
      <c r="AB501"/>
    </row>
    <row r="502" spans="1:28" x14ac:dyDescent="0.35">
      <c r="A502" s="299"/>
      <c r="B502" s="515">
        <v>4.2275057697298424</v>
      </c>
      <c r="C502" s="515">
        <v>4.4774965454532002E-2</v>
      </c>
      <c r="D502" s="515">
        <v>1.661337229210873</v>
      </c>
      <c r="E502" s="515">
        <v>0.20649828746089399</v>
      </c>
      <c r="F502" s="515">
        <v>2.8351756863793001E-2</v>
      </c>
      <c r="G502" s="299"/>
      <c r="H502" s="300">
        <f t="shared" si="65"/>
        <v>0</v>
      </c>
      <c r="I502" s="299"/>
      <c r="J502" s="1"/>
      <c r="K502" s="299"/>
      <c r="L502" s="1"/>
      <c r="M502" s="299"/>
      <c r="N502" s="299"/>
      <c r="O502" s="299"/>
      <c r="P502" s="299"/>
      <c r="Q502" s="298"/>
      <c r="R502" s="300">
        <f t="shared" si="66"/>
        <v>0</v>
      </c>
      <c r="S502" s="300">
        <f t="shared" si="67"/>
        <v>0</v>
      </c>
      <c r="T502" s="300">
        <f t="shared" si="68"/>
        <v>0</v>
      </c>
      <c r="U502" s="300">
        <f t="shared" si="69"/>
        <v>0</v>
      </c>
      <c r="V502" s="300">
        <f t="shared" si="70"/>
        <v>0</v>
      </c>
      <c r="W502" s="300">
        <f t="shared" si="71"/>
        <v>0</v>
      </c>
      <c r="X502" s="300">
        <f t="shared" si="72"/>
        <v>0</v>
      </c>
      <c r="Y502" s="300">
        <f t="shared" si="73"/>
        <v>0</v>
      </c>
      <c r="Z502"/>
      <c r="AA502"/>
      <c r="AB502"/>
    </row>
    <row r="503" spans="1:28" x14ac:dyDescent="0.35">
      <c r="A503" s="299"/>
      <c r="B503" s="515">
        <v>8.8995969600269998E-3</v>
      </c>
      <c r="C503" s="515">
        <v>-3.2897365419328661</v>
      </c>
      <c r="D503" s="515">
        <v>0.85497053278186397</v>
      </c>
      <c r="E503" s="515">
        <v>0.102834235774039</v>
      </c>
      <c r="F503" s="515">
        <v>6.0933232088319002E-2</v>
      </c>
      <c r="G503" s="299"/>
      <c r="H503" s="300">
        <f t="shared" si="65"/>
        <v>0</v>
      </c>
      <c r="I503" s="299"/>
      <c r="J503" s="1"/>
      <c r="K503" s="299"/>
      <c r="L503" s="1"/>
      <c r="M503" s="299"/>
      <c r="N503" s="299"/>
      <c r="O503" s="299"/>
      <c r="P503" s="299"/>
      <c r="Q503" s="298"/>
      <c r="R503" s="300">
        <f t="shared" si="66"/>
        <v>0</v>
      </c>
      <c r="S503" s="300">
        <f t="shared" si="67"/>
        <v>0</v>
      </c>
      <c r="T503" s="300">
        <f t="shared" si="68"/>
        <v>0</v>
      </c>
      <c r="U503" s="300">
        <f t="shared" si="69"/>
        <v>0</v>
      </c>
      <c r="V503" s="300">
        <f t="shared" si="70"/>
        <v>0</v>
      </c>
      <c r="W503" s="300">
        <f t="shared" si="71"/>
        <v>0</v>
      </c>
      <c r="X503" s="300">
        <f t="shared" si="72"/>
        <v>0</v>
      </c>
      <c r="Y503" s="300">
        <f t="shared" si="73"/>
        <v>0</v>
      </c>
      <c r="Z503"/>
      <c r="AA503"/>
      <c r="AB503"/>
    </row>
    <row r="504" spans="1:28" x14ac:dyDescent="0.35">
      <c r="A504" s="299"/>
      <c r="B504" s="515">
        <v>0.61559608394953502</v>
      </c>
      <c r="C504" s="515">
        <v>-3.2253737269821601</v>
      </c>
      <c r="D504" s="515">
        <v>2.067883819986081</v>
      </c>
      <c r="E504" s="515">
        <v>0.123537433582783</v>
      </c>
      <c r="F504" s="515">
        <v>4.9149481451922002E-2</v>
      </c>
      <c r="G504" s="299"/>
      <c r="H504" s="300">
        <f t="shared" si="65"/>
        <v>0</v>
      </c>
      <c r="I504" s="299"/>
      <c r="J504" s="1"/>
      <c r="K504" s="299"/>
      <c r="L504" s="1"/>
      <c r="M504" s="299"/>
      <c r="N504" s="299"/>
      <c r="O504" s="299"/>
      <c r="P504" s="299"/>
      <c r="Q504" s="298"/>
      <c r="R504" s="300">
        <f t="shared" si="66"/>
        <v>0</v>
      </c>
      <c r="S504" s="300">
        <f t="shared" si="67"/>
        <v>0</v>
      </c>
      <c r="T504" s="300">
        <f t="shared" si="68"/>
        <v>0</v>
      </c>
      <c r="U504" s="300">
        <f t="shared" si="69"/>
        <v>0</v>
      </c>
      <c r="V504" s="300">
        <f t="shared" si="70"/>
        <v>0</v>
      </c>
      <c r="W504" s="300">
        <f t="shared" si="71"/>
        <v>0</v>
      </c>
      <c r="X504" s="300">
        <f t="shared" si="72"/>
        <v>0</v>
      </c>
      <c r="Y504" s="300">
        <f t="shared" si="73"/>
        <v>0</v>
      </c>
      <c r="Z504"/>
      <c r="AA504"/>
      <c r="AB504"/>
    </row>
    <row r="505" spans="1:28" x14ac:dyDescent="0.35">
      <c r="A505" s="299"/>
      <c r="B505" s="515">
        <v>1.86987244021E-4</v>
      </c>
      <c r="C505" s="515">
        <v>2.8036323125718E-2</v>
      </c>
      <c r="D505" s="515">
        <v>1.982636646431148</v>
      </c>
      <c r="E505" s="515">
        <v>0.224400634035653</v>
      </c>
      <c r="F505" s="515">
        <v>5.145144196496E-3</v>
      </c>
      <c r="G505" s="299"/>
      <c r="H505" s="300">
        <f t="shared" si="65"/>
        <v>0</v>
      </c>
      <c r="I505" s="299"/>
      <c r="J505" s="1"/>
      <c r="K505" s="299"/>
      <c r="L505" s="1"/>
      <c r="M505" s="299"/>
      <c r="N505" s="299"/>
      <c r="O505" s="299"/>
      <c r="P505" s="299"/>
      <c r="Q505" s="298"/>
      <c r="R505" s="300">
        <f t="shared" si="66"/>
        <v>0</v>
      </c>
      <c r="S505" s="300">
        <f t="shared" si="67"/>
        <v>0</v>
      </c>
      <c r="T505" s="300">
        <f t="shared" si="68"/>
        <v>0</v>
      </c>
      <c r="U505" s="300">
        <f t="shared" si="69"/>
        <v>0</v>
      </c>
      <c r="V505" s="300">
        <f t="shared" si="70"/>
        <v>0</v>
      </c>
      <c r="W505" s="300">
        <f t="shared" si="71"/>
        <v>0</v>
      </c>
      <c r="X505" s="300">
        <f t="shared" si="72"/>
        <v>0</v>
      </c>
      <c r="Y505" s="300">
        <f t="shared" si="73"/>
        <v>0</v>
      </c>
      <c r="Z505"/>
      <c r="AA505"/>
      <c r="AB505"/>
    </row>
    <row r="506" spans="1:28" x14ac:dyDescent="0.35">
      <c r="A506" s="299"/>
      <c r="B506" s="515">
        <v>9.6772415150115982</v>
      </c>
      <c r="C506" s="515">
        <v>-3.2895607907447881</v>
      </c>
      <c r="D506" s="515">
        <v>1.346137710336667</v>
      </c>
      <c r="E506" s="515">
        <v>0.146928919719989</v>
      </c>
      <c r="F506" s="515">
        <v>7.4726881770881007E-2</v>
      </c>
      <c r="G506" s="299"/>
      <c r="H506" s="300">
        <f t="shared" si="65"/>
        <v>0</v>
      </c>
      <c r="I506" s="299"/>
      <c r="J506" s="1"/>
      <c r="K506" s="299"/>
      <c r="L506" s="1"/>
      <c r="M506" s="299"/>
      <c r="N506" s="299"/>
      <c r="O506" s="299"/>
      <c r="P506" s="299"/>
      <c r="Q506" s="298"/>
      <c r="R506" s="300">
        <f t="shared" si="66"/>
        <v>0</v>
      </c>
      <c r="S506" s="300">
        <f t="shared" si="67"/>
        <v>0</v>
      </c>
      <c r="T506" s="300">
        <f t="shared" si="68"/>
        <v>0</v>
      </c>
      <c r="U506" s="300">
        <f t="shared" si="69"/>
        <v>0</v>
      </c>
      <c r="V506" s="300">
        <f t="shared" si="70"/>
        <v>0</v>
      </c>
      <c r="W506" s="300">
        <f t="shared" si="71"/>
        <v>0</v>
      </c>
      <c r="X506" s="300">
        <f t="shared" si="72"/>
        <v>0</v>
      </c>
      <c r="Y506" s="300">
        <f t="shared" si="73"/>
        <v>0</v>
      </c>
      <c r="Z506"/>
      <c r="AA506"/>
      <c r="AB506"/>
    </row>
    <row r="507" spans="1:28" x14ac:dyDescent="0.35">
      <c r="A507" s="299"/>
      <c r="B507" s="515">
        <v>0.313276696646477</v>
      </c>
      <c r="C507" s="515">
        <v>-1.06373629734963</v>
      </c>
      <c r="D507" s="515">
        <v>1.5044351363755899</v>
      </c>
      <c r="E507" s="515">
        <v>0.17614189759583401</v>
      </c>
      <c r="F507" s="515">
        <v>3.4832859790873E-2</v>
      </c>
      <c r="G507" s="299"/>
      <c r="H507" s="300">
        <f t="shared" si="65"/>
        <v>0</v>
      </c>
      <c r="I507" s="299"/>
      <c r="J507" s="1"/>
      <c r="K507" s="299"/>
      <c r="L507" s="1"/>
      <c r="M507" s="299"/>
      <c r="N507" s="299"/>
      <c r="O507" s="299"/>
      <c r="P507" s="299"/>
      <c r="Q507" s="298"/>
      <c r="R507" s="300">
        <f t="shared" si="66"/>
        <v>0</v>
      </c>
      <c r="S507" s="300">
        <f t="shared" si="67"/>
        <v>0</v>
      </c>
      <c r="T507" s="300">
        <f t="shared" si="68"/>
        <v>0</v>
      </c>
      <c r="U507" s="300">
        <f t="shared" si="69"/>
        <v>0</v>
      </c>
      <c r="V507" s="300">
        <f t="shared" si="70"/>
        <v>0</v>
      </c>
      <c r="W507" s="300">
        <f t="shared" si="71"/>
        <v>0</v>
      </c>
      <c r="X507" s="300">
        <f t="shared" si="72"/>
        <v>0</v>
      </c>
      <c r="Y507" s="300">
        <f t="shared" si="73"/>
        <v>0</v>
      </c>
      <c r="Z507"/>
      <c r="AA507"/>
      <c r="AB507"/>
    </row>
    <row r="508" spans="1:28" x14ac:dyDescent="0.35">
      <c r="A508" s="299"/>
      <c r="B508" s="515">
        <v>0.60451134544047902</v>
      </c>
      <c r="C508" s="515">
        <v>6.0496144041820001E-2</v>
      </c>
      <c r="D508" s="515">
        <v>1.9272467416340291</v>
      </c>
      <c r="E508" s="515">
        <v>0.22535410231101499</v>
      </c>
      <c r="F508" s="515">
        <v>6.502688463881E-3</v>
      </c>
      <c r="G508" s="299"/>
      <c r="H508" s="300">
        <f t="shared" si="65"/>
        <v>0</v>
      </c>
      <c r="I508" s="299"/>
      <c r="J508" s="1"/>
      <c r="K508" s="299"/>
      <c r="L508" s="1"/>
      <c r="M508" s="299"/>
      <c r="N508" s="299"/>
      <c r="O508" s="299"/>
      <c r="P508" s="299"/>
      <c r="Q508" s="298"/>
      <c r="R508" s="300">
        <f t="shared" si="66"/>
        <v>0</v>
      </c>
      <c r="S508" s="300">
        <f t="shared" si="67"/>
        <v>0</v>
      </c>
      <c r="T508" s="300">
        <f t="shared" si="68"/>
        <v>0</v>
      </c>
      <c r="U508" s="300">
        <f t="shared" si="69"/>
        <v>0</v>
      </c>
      <c r="V508" s="300">
        <f t="shared" si="70"/>
        <v>0</v>
      </c>
      <c r="W508" s="300">
        <f t="shared" si="71"/>
        <v>0</v>
      </c>
      <c r="X508" s="300">
        <f t="shared" si="72"/>
        <v>0</v>
      </c>
      <c r="Y508" s="300">
        <f t="shared" si="73"/>
        <v>0</v>
      </c>
      <c r="Z508"/>
      <c r="AA508"/>
      <c r="AB508"/>
    </row>
    <row r="509" spans="1:28" x14ac:dyDescent="0.35">
      <c r="A509" s="299"/>
      <c r="B509" s="515">
        <v>5.714012066929989</v>
      </c>
      <c r="C509" s="515">
        <v>-3.2869296744416561</v>
      </c>
      <c r="D509" s="515">
        <v>3.31170209131913</v>
      </c>
      <c r="E509" s="515">
        <v>3.1368413559354998E-2</v>
      </c>
      <c r="F509" s="515">
        <v>4.837705205238E-2</v>
      </c>
      <c r="G509" s="299"/>
      <c r="H509" s="300">
        <f t="shared" si="65"/>
        <v>0</v>
      </c>
      <c r="I509" s="299"/>
      <c r="J509" s="1"/>
      <c r="K509" s="299"/>
      <c r="L509" s="1"/>
      <c r="M509" s="299"/>
      <c r="N509" s="299"/>
      <c r="O509" s="299"/>
      <c r="P509" s="299"/>
      <c r="Q509" s="298"/>
      <c r="R509" s="300">
        <f t="shared" si="66"/>
        <v>0</v>
      </c>
      <c r="S509" s="300">
        <f t="shared" si="67"/>
        <v>0</v>
      </c>
      <c r="T509" s="300">
        <f t="shared" si="68"/>
        <v>0</v>
      </c>
      <c r="U509" s="300">
        <f t="shared" si="69"/>
        <v>0</v>
      </c>
      <c r="V509" s="300">
        <f t="shared" si="70"/>
        <v>0</v>
      </c>
      <c r="W509" s="300">
        <f t="shared" si="71"/>
        <v>0</v>
      </c>
      <c r="X509" s="300">
        <f t="shared" si="72"/>
        <v>0</v>
      </c>
      <c r="Y509" s="300">
        <f t="shared" si="73"/>
        <v>0</v>
      </c>
      <c r="Z509"/>
      <c r="AA509"/>
      <c r="AB509"/>
    </row>
    <row r="510" spans="1:28" x14ac:dyDescent="0.35">
      <c r="A510" s="299"/>
      <c r="B510" s="515">
        <v>4.4601394827762686</v>
      </c>
      <c r="C510" s="515">
        <v>9.6659508278948994E-2</v>
      </c>
      <c r="D510" s="515">
        <v>1.3898012315346091</v>
      </c>
      <c r="E510" s="515">
        <v>8.3116185009700003E-4</v>
      </c>
      <c r="F510" s="515">
        <v>6.2162899557427001E-2</v>
      </c>
      <c r="G510" s="299"/>
      <c r="H510" s="300">
        <f t="shared" si="65"/>
        <v>0</v>
      </c>
      <c r="I510" s="299"/>
      <c r="J510" s="1"/>
      <c r="K510" s="299"/>
      <c r="L510" s="1"/>
      <c r="M510" s="299"/>
      <c r="N510" s="299"/>
      <c r="O510" s="299"/>
      <c r="P510" s="299"/>
      <c r="Q510" s="298"/>
      <c r="R510" s="300">
        <f t="shared" si="66"/>
        <v>0</v>
      </c>
      <c r="S510" s="300">
        <f t="shared" si="67"/>
        <v>0</v>
      </c>
      <c r="T510" s="300">
        <f t="shared" si="68"/>
        <v>0</v>
      </c>
      <c r="U510" s="300">
        <f t="shared" si="69"/>
        <v>0</v>
      </c>
      <c r="V510" s="300">
        <f t="shared" si="70"/>
        <v>0</v>
      </c>
      <c r="W510" s="300">
        <f t="shared" si="71"/>
        <v>0</v>
      </c>
      <c r="X510" s="300">
        <f t="shared" si="72"/>
        <v>0</v>
      </c>
      <c r="Y510" s="300">
        <f t="shared" si="73"/>
        <v>0</v>
      </c>
      <c r="Z510"/>
      <c r="AA510"/>
      <c r="AB510"/>
    </row>
    <row r="511" spans="1:28" x14ac:dyDescent="0.35">
      <c r="A511" s="299"/>
      <c r="B511" s="515">
        <v>10.754323152529871</v>
      </c>
      <c r="C511" s="515">
        <v>1.5577096080269999E-2</v>
      </c>
      <c r="D511" s="515">
        <v>1.287308365774394</v>
      </c>
      <c r="E511" s="515">
        <v>3.2648241736478997E-2</v>
      </c>
      <c r="F511" s="515">
        <v>7.6063569983488996E-2</v>
      </c>
      <c r="G511" s="299"/>
      <c r="H511" s="300">
        <f t="shared" si="65"/>
        <v>0</v>
      </c>
      <c r="I511" s="299"/>
      <c r="J511" s="1"/>
      <c r="K511" s="299"/>
      <c r="L511" s="1"/>
      <c r="M511" s="299"/>
      <c r="N511" s="299"/>
      <c r="O511" s="299"/>
      <c r="P511" s="299"/>
      <c r="Q511" s="298"/>
      <c r="R511" s="300">
        <f t="shared" si="66"/>
        <v>0</v>
      </c>
      <c r="S511" s="300">
        <f t="shared" si="67"/>
        <v>0</v>
      </c>
      <c r="T511" s="300">
        <f t="shared" si="68"/>
        <v>0</v>
      </c>
      <c r="U511" s="300">
        <f t="shared" si="69"/>
        <v>0</v>
      </c>
      <c r="V511" s="300">
        <f t="shared" si="70"/>
        <v>0</v>
      </c>
      <c r="W511" s="300">
        <f t="shared" si="71"/>
        <v>0</v>
      </c>
      <c r="X511" s="300">
        <f t="shared" si="72"/>
        <v>0</v>
      </c>
      <c r="Y511" s="300">
        <f t="shared" si="73"/>
        <v>0</v>
      </c>
      <c r="Z511"/>
      <c r="AA511"/>
      <c r="AB511"/>
    </row>
    <row r="512" spans="1:28" x14ac:dyDescent="0.35">
      <c r="A512" s="299"/>
      <c r="B512" s="515">
        <v>28.318407236731328</v>
      </c>
      <c r="C512" s="515">
        <v>-0.12797417204651801</v>
      </c>
      <c r="D512" s="515">
        <v>2.976180567180557</v>
      </c>
      <c r="E512" s="515">
        <v>0.27049781501881298</v>
      </c>
      <c r="F512" s="515">
        <v>5.2019526697532001E-2</v>
      </c>
      <c r="G512" s="299"/>
      <c r="H512" s="300">
        <f t="shared" si="65"/>
        <v>0</v>
      </c>
      <c r="I512" s="299"/>
      <c r="J512" s="1"/>
      <c r="K512" s="299"/>
      <c r="L512" s="1"/>
      <c r="M512" s="299"/>
      <c r="N512" s="299"/>
      <c r="O512" s="299"/>
      <c r="P512" s="299"/>
      <c r="Q512" s="298"/>
      <c r="R512" s="300">
        <f t="shared" si="66"/>
        <v>0</v>
      </c>
      <c r="S512" s="300">
        <f t="shared" si="67"/>
        <v>0</v>
      </c>
      <c r="T512" s="300">
        <f t="shared" si="68"/>
        <v>0</v>
      </c>
      <c r="U512" s="300">
        <f t="shared" si="69"/>
        <v>0</v>
      </c>
      <c r="V512" s="300">
        <f t="shared" si="70"/>
        <v>0</v>
      </c>
      <c r="W512" s="300">
        <f t="shared" si="71"/>
        <v>0</v>
      </c>
      <c r="X512" s="300">
        <f t="shared" si="72"/>
        <v>0</v>
      </c>
      <c r="Y512" s="300">
        <f t="shared" si="73"/>
        <v>0</v>
      </c>
      <c r="Z512"/>
      <c r="AA512"/>
      <c r="AB512"/>
    </row>
    <row r="513" spans="1:28" x14ac:dyDescent="0.35">
      <c r="A513" s="299"/>
      <c r="B513" s="515">
        <v>9.9698133100000009E-7</v>
      </c>
      <c r="C513" s="515">
        <v>2.7928203317800999E-2</v>
      </c>
      <c r="D513" s="515">
        <v>1.9818581915892759</v>
      </c>
      <c r="E513" s="515">
        <v>0.224412188097594</v>
      </c>
      <c r="F513" s="515">
        <v>5.1618128931429997E-3</v>
      </c>
      <c r="G513" s="299"/>
      <c r="H513" s="300">
        <f t="shared" ref="H513:H576" si="74">SUMPRODUCT(B513:F513,B$61:F$61)</f>
        <v>0</v>
      </c>
      <c r="I513" s="299"/>
      <c r="J513" s="1"/>
      <c r="K513" s="299"/>
      <c r="L513" s="1"/>
      <c r="M513" s="299"/>
      <c r="N513" s="299"/>
      <c r="O513" s="299"/>
      <c r="P513" s="299"/>
      <c r="Q513" s="298"/>
      <c r="R513" s="300">
        <f t="shared" ref="R513:R576" si="75">SUMPRODUCT($B513:$F513,$K$64:$O$64)</f>
        <v>0</v>
      </c>
      <c r="S513" s="300">
        <f t="shared" ref="S513:S576" si="76">SUMPRODUCT($B513:$F513,$K$65:$O$65)</f>
        <v>0</v>
      </c>
      <c r="T513" s="300">
        <f t="shared" ref="T513:T576" si="77">SUMPRODUCT($B513:$F513,$K$66:$O$66)</f>
        <v>0</v>
      </c>
      <c r="U513" s="300">
        <f t="shared" ref="U513:U576" si="78">SUMPRODUCT($B513:$F513,$K$67:$O$67)</f>
        <v>0</v>
      </c>
      <c r="V513" s="300">
        <f t="shared" ref="V513:V576" si="79">SUMPRODUCT($B513:$F513,$K$68:$O$68)</f>
        <v>0</v>
      </c>
      <c r="W513" s="300">
        <f t="shared" ref="W513:W576" si="80">SUMPRODUCT($B513:$F513,$K$69:$O$69)</f>
        <v>0</v>
      </c>
      <c r="X513" s="300">
        <f t="shared" ref="X513:X576" si="81">SUMPRODUCT($B513:$F513,$K$70:$O$70)</f>
        <v>0</v>
      </c>
      <c r="Y513" s="300">
        <f t="shared" ref="Y513:Y576" si="82">SUMPRODUCT($B513:$F513,$K$71:$O$71)</f>
        <v>0</v>
      </c>
      <c r="Z513"/>
      <c r="AA513"/>
      <c r="AB513"/>
    </row>
    <row r="514" spans="1:28" x14ac:dyDescent="0.35">
      <c r="A514" s="299"/>
      <c r="B514" s="515">
        <v>3.1289002280137508</v>
      </c>
      <c r="C514" s="515">
        <v>-1.349685392142574</v>
      </c>
      <c r="D514" s="515">
        <v>1.3150557507109979</v>
      </c>
      <c r="E514" s="515">
        <v>0.13193480825957199</v>
      </c>
      <c r="F514" s="515">
        <v>5.9601336191623999E-2</v>
      </c>
      <c r="G514" s="299"/>
      <c r="H514" s="300">
        <f t="shared" si="74"/>
        <v>0</v>
      </c>
      <c r="I514" s="299"/>
      <c r="J514" s="1"/>
      <c r="K514" s="299"/>
      <c r="L514" s="1"/>
      <c r="M514" s="299"/>
      <c r="N514" s="299"/>
      <c r="O514" s="299"/>
      <c r="P514" s="299"/>
      <c r="Q514" s="298"/>
      <c r="R514" s="300">
        <f t="shared" si="75"/>
        <v>0</v>
      </c>
      <c r="S514" s="300">
        <f t="shared" si="76"/>
        <v>0</v>
      </c>
      <c r="T514" s="300">
        <f t="shared" si="77"/>
        <v>0</v>
      </c>
      <c r="U514" s="300">
        <f t="shared" si="78"/>
        <v>0</v>
      </c>
      <c r="V514" s="300">
        <f t="shared" si="79"/>
        <v>0</v>
      </c>
      <c r="W514" s="300">
        <f t="shared" si="80"/>
        <v>0</v>
      </c>
      <c r="X514" s="300">
        <f t="shared" si="81"/>
        <v>0</v>
      </c>
      <c r="Y514" s="300">
        <f t="shared" si="82"/>
        <v>0</v>
      </c>
      <c r="Z514"/>
      <c r="AA514"/>
      <c r="AB514"/>
    </row>
    <row r="515" spans="1:28" x14ac:dyDescent="0.35">
      <c r="A515" s="299"/>
      <c r="B515" s="515">
        <v>1.6120721078443101</v>
      </c>
      <c r="C515" s="515">
        <v>5.0208168088502002E-2</v>
      </c>
      <c r="D515" s="515">
        <v>2.043287585690778</v>
      </c>
      <c r="E515" s="515">
        <v>0.24754688971115699</v>
      </c>
      <c r="F515" s="515">
        <v>3.836889295266E-3</v>
      </c>
      <c r="G515" s="299"/>
      <c r="H515" s="300">
        <f t="shared" si="74"/>
        <v>0</v>
      </c>
      <c r="I515" s="299"/>
      <c r="J515" s="1"/>
      <c r="K515" s="299"/>
      <c r="L515" s="1"/>
      <c r="M515" s="299"/>
      <c r="N515" s="299"/>
      <c r="O515" s="299"/>
      <c r="P515" s="299"/>
      <c r="Q515" s="298"/>
      <c r="R515" s="300">
        <f t="shared" si="75"/>
        <v>0</v>
      </c>
      <c r="S515" s="300">
        <f t="shared" si="76"/>
        <v>0</v>
      </c>
      <c r="T515" s="300">
        <f t="shared" si="77"/>
        <v>0</v>
      </c>
      <c r="U515" s="300">
        <f t="shared" si="78"/>
        <v>0</v>
      </c>
      <c r="V515" s="300">
        <f t="shared" si="79"/>
        <v>0</v>
      </c>
      <c r="W515" s="300">
        <f t="shared" si="80"/>
        <v>0</v>
      </c>
      <c r="X515" s="300">
        <f t="shared" si="81"/>
        <v>0</v>
      </c>
      <c r="Y515" s="300">
        <f t="shared" si="82"/>
        <v>0</v>
      </c>
      <c r="Z515"/>
      <c r="AA515"/>
      <c r="AB515"/>
    </row>
    <row r="516" spans="1:28" x14ac:dyDescent="0.35">
      <c r="A516" s="299"/>
      <c r="B516" s="515">
        <v>14.27705348790801</v>
      </c>
      <c r="C516" s="515">
        <v>-1.1926873141651479</v>
      </c>
      <c r="D516" s="515">
        <v>3.3283424159147299</v>
      </c>
      <c r="E516" s="515">
        <v>8.0909224764999998E-4</v>
      </c>
      <c r="F516" s="515">
        <v>6.2548714013824003E-2</v>
      </c>
      <c r="G516" s="299"/>
      <c r="H516" s="300">
        <f t="shared" si="74"/>
        <v>0</v>
      </c>
      <c r="I516" s="299"/>
      <c r="J516" s="1"/>
      <c r="K516" s="299"/>
      <c r="L516" s="1"/>
      <c r="M516" s="299"/>
      <c r="N516" s="299"/>
      <c r="O516" s="299"/>
      <c r="P516" s="299"/>
      <c r="Q516" s="298"/>
      <c r="R516" s="300">
        <f t="shared" si="75"/>
        <v>0</v>
      </c>
      <c r="S516" s="300">
        <f t="shared" si="76"/>
        <v>0</v>
      </c>
      <c r="T516" s="300">
        <f t="shared" si="77"/>
        <v>0</v>
      </c>
      <c r="U516" s="300">
        <f t="shared" si="78"/>
        <v>0</v>
      </c>
      <c r="V516" s="300">
        <f t="shared" si="79"/>
        <v>0</v>
      </c>
      <c r="W516" s="300">
        <f t="shared" si="80"/>
        <v>0</v>
      </c>
      <c r="X516" s="300">
        <f t="shared" si="81"/>
        <v>0</v>
      </c>
      <c r="Y516" s="300">
        <f t="shared" si="82"/>
        <v>0</v>
      </c>
      <c r="Z516"/>
      <c r="AA516"/>
      <c r="AB516"/>
    </row>
    <row r="517" spans="1:28" x14ac:dyDescent="0.35">
      <c r="A517" s="299"/>
      <c r="B517" s="515">
        <v>4.5306091228999998E-5</v>
      </c>
      <c r="C517" s="515">
        <v>7.4598593814276998E-2</v>
      </c>
      <c r="D517" s="515">
        <v>7.6855636982326003E-2</v>
      </c>
      <c r="E517" s="515">
        <v>1.304295569617E-2</v>
      </c>
      <c r="F517" s="515">
        <v>6.5625073033228995E-2</v>
      </c>
      <c r="G517" s="299"/>
      <c r="H517" s="300">
        <f t="shared" si="74"/>
        <v>0</v>
      </c>
      <c r="I517" s="299"/>
      <c r="J517" s="1"/>
      <c r="K517" s="299"/>
      <c r="L517" s="1"/>
      <c r="M517" s="299"/>
      <c r="N517" s="299"/>
      <c r="O517" s="299"/>
      <c r="P517" s="299"/>
      <c r="Q517" s="298"/>
      <c r="R517" s="300">
        <f t="shared" si="75"/>
        <v>0</v>
      </c>
      <c r="S517" s="300">
        <f t="shared" si="76"/>
        <v>0</v>
      </c>
      <c r="T517" s="300">
        <f t="shared" si="77"/>
        <v>0</v>
      </c>
      <c r="U517" s="300">
        <f t="shared" si="78"/>
        <v>0</v>
      </c>
      <c r="V517" s="300">
        <f t="shared" si="79"/>
        <v>0</v>
      </c>
      <c r="W517" s="300">
        <f t="shared" si="80"/>
        <v>0</v>
      </c>
      <c r="X517" s="300">
        <f t="shared" si="81"/>
        <v>0</v>
      </c>
      <c r="Y517" s="300">
        <f t="shared" si="82"/>
        <v>0</v>
      </c>
      <c r="Z517"/>
      <c r="AA517"/>
      <c r="AB517"/>
    </row>
    <row r="518" spans="1:28" x14ac:dyDescent="0.35">
      <c r="A518" s="299"/>
      <c r="B518" s="515">
        <v>2.0627221470370518</v>
      </c>
      <c r="C518" s="515">
        <v>3.1765769129656E-2</v>
      </c>
      <c r="D518" s="515">
        <v>0.44095879225203299</v>
      </c>
      <c r="E518" s="515">
        <v>0.11832228485603299</v>
      </c>
      <c r="F518" s="515">
        <v>5.5773244146723001E-2</v>
      </c>
      <c r="G518" s="299"/>
      <c r="H518" s="300">
        <f t="shared" si="74"/>
        <v>0</v>
      </c>
      <c r="I518" s="299"/>
      <c r="J518" s="1"/>
      <c r="K518" s="299"/>
      <c r="L518" s="1"/>
      <c r="M518" s="299"/>
      <c r="N518" s="299"/>
      <c r="O518" s="299"/>
      <c r="P518" s="299"/>
      <c r="Q518" s="298"/>
      <c r="R518" s="300">
        <f t="shared" si="75"/>
        <v>0</v>
      </c>
      <c r="S518" s="300">
        <f t="shared" si="76"/>
        <v>0</v>
      </c>
      <c r="T518" s="300">
        <f t="shared" si="77"/>
        <v>0</v>
      </c>
      <c r="U518" s="300">
        <f t="shared" si="78"/>
        <v>0</v>
      </c>
      <c r="V518" s="300">
        <f t="shared" si="79"/>
        <v>0</v>
      </c>
      <c r="W518" s="300">
        <f t="shared" si="80"/>
        <v>0</v>
      </c>
      <c r="X518" s="300">
        <f t="shared" si="81"/>
        <v>0</v>
      </c>
      <c r="Y518" s="300">
        <f t="shared" si="82"/>
        <v>0</v>
      </c>
      <c r="Z518"/>
      <c r="AA518"/>
      <c r="AB518"/>
    </row>
    <row r="519" spans="1:28" x14ac:dyDescent="0.35">
      <c r="A519" s="299"/>
      <c r="B519" s="515">
        <v>10.89672401547287</v>
      </c>
      <c r="C519" s="515">
        <v>0.16799982706390601</v>
      </c>
      <c r="D519" s="515">
        <v>1.1001231708920649</v>
      </c>
      <c r="E519" s="515">
        <v>4.6037029252796999E-2</v>
      </c>
      <c r="F519" s="515">
        <v>7.7170730796046E-2</v>
      </c>
      <c r="G519" s="299"/>
      <c r="H519" s="300">
        <f t="shared" si="74"/>
        <v>0</v>
      </c>
      <c r="I519" s="299"/>
      <c r="J519" s="1"/>
      <c r="K519" s="299"/>
      <c r="L519" s="1"/>
      <c r="M519" s="299"/>
      <c r="N519" s="299"/>
      <c r="O519" s="299"/>
      <c r="P519" s="299"/>
      <c r="Q519" s="298"/>
      <c r="R519" s="300">
        <f t="shared" si="75"/>
        <v>0</v>
      </c>
      <c r="S519" s="300">
        <f t="shared" si="76"/>
        <v>0</v>
      </c>
      <c r="T519" s="300">
        <f t="shared" si="77"/>
        <v>0</v>
      </c>
      <c r="U519" s="300">
        <f t="shared" si="78"/>
        <v>0</v>
      </c>
      <c r="V519" s="300">
        <f t="shared" si="79"/>
        <v>0</v>
      </c>
      <c r="W519" s="300">
        <f t="shared" si="80"/>
        <v>0</v>
      </c>
      <c r="X519" s="300">
        <f t="shared" si="81"/>
        <v>0</v>
      </c>
      <c r="Y519" s="300">
        <f t="shared" si="82"/>
        <v>0</v>
      </c>
      <c r="Z519"/>
      <c r="AA519"/>
      <c r="AB519"/>
    </row>
    <row r="520" spans="1:28" x14ac:dyDescent="0.35">
      <c r="A520" s="299"/>
      <c r="B520" s="515">
        <v>15.39137784064112</v>
      </c>
      <c r="C520" s="515">
        <v>-3.2855585636123972</v>
      </c>
      <c r="D520" s="515">
        <v>3.3060695689847011</v>
      </c>
      <c r="E520" s="515">
        <v>2.075030978066E-3</v>
      </c>
      <c r="F520" s="515">
        <v>6.6859610720563997E-2</v>
      </c>
      <c r="G520" s="299"/>
      <c r="H520" s="300">
        <f t="shared" si="74"/>
        <v>0</v>
      </c>
      <c r="I520" s="299"/>
      <c r="J520" s="1"/>
      <c r="K520" s="299"/>
      <c r="L520" s="1"/>
      <c r="M520" s="299"/>
      <c r="N520" s="299"/>
      <c r="O520" s="299"/>
      <c r="P520" s="299"/>
      <c r="Q520" s="298"/>
      <c r="R520" s="300">
        <f t="shared" si="75"/>
        <v>0</v>
      </c>
      <c r="S520" s="300">
        <f t="shared" si="76"/>
        <v>0</v>
      </c>
      <c r="T520" s="300">
        <f t="shared" si="77"/>
        <v>0</v>
      </c>
      <c r="U520" s="300">
        <f t="shared" si="78"/>
        <v>0</v>
      </c>
      <c r="V520" s="300">
        <f t="shared" si="79"/>
        <v>0</v>
      </c>
      <c r="W520" s="300">
        <f t="shared" si="80"/>
        <v>0</v>
      </c>
      <c r="X520" s="300">
        <f t="shared" si="81"/>
        <v>0</v>
      </c>
      <c r="Y520" s="300">
        <f t="shared" si="82"/>
        <v>0</v>
      </c>
      <c r="Z520"/>
      <c r="AA520"/>
      <c r="AB520"/>
    </row>
    <row r="521" spans="1:28" x14ac:dyDescent="0.35">
      <c r="A521" s="299"/>
      <c r="B521" s="515">
        <v>5.2970742850000003E-6</v>
      </c>
      <c r="C521" s="515">
        <v>2.7915722314007001E-2</v>
      </c>
      <c r="D521" s="515">
        <v>1.9818518711329249</v>
      </c>
      <c r="E521" s="515">
        <v>0.22441420894678399</v>
      </c>
      <c r="F521" s="515">
        <v>5.1618046600690002E-3</v>
      </c>
      <c r="G521" s="299"/>
      <c r="H521" s="300">
        <f t="shared" si="74"/>
        <v>0</v>
      </c>
      <c r="I521" s="299"/>
      <c r="J521" s="1"/>
      <c r="K521" s="299"/>
      <c r="L521" s="1"/>
      <c r="M521" s="299"/>
      <c r="N521" s="299"/>
      <c r="O521" s="299"/>
      <c r="P521" s="299"/>
      <c r="Q521" s="298"/>
      <c r="R521" s="300">
        <f t="shared" si="75"/>
        <v>0</v>
      </c>
      <c r="S521" s="300">
        <f t="shared" si="76"/>
        <v>0</v>
      </c>
      <c r="T521" s="300">
        <f t="shared" si="77"/>
        <v>0</v>
      </c>
      <c r="U521" s="300">
        <f t="shared" si="78"/>
        <v>0</v>
      </c>
      <c r="V521" s="300">
        <f t="shared" si="79"/>
        <v>0</v>
      </c>
      <c r="W521" s="300">
        <f t="shared" si="80"/>
        <v>0</v>
      </c>
      <c r="X521" s="300">
        <f t="shared" si="81"/>
        <v>0</v>
      </c>
      <c r="Y521" s="300">
        <f t="shared" si="82"/>
        <v>0</v>
      </c>
      <c r="Z521"/>
      <c r="AA521"/>
      <c r="AB521"/>
    </row>
    <row r="522" spans="1:28" x14ac:dyDescent="0.35">
      <c r="A522" s="299"/>
      <c r="B522" s="515">
        <v>1.754344539343734</v>
      </c>
      <c r="C522" s="515">
        <v>4.5967162000362001E-2</v>
      </c>
      <c r="D522" s="515">
        <v>1.750961644741702</v>
      </c>
      <c r="E522" s="515">
        <v>0.185117041667203</v>
      </c>
      <c r="F522" s="515">
        <v>2.2212526835706001E-2</v>
      </c>
      <c r="G522" s="299"/>
      <c r="H522" s="300">
        <f t="shared" si="74"/>
        <v>0</v>
      </c>
      <c r="I522" s="299"/>
      <c r="J522" s="1"/>
      <c r="K522" s="299"/>
      <c r="L522" s="1"/>
      <c r="M522" s="299"/>
      <c r="N522" s="299"/>
      <c r="O522" s="299"/>
      <c r="P522" s="299"/>
      <c r="Q522" s="298"/>
      <c r="R522" s="300">
        <f t="shared" si="75"/>
        <v>0</v>
      </c>
      <c r="S522" s="300">
        <f t="shared" si="76"/>
        <v>0</v>
      </c>
      <c r="T522" s="300">
        <f t="shared" si="77"/>
        <v>0</v>
      </c>
      <c r="U522" s="300">
        <f t="shared" si="78"/>
        <v>0</v>
      </c>
      <c r="V522" s="300">
        <f t="shared" si="79"/>
        <v>0</v>
      </c>
      <c r="W522" s="300">
        <f t="shared" si="80"/>
        <v>0</v>
      </c>
      <c r="X522" s="300">
        <f t="shared" si="81"/>
        <v>0</v>
      </c>
      <c r="Y522" s="300">
        <f t="shared" si="82"/>
        <v>0</v>
      </c>
      <c r="Z522"/>
      <c r="AA522"/>
      <c r="AB522"/>
    </row>
    <row r="523" spans="1:28" x14ac:dyDescent="0.35">
      <c r="A523" s="299"/>
      <c r="B523" s="515">
        <v>9.4161854566350893</v>
      </c>
      <c r="C523" s="515">
        <v>-0.15641942812828299</v>
      </c>
      <c r="D523" s="515">
        <v>1.5836492535024651</v>
      </c>
      <c r="E523" s="515">
        <v>0.18549471443632601</v>
      </c>
      <c r="F523" s="515">
        <v>5.6569963015707998E-2</v>
      </c>
      <c r="G523" s="299"/>
      <c r="H523" s="300">
        <f t="shared" si="74"/>
        <v>0</v>
      </c>
      <c r="I523" s="299"/>
      <c r="J523" s="1"/>
      <c r="K523" s="299"/>
      <c r="L523" s="1"/>
      <c r="M523" s="299"/>
      <c r="N523" s="299"/>
      <c r="O523" s="299"/>
      <c r="P523" s="299"/>
      <c r="Q523" s="298"/>
      <c r="R523" s="300">
        <f t="shared" si="75"/>
        <v>0</v>
      </c>
      <c r="S523" s="300">
        <f t="shared" si="76"/>
        <v>0</v>
      </c>
      <c r="T523" s="300">
        <f t="shared" si="77"/>
        <v>0</v>
      </c>
      <c r="U523" s="300">
        <f t="shared" si="78"/>
        <v>0</v>
      </c>
      <c r="V523" s="300">
        <f t="shared" si="79"/>
        <v>0</v>
      </c>
      <c r="W523" s="300">
        <f t="shared" si="80"/>
        <v>0</v>
      </c>
      <c r="X523" s="300">
        <f t="shared" si="81"/>
        <v>0</v>
      </c>
      <c r="Y523" s="300">
        <f t="shared" si="82"/>
        <v>0</v>
      </c>
      <c r="Z523"/>
      <c r="AA523"/>
      <c r="AB523"/>
    </row>
    <row r="524" spans="1:28" x14ac:dyDescent="0.35">
      <c r="A524" s="299"/>
      <c r="B524" s="515">
        <v>3.0767858576944578</v>
      </c>
      <c r="C524" s="515">
        <v>-1.533482724760155</v>
      </c>
      <c r="D524" s="515">
        <v>1.0250926038032819</v>
      </c>
      <c r="E524" s="515">
        <v>0.163332226742123</v>
      </c>
      <c r="F524" s="515">
        <v>6.1769906036482997E-2</v>
      </c>
      <c r="G524" s="299"/>
      <c r="H524" s="300">
        <f t="shared" si="74"/>
        <v>0</v>
      </c>
      <c r="I524" s="299"/>
      <c r="J524" s="1"/>
      <c r="K524" s="299"/>
      <c r="L524" s="1"/>
      <c r="M524" s="299"/>
      <c r="N524" s="299"/>
      <c r="O524" s="299"/>
      <c r="P524" s="299"/>
      <c r="Q524" s="298"/>
      <c r="R524" s="300">
        <f t="shared" si="75"/>
        <v>0</v>
      </c>
      <c r="S524" s="300">
        <f t="shared" si="76"/>
        <v>0</v>
      </c>
      <c r="T524" s="300">
        <f t="shared" si="77"/>
        <v>0</v>
      </c>
      <c r="U524" s="300">
        <f t="shared" si="78"/>
        <v>0</v>
      </c>
      <c r="V524" s="300">
        <f t="shared" si="79"/>
        <v>0</v>
      </c>
      <c r="W524" s="300">
        <f t="shared" si="80"/>
        <v>0</v>
      </c>
      <c r="X524" s="300">
        <f t="shared" si="81"/>
        <v>0</v>
      </c>
      <c r="Y524" s="300">
        <f t="shared" si="82"/>
        <v>0</v>
      </c>
      <c r="Z524"/>
      <c r="AA524"/>
      <c r="AB524"/>
    </row>
    <row r="525" spans="1:28" x14ac:dyDescent="0.35">
      <c r="A525" s="299"/>
      <c r="B525" s="515">
        <v>6.1305517530933269</v>
      </c>
      <c r="C525" s="515">
        <v>9.2520137749454001E-2</v>
      </c>
      <c r="D525" s="515">
        <v>0.93285275353388897</v>
      </c>
      <c r="E525" s="515">
        <v>3.5026578857523E-2</v>
      </c>
      <c r="F525" s="515">
        <v>7.0148442728320007E-2</v>
      </c>
      <c r="G525" s="299"/>
      <c r="H525" s="300">
        <f t="shared" si="74"/>
        <v>0</v>
      </c>
      <c r="I525" s="299"/>
      <c r="J525" s="1"/>
      <c r="K525" s="299"/>
      <c r="L525" s="1"/>
      <c r="M525" s="299"/>
      <c r="N525" s="299"/>
      <c r="O525" s="299"/>
      <c r="P525" s="299"/>
      <c r="Q525" s="298"/>
      <c r="R525" s="300">
        <f t="shared" si="75"/>
        <v>0</v>
      </c>
      <c r="S525" s="300">
        <f t="shared" si="76"/>
        <v>0</v>
      </c>
      <c r="T525" s="300">
        <f t="shared" si="77"/>
        <v>0</v>
      </c>
      <c r="U525" s="300">
        <f t="shared" si="78"/>
        <v>0</v>
      </c>
      <c r="V525" s="300">
        <f t="shared" si="79"/>
        <v>0</v>
      </c>
      <c r="W525" s="300">
        <f t="shared" si="80"/>
        <v>0</v>
      </c>
      <c r="X525" s="300">
        <f t="shared" si="81"/>
        <v>0</v>
      </c>
      <c r="Y525" s="300">
        <f t="shared" si="82"/>
        <v>0</v>
      </c>
      <c r="Z525"/>
      <c r="AA525"/>
      <c r="AB525"/>
    </row>
    <row r="526" spans="1:28" x14ac:dyDescent="0.35">
      <c r="A526" s="299"/>
      <c r="B526" s="515">
        <v>19.80528442437047</v>
      </c>
      <c r="C526" s="515">
        <v>-1.0983796171058671</v>
      </c>
      <c r="D526" s="515">
        <v>1.819698489962025</v>
      </c>
      <c r="E526" s="515">
        <v>0.27077834882338098</v>
      </c>
      <c r="F526" s="515">
        <v>7.8483976039878001E-2</v>
      </c>
      <c r="G526" s="299"/>
      <c r="H526" s="300">
        <f t="shared" si="74"/>
        <v>0</v>
      </c>
      <c r="I526" s="299"/>
      <c r="J526" s="1"/>
      <c r="K526" s="299"/>
      <c r="L526" s="1"/>
      <c r="M526" s="299"/>
      <c r="N526" s="299"/>
      <c r="O526" s="299"/>
      <c r="P526" s="299"/>
      <c r="Q526" s="298"/>
      <c r="R526" s="300">
        <f t="shared" si="75"/>
        <v>0</v>
      </c>
      <c r="S526" s="300">
        <f t="shared" si="76"/>
        <v>0</v>
      </c>
      <c r="T526" s="300">
        <f t="shared" si="77"/>
        <v>0</v>
      </c>
      <c r="U526" s="300">
        <f t="shared" si="78"/>
        <v>0</v>
      </c>
      <c r="V526" s="300">
        <f t="shared" si="79"/>
        <v>0</v>
      </c>
      <c r="W526" s="300">
        <f t="shared" si="80"/>
        <v>0</v>
      </c>
      <c r="X526" s="300">
        <f t="shared" si="81"/>
        <v>0</v>
      </c>
      <c r="Y526" s="300">
        <f t="shared" si="82"/>
        <v>0</v>
      </c>
      <c r="Z526"/>
      <c r="AA526"/>
      <c r="AB526"/>
    </row>
    <row r="527" spans="1:28" x14ac:dyDescent="0.35">
      <c r="A527" s="299"/>
      <c r="B527" s="515">
        <v>27.37137700552249</v>
      </c>
      <c r="C527" s="515">
        <v>-3.2832421922914419</v>
      </c>
      <c r="D527" s="515">
        <v>3.3180322348391562</v>
      </c>
      <c r="E527" s="515">
        <v>3.577275212854E-3</v>
      </c>
      <c r="F527" s="515">
        <v>8.0895301140643E-2</v>
      </c>
      <c r="G527" s="299"/>
      <c r="H527" s="300">
        <f t="shared" si="74"/>
        <v>0</v>
      </c>
      <c r="I527" s="299"/>
      <c r="J527" s="1"/>
      <c r="K527" s="299"/>
      <c r="L527" s="1"/>
      <c r="M527" s="299"/>
      <c r="N527" s="299"/>
      <c r="O527" s="299"/>
      <c r="P527" s="299"/>
      <c r="Q527" s="298"/>
      <c r="R527" s="300">
        <f t="shared" si="75"/>
        <v>0</v>
      </c>
      <c r="S527" s="300">
        <f t="shared" si="76"/>
        <v>0</v>
      </c>
      <c r="T527" s="300">
        <f t="shared" si="77"/>
        <v>0</v>
      </c>
      <c r="U527" s="300">
        <f t="shared" si="78"/>
        <v>0</v>
      </c>
      <c r="V527" s="300">
        <f t="shared" si="79"/>
        <v>0</v>
      </c>
      <c r="W527" s="300">
        <f t="shared" si="80"/>
        <v>0</v>
      </c>
      <c r="X527" s="300">
        <f t="shared" si="81"/>
        <v>0</v>
      </c>
      <c r="Y527" s="300">
        <f t="shared" si="82"/>
        <v>0</v>
      </c>
      <c r="Z527"/>
      <c r="AA527"/>
      <c r="AB527"/>
    </row>
    <row r="528" spans="1:28" x14ac:dyDescent="0.35">
      <c r="A528" s="299"/>
      <c r="B528" s="515">
        <v>11.17421103877421</v>
      </c>
      <c r="C528" s="515">
        <v>0.16799721825778099</v>
      </c>
      <c r="D528" s="515">
        <v>1.107087376322037</v>
      </c>
      <c r="E528" s="515">
        <v>4.7287238409620999E-2</v>
      </c>
      <c r="F528" s="515">
        <v>7.7590397260292002E-2</v>
      </c>
      <c r="G528" s="299"/>
      <c r="H528" s="300">
        <f t="shared" si="74"/>
        <v>0</v>
      </c>
      <c r="I528" s="299"/>
      <c r="J528" s="1"/>
      <c r="K528" s="299"/>
      <c r="L528" s="1"/>
      <c r="M528" s="299"/>
      <c r="N528" s="299"/>
      <c r="O528" s="299"/>
      <c r="P528" s="299"/>
      <c r="Q528" s="298"/>
      <c r="R528" s="300">
        <f t="shared" si="75"/>
        <v>0</v>
      </c>
      <c r="S528" s="300">
        <f t="shared" si="76"/>
        <v>0</v>
      </c>
      <c r="T528" s="300">
        <f t="shared" si="77"/>
        <v>0</v>
      </c>
      <c r="U528" s="300">
        <f t="shared" si="78"/>
        <v>0</v>
      </c>
      <c r="V528" s="300">
        <f t="shared" si="79"/>
        <v>0</v>
      </c>
      <c r="W528" s="300">
        <f t="shared" si="80"/>
        <v>0</v>
      </c>
      <c r="X528" s="300">
        <f t="shared" si="81"/>
        <v>0</v>
      </c>
      <c r="Y528" s="300">
        <f t="shared" si="82"/>
        <v>0</v>
      </c>
      <c r="Z528"/>
      <c r="AA528"/>
      <c r="AB528"/>
    </row>
    <row r="529" spans="1:28" x14ac:dyDescent="0.35">
      <c r="A529" s="299"/>
      <c r="B529" s="515">
        <v>0.96043694583625805</v>
      </c>
      <c r="C529" s="515">
        <v>4.5376211696236998E-2</v>
      </c>
      <c r="D529" s="515">
        <v>0.77227486162467696</v>
      </c>
      <c r="E529" s="515">
        <v>0.122391665101617</v>
      </c>
      <c r="F529" s="515">
        <v>4.5048934849496E-2</v>
      </c>
      <c r="G529" s="299"/>
      <c r="H529" s="300">
        <f t="shared" si="74"/>
        <v>0</v>
      </c>
      <c r="I529" s="299"/>
      <c r="J529" s="1"/>
      <c r="K529" s="299"/>
      <c r="L529" s="1"/>
      <c r="M529" s="299"/>
      <c r="N529" s="299"/>
      <c r="O529" s="299"/>
      <c r="P529" s="299"/>
      <c r="Q529" s="298"/>
      <c r="R529" s="300">
        <f t="shared" si="75"/>
        <v>0</v>
      </c>
      <c r="S529" s="300">
        <f t="shared" si="76"/>
        <v>0</v>
      </c>
      <c r="T529" s="300">
        <f t="shared" si="77"/>
        <v>0</v>
      </c>
      <c r="U529" s="300">
        <f t="shared" si="78"/>
        <v>0</v>
      </c>
      <c r="V529" s="300">
        <f t="shared" si="79"/>
        <v>0</v>
      </c>
      <c r="W529" s="300">
        <f t="shared" si="80"/>
        <v>0</v>
      </c>
      <c r="X529" s="300">
        <f t="shared" si="81"/>
        <v>0</v>
      </c>
      <c r="Y529" s="300">
        <f t="shared" si="82"/>
        <v>0</v>
      </c>
      <c r="Z529"/>
      <c r="AA529"/>
      <c r="AB529"/>
    </row>
    <row r="530" spans="1:28" x14ac:dyDescent="0.35">
      <c r="A530" s="299"/>
      <c r="B530" s="515">
        <v>0.57630902545218099</v>
      </c>
      <c r="C530" s="515">
        <v>4.5130313025172002E-2</v>
      </c>
      <c r="D530" s="515">
        <v>0.14876282297027901</v>
      </c>
      <c r="E530" s="515">
        <v>0.110869631925924</v>
      </c>
      <c r="F530" s="515">
        <v>5.4408578080347998E-2</v>
      </c>
      <c r="G530" s="299"/>
      <c r="H530" s="300">
        <f t="shared" si="74"/>
        <v>0</v>
      </c>
      <c r="I530" s="299"/>
      <c r="J530" s="1"/>
      <c r="K530" s="299"/>
      <c r="L530" s="1"/>
      <c r="M530" s="299"/>
      <c r="N530" s="299"/>
      <c r="O530" s="299"/>
      <c r="P530" s="299"/>
      <c r="Q530" s="298"/>
      <c r="R530" s="300">
        <f t="shared" si="75"/>
        <v>0</v>
      </c>
      <c r="S530" s="300">
        <f t="shared" si="76"/>
        <v>0</v>
      </c>
      <c r="T530" s="300">
        <f t="shared" si="77"/>
        <v>0</v>
      </c>
      <c r="U530" s="300">
        <f t="shared" si="78"/>
        <v>0</v>
      </c>
      <c r="V530" s="300">
        <f t="shared" si="79"/>
        <v>0</v>
      </c>
      <c r="W530" s="300">
        <f t="shared" si="80"/>
        <v>0</v>
      </c>
      <c r="X530" s="300">
        <f t="shared" si="81"/>
        <v>0</v>
      </c>
      <c r="Y530" s="300">
        <f t="shared" si="82"/>
        <v>0</v>
      </c>
      <c r="Z530"/>
      <c r="AA530"/>
      <c r="AB530"/>
    </row>
    <row r="531" spans="1:28" x14ac:dyDescent="0.35">
      <c r="A531" s="299"/>
      <c r="B531" s="515">
        <v>2.7700523051382731</v>
      </c>
      <c r="C531" s="515">
        <v>7.7134759621576995E-2</v>
      </c>
      <c r="D531" s="515">
        <v>1.7485266201156939</v>
      </c>
      <c r="E531" s="515">
        <v>0.27085043705681</v>
      </c>
      <c r="F531" s="515">
        <v>2.0877105763930002E-3</v>
      </c>
      <c r="G531" s="299"/>
      <c r="H531" s="300">
        <f t="shared" si="74"/>
        <v>0</v>
      </c>
      <c r="I531" s="299"/>
      <c r="J531" s="1"/>
      <c r="K531" s="299"/>
      <c r="L531" s="1"/>
      <c r="M531" s="299"/>
      <c r="N531" s="299"/>
      <c r="O531" s="299"/>
      <c r="P531" s="299"/>
      <c r="Q531" s="298"/>
      <c r="R531" s="300">
        <f t="shared" si="75"/>
        <v>0</v>
      </c>
      <c r="S531" s="300">
        <f t="shared" si="76"/>
        <v>0</v>
      </c>
      <c r="T531" s="300">
        <f t="shared" si="77"/>
        <v>0</v>
      </c>
      <c r="U531" s="300">
        <f t="shared" si="78"/>
        <v>0</v>
      </c>
      <c r="V531" s="300">
        <f t="shared" si="79"/>
        <v>0</v>
      </c>
      <c r="W531" s="300">
        <f t="shared" si="80"/>
        <v>0</v>
      </c>
      <c r="X531" s="300">
        <f t="shared" si="81"/>
        <v>0</v>
      </c>
      <c r="Y531" s="300">
        <f t="shared" si="82"/>
        <v>0</v>
      </c>
      <c r="Z531"/>
      <c r="AA531"/>
      <c r="AB531"/>
    </row>
    <row r="532" spans="1:28" x14ac:dyDescent="0.35">
      <c r="A532" s="299"/>
      <c r="B532" s="515">
        <v>10.15671202265783</v>
      </c>
      <c r="C532" s="515">
        <v>-2.2425661607035621</v>
      </c>
      <c r="D532" s="515">
        <v>1.0852441390866809</v>
      </c>
      <c r="E532" s="515">
        <v>0.27098146802878098</v>
      </c>
      <c r="F532" s="515">
        <v>7.3630621294938997E-2</v>
      </c>
      <c r="G532" s="299"/>
      <c r="H532" s="300">
        <f t="shared" si="74"/>
        <v>0</v>
      </c>
      <c r="I532" s="299"/>
      <c r="J532" s="1"/>
      <c r="K532" s="299"/>
      <c r="L532" s="1"/>
      <c r="M532" s="299"/>
      <c r="N532" s="299"/>
      <c r="O532" s="299"/>
      <c r="P532" s="299"/>
      <c r="Q532" s="298"/>
      <c r="R532" s="300">
        <f t="shared" si="75"/>
        <v>0</v>
      </c>
      <c r="S532" s="300">
        <f t="shared" si="76"/>
        <v>0</v>
      </c>
      <c r="T532" s="300">
        <f t="shared" si="77"/>
        <v>0</v>
      </c>
      <c r="U532" s="300">
        <f t="shared" si="78"/>
        <v>0</v>
      </c>
      <c r="V532" s="300">
        <f t="shared" si="79"/>
        <v>0</v>
      </c>
      <c r="W532" s="300">
        <f t="shared" si="80"/>
        <v>0</v>
      </c>
      <c r="X532" s="300">
        <f t="shared" si="81"/>
        <v>0</v>
      </c>
      <c r="Y532" s="300">
        <f t="shared" si="82"/>
        <v>0</v>
      </c>
      <c r="Z532"/>
      <c r="AA532"/>
      <c r="AB532"/>
    </row>
    <row r="533" spans="1:28" x14ac:dyDescent="0.35">
      <c r="A533" s="299"/>
      <c r="B533" s="515">
        <v>0.75616198940525703</v>
      </c>
      <c r="C533" s="515">
        <v>6.4498699286911002E-2</v>
      </c>
      <c r="D533" s="515">
        <v>1.919305502597356</v>
      </c>
      <c r="E533" s="515">
        <v>0.22986469257272199</v>
      </c>
      <c r="F533" s="515">
        <v>6.0564045437399997E-3</v>
      </c>
      <c r="G533" s="299"/>
      <c r="H533" s="300">
        <f t="shared" si="74"/>
        <v>0</v>
      </c>
      <c r="I533" s="299"/>
      <c r="J533" s="1"/>
      <c r="K533" s="299"/>
      <c r="L533" s="1"/>
      <c r="M533" s="299"/>
      <c r="N533" s="299"/>
      <c r="O533" s="299"/>
      <c r="P533" s="299"/>
      <c r="Q533" s="298"/>
      <c r="R533" s="300">
        <f t="shared" si="75"/>
        <v>0</v>
      </c>
      <c r="S533" s="300">
        <f t="shared" si="76"/>
        <v>0</v>
      </c>
      <c r="T533" s="300">
        <f t="shared" si="77"/>
        <v>0</v>
      </c>
      <c r="U533" s="300">
        <f t="shared" si="78"/>
        <v>0</v>
      </c>
      <c r="V533" s="300">
        <f t="shared" si="79"/>
        <v>0</v>
      </c>
      <c r="W533" s="300">
        <f t="shared" si="80"/>
        <v>0</v>
      </c>
      <c r="X533" s="300">
        <f t="shared" si="81"/>
        <v>0</v>
      </c>
      <c r="Y533" s="300">
        <f t="shared" si="82"/>
        <v>0</v>
      </c>
      <c r="Z533"/>
      <c r="AA533"/>
      <c r="AB533"/>
    </row>
    <row r="534" spans="1:28" x14ac:dyDescent="0.35">
      <c r="A534" s="299"/>
      <c r="B534" s="515">
        <v>1.082358076428827</v>
      </c>
      <c r="C534" s="515">
        <v>-3.2913869795968189</v>
      </c>
      <c r="D534" s="515">
        <v>2.6930282713377141</v>
      </c>
      <c r="E534" s="515">
        <v>0.105137810338591</v>
      </c>
      <c r="F534" s="515">
        <v>4.2593968212916E-2</v>
      </c>
      <c r="G534" s="299"/>
      <c r="H534" s="300">
        <f t="shared" si="74"/>
        <v>0</v>
      </c>
      <c r="I534" s="299"/>
      <c r="J534" s="1"/>
      <c r="K534" s="299"/>
      <c r="L534" s="1"/>
      <c r="M534" s="299"/>
      <c r="N534" s="299"/>
      <c r="O534" s="299"/>
      <c r="P534" s="299"/>
      <c r="Q534" s="298"/>
      <c r="R534" s="300">
        <f t="shared" si="75"/>
        <v>0</v>
      </c>
      <c r="S534" s="300">
        <f t="shared" si="76"/>
        <v>0</v>
      </c>
      <c r="T534" s="300">
        <f t="shared" si="77"/>
        <v>0</v>
      </c>
      <c r="U534" s="300">
        <f t="shared" si="78"/>
        <v>0</v>
      </c>
      <c r="V534" s="300">
        <f t="shared" si="79"/>
        <v>0</v>
      </c>
      <c r="W534" s="300">
        <f t="shared" si="80"/>
        <v>0</v>
      </c>
      <c r="X534" s="300">
        <f t="shared" si="81"/>
        <v>0</v>
      </c>
      <c r="Y534" s="300">
        <f t="shared" si="82"/>
        <v>0</v>
      </c>
      <c r="Z534"/>
      <c r="AA534"/>
      <c r="AB534"/>
    </row>
    <row r="535" spans="1:28" x14ac:dyDescent="0.35">
      <c r="A535" s="299"/>
      <c r="B535" s="515">
        <v>10.902370255728201</v>
      </c>
      <c r="C535" s="515">
        <v>-0.27880511500559402</v>
      </c>
      <c r="D535" s="515">
        <v>2.2077380987559212</v>
      </c>
      <c r="E535" s="515">
        <v>3.2115476500000001E-7</v>
      </c>
      <c r="F535" s="515">
        <v>6.7957230071997998E-2</v>
      </c>
      <c r="G535" s="299"/>
      <c r="H535" s="300">
        <f t="shared" si="74"/>
        <v>0</v>
      </c>
      <c r="I535" s="299"/>
      <c r="J535" s="1"/>
      <c r="K535" s="299"/>
      <c r="L535" s="1"/>
      <c r="M535" s="299"/>
      <c r="N535" s="299"/>
      <c r="O535" s="299"/>
      <c r="P535" s="299"/>
      <c r="Q535" s="298"/>
      <c r="R535" s="300">
        <f t="shared" si="75"/>
        <v>0</v>
      </c>
      <c r="S535" s="300">
        <f t="shared" si="76"/>
        <v>0</v>
      </c>
      <c r="T535" s="300">
        <f t="shared" si="77"/>
        <v>0</v>
      </c>
      <c r="U535" s="300">
        <f t="shared" si="78"/>
        <v>0</v>
      </c>
      <c r="V535" s="300">
        <f t="shared" si="79"/>
        <v>0</v>
      </c>
      <c r="W535" s="300">
        <f t="shared" si="80"/>
        <v>0</v>
      </c>
      <c r="X535" s="300">
        <f t="shared" si="81"/>
        <v>0</v>
      </c>
      <c r="Y535" s="300">
        <f t="shared" si="82"/>
        <v>0</v>
      </c>
      <c r="Z535"/>
      <c r="AA535"/>
      <c r="AB535"/>
    </row>
    <row r="536" spans="1:28" x14ac:dyDescent="0.35">
      <c r="A536" s="299"/>
      <c r="B536" s="515">
        <v>14.405389141904029</v>
      </c>
      <c r="C536" s="515">
        <v>-0.41143096800977302</v>
      </c>
      <c r="D536" s="515">
        <v>1.61124971874459</v>
      </c>
      <c r="E536" s="515">
        <v>0.175534953366274</v>
      </c>
      <c r="F536" s="515">
        <v>7.4756752209392999E-2</v>
      </c>
      <c r="G536" s="299"/>
      <c r="H536" s="300">
        <f t="shared" si="74"/>
        <v>0</v>
      </c>
      <c r="I536" s="299"/>
      <c r="J536" s="1"/>
      <c r="K536" s="299"/>
      <c r="L536" s="1"/>
      <c r="M536" s="299"/>
      <c r="N536" s="299"/>
      <c r="O536" s="299"/>
      <c r="P536" s="299"/>
      <c r="Q536" s="298"/>
      <c r="R536" s="300">
        <f t="shared" si="75"/>
        <v>0</v>
      </c>
      <c r="S536" s="300">
        <f t="shared" si="76"/>
        <v>0</v>
      </c>
      <c r="T536" s="300">
        <f t="shared" si="77"/>
        <v>0</v>
      </c>
      <c r="U536" s="300">
        <f t="shared" si="78"/>
        <v>0</v>
      </c>
      <c r="V536" s="300">
        <f t="shared" si="79"/>
        <v>0</v>
      </c>
      <c r="W536" s="300">
        <f t="shared" si="80"/>
        <v>0</v>
      </c>
      <c r="X536" s="300">
        <f t="shared" si="81"/>
        <v>0</v>
      </c>
      <c r="Y536" s="300">
        <f t="shared" si="82"/>
        <v>0</v>
      </c>
      <c r="Z536"/>
      <c r="AA536"/>
      <c r="AB536"/>
    </row>
    <row r="537" spans="1:28" x14ac:dyDescent="0.35">
      <c r="A537" s="299"/>
      <c r="B537" s="515">
        <v>15.06845248467898</v>
      </c>
      <c r="C537" s="515">
        <v>-3.28481314176413</v>
      </c>
      <c r="D537" s="515">
        <v>1.8599202934901129</v>
      </c>
      <c r="E537" s="515">
        <v>1.499552836433E-3</v>
      </c>
      <c r="F537" s="515">
        <v>8.0928832571955003E-2</v>
      </c>
      <c r="G537" s="299"/>
      <c r="H537" s="300">
        <f t="shared" si="74"/>
        <v>0</v>
      </c>
      <c r="I537" s="299"/>
      <c r="J537" s="1"/>
      <c r="K537" s="299"/>
      <c r="L537" s="1"/>
      <c r="M537" s="299"/>
      <c r="N537" s="299"/>
      <c r="O537" s="299"/>
      <c r="P537" s="299"/>
      <c r="Q537" s="298"/>
      <c r="R537" s="300">
        <f t="shared" si="75"/>
        <v>0</v>
      </c>
      <c r="S537" s="300">
        <f t="shared" si="76"/>
        <v>0</v>
      </c>
      <c r="T537" s="300">
        <f t="shared" si="77"/>
        <v>0</v>
      </c>
      <c r="U537" s="300">
        <f t="shared" si="78"/>
        <v>0</v>
      </c>
      <c r="V537" s="300">
        <f t="shared" si="79"/>
        <v>0</v>
      </c>
      <c r="W537" s="300">
        <f t="shared" si="80"/>
        <v>0</v>
      </c>
      <c r="X537" s="300">
        <f t="shared" si="81"/>
        <v>0</v>
      </c>
      <c r="Y537" s="300">
        <f t="shared" si="82"/>
        <v>0</v>
      </c>
      <c r="Z537"/>
      <c r="AA537"/>
      <c r="AB537"/>
    </row>
    <row r="538" spans="1:28" x14ac:dyDescent="0.35">
      <c r="A538" s="299"/>
      <c r="B538" s="515">
        <v>3.7602564324890579</v>
      </c>
      <c r="C538" s="515">
        <v>0.16763298255036799</v>
      </c>
      <c r="D538" s="515">
        <v>2.183257225816241</v>
      </c>
      <c r="E538" s="515">
        <v>3.2583036554429999E-3</v>
      </c>
      <c r="F538" s="515">
        <v>3.6107741926736998E-2</v>
      </c>
      <c r="G538" s="299"/>
      <c r="H538" s="300">
        <f t="shared" si="74"/>
        <v>0</v>
      </c>
      <c r="I538" s="299"/>
      <c r="J538" s="1"/>
      <c r="K538" s="299"/>
      <c r="L538" s="1"/>
      <c r="M538" s="299"/>
      <c r="N538" s="299"/>
      <c r="O538" s="299"/>
      <c r="P538" s="299"/>
      <c r="Q538" s="298"/>
      <c r="R538" s="300">
        <f t="shared" si="75"/>
        <v>0</v>
      </c>
      <c r="S538" s="300">
        <f t="shared" si="76"/>
        <v>0</v>
      </c>
      <c r="T538" s="300">
        <f t="shared" si="77"/>
        <v>0</v>
      </c>
      <c r="U538" s="300">
        <f t="shared" si="78"/>
        <v>0</v>
      </c>
      <c r="V538" s="300">
        <f t="shared" si="79"/>
        <v>0</v>
      </c>
      <c r="W538" s="300">
        <f t="shared" si="80"/>
        <v>0</v>
      </c>
      <c r="X538" s="300">
        <f t="shared" si="81"/>
        <v>0</v>
      </c>
      <c r="Y538" s="300">
        <f t="shared" si="82"/>
        <v>0</v>
      </c>
      <c r="Z538"/>
      <c r="AA538"/>
      <c r="AB538"/>
    </row>
    <row r="539" spans="1:28" x14ac:dyDescent="0.35">
      <c r="A539" s="299"/>
      <c r="B539" s="515">
        <v>2.0048580087652121</v>
      </c>
      <c r="C539" s="515">
        <v>2.7501383123334999E-2</v>
      </c>
      <c r="D539" s="515">
        <v>0.36816081063811001</v>
      </c>
      <c r="E539" s="515">
        <v>0.115402206252497</v>
      </c>
      <c r="F539" s="515">
        <v>5.7064374787375999E-2</v>
      </c>
      <c r="G539" s="299"/>
      <c r="H539" s="300">
        <f t="shared" si="74"/>
        <v>0</v>
      </c>
      <c r="I539" s="299"/>
      <c r="J539" s="1"/>
      <c r="K539" s="299"/>
      <c r="L539" s="1"/>
      <c r="M539" s="299"/>
      <c r="N539" s="299"/>
      <c r="O539" s="299"/>
      <c r="P539" s="299"/>
      <c r="Q539" s="298"/>
      <c r="R539" s="300">
        <f t="shared" si="75"/>
        <v>0</v>
      </c>
      <c r="S539" s="300">
        <f t="shared" si="76"/>
        <v>0</v>
      </c>
      <c r="T539" s="300">
        <f t="shared" si="77"/>
        <v>0</v>
      </c>
      <c r="U539" s="300">
        <f t="shared" si="78"/>
        <v>0</v>
      </c>
      <c r="V539" s="300">
        <f t="shared" si="79"/>
        <v>0</v>
      </c>
      <c r="W539" s="300">
        <f t="shared" si="80"/>
        <v>0</v>
      </c>
      <c r="X539" s="300">
        <f t="shared" si="81"/>
        <v>0</v>
      </c>
      <c r="Y539" s="300">
        <f t="shared" si="82"/>
        <v>0</v>
      </c>
      <c r="Z539"/>
      <c r="AA539"/>
      <c r="AB539"/>
    </row>
    <row r="540" spans="1:28" x14ac:dyDescent="0.35">
      <c r="A540" s="299"/>
      <c r="B540" s="515">
        <v>11.299586358485261</v>
      </c>
      <c r="C540" s="515">
        <v>-1.1016314186427221</v>
      </c>
      <c r="D540" s="515">
        <v>4.4302338904698001E-2</v>
      </c>
      <c r="E540" s="515">
        <v>0.25277339643762498</v>
      </c>
      <c r="F540" s="515">
        <v>8.0933279134382002E-2</v>
      </c>
      <c r="G540" s="299"/>
      <c r="H540" s="300">
        <f t="shared" si="74"/>
        <v>0</v>
      </c>
      <c r="I540" s="299"/>
      <c r="J540" s="1"/>
      <c r="K540" s="299"/>
      <c r="L540" s="1"/>
      <c r="M540" s="299"/>
      <c r="N540" s="299"/>
      <c r="O540" s="299"/>
      <c r="P540" s="299"/>
      <c r="Q540" s="298"/>
      <c r="R540" s="300">
        <f t="shared" si="75"/>
        <v>0</v>
      </c>
      <c r="S540" s="300">
        <f t="shared" si="76"/>
        <v>0</v>
      </c>
      <c r="T540" s="300">
        <f t="shared" si="77"/>
        <v>0</v>
      </c>
      <c r="U540" s="300">
        <f t="shared" si="78"/>
        <v>0</v>
      </c>
      <c r="V540" s="300">
        <f t="shared" si="79"/>
        <v>0</v>
      </c>
      <c r="W540" s="300">
        <f t="shared" si="80"/>
        <v>0</v>
      </c>
      <c r="X540" s="300">
        <f t="shared" si="81"/>
        <v>0</v>
      </c>
      <c r="Y540" s="300">
        <f t="shared" si="82"/>
        <v>0</v>
      </c>
      <c r="Z540"/>
      <c r="AA540"/>
      <c r="AB540"/>
    </row>
    <row r="541" spans="1:28" x14ac:dyDescent="0.35">
      <c r="A541" s="299"/>
      <c r="B541" s="515">
        <v>28.170754324348511</v>
      </c>
      <c r="C541" s="515">
        <v>-0.84057586786946603</v>
      </c>
      <c r="D541" s="515">
        <v>3.3242031671672332</v>
      </c>
      <c r="E541" s="515">
        <v>0.27007766004258599</v>
      </c>
      <c r="F541" s="515">
        <v>5.8075958540107997E-2</v>
      </c>
      <c r="G541" s="299"/>
      <c r="H541" s="300">
        <f t="shared" si="74"/>
        <v>0</v>
      </c>
      <c r="I541" s="299"/>
      <c r="J541" s="1"/>
      <c r="K541" s="299"/>
      <c r="L541" s="1"/>
      <c r="M541" s="299"/>
      <c r="N541" s="299"/>
      <c r="O541" s="299"/>
      <c r="P541" s="299"/>
      <c r="Q541" s="298"/>
      <c r="R541" s="300">
        <f t="shared" si="75"/>
        <v>0</v>
      </c>
      <c r="S541" s="300">
        <f t="shared" si="76"/>
        <v>0</v>
      </c>
      <c r="T541" s="300">
        <f t="shared" si="77"/>
        <v>0</v>
      </c>
      <c r="U541" s="300">
        <f t="shared" si="78"/>
        <v>0</v>
      </c>
      <c r="V541" s="300">
        <f t="shared" si="79"/>
        <v>0</v>
      </c>
      <c r="W541" s="300">
        <f t="shared" si="80"/>
        <v>0</v>
      </c>
      <c r="X541" s="300">
        <f t="shared" si="81"/>
        <v>0</v>
      </c>
      <c r="Y541" s="300">
        <f t="shared" si="82"/>
        <v>0</v>
      </c>
      <c r="Z541"/>
      <c r="AA541"/>
      <c r="AB541"/>
    </row>
    <row r="542" spans="1:28" x14ac:dyDescent="0.35">
      <c r="A542" s="299"/>
      <c r="B542" s="515">
        <v>1.6941022061224551</v>
      </c>
      <c r="C542" s="515">
        <v>3.9540337585375999E-2</v>
      </c>
      <c r="D542" s="515">
        <v>0.22881103796052901</v>
      </c>
      <c r="E542" s="515">
        <v>0.114801547745189</v>
      </c>
      <c r="F542" s="515">
        <v>5.7388702200837999E-2</v>
      </c>
      <c r="G542" s="299"/>
      <c r="H542" s="300">
        <f t="shared" si="74"/>
        <v>0</v>
      </c>
      <c r="I542" s="299"/>
      <c r="J542" s="1"/>
      <c r="K542" s="299"/>
      <c r="L542" s="1"/>
      <c r="M542" s="299"/>
      <c r="N542" s="299"/>
      <c r="O542" s="299"/>
      <c r="P542" s="299"/>
      <c r="Q542" s="298"/>
      <c r="R542" s="300">
        <f t="shared" si="75"/>
        <v>0</v>
      </c>
      <c r="S542" s="300">
        <f t="shared" si="76"/>
        <v>0</v>
      </c>
      <c r="T542" s="300">
        <f t="shared" si="77"/>
        <v>0</v>
      </c>
      <c r="U542" s="300">
        <f t="shared" si="78"/>
        <v>0</v>
      </c>
      <c r="V542" s="300">
        <f t="shared" si="79"/>
        <v>0</v>
      </c>
      <c r="W542" s="300">
        <f t="shared" si="80"/>
        <v>0</v>
      </c>
      <c r="X542" s="300">
        <f t="shared" si="81"/>
        <v>0</v>
      </c>
      <c r="Y542" s="300">
        <f t="shared" si="82"/>
        <v>0</v>
      </c>
      <c r="Z542"/>
      <c r="AA542"/>
      <c r="AB542"/>
    </row>
    <row r="543" spans="1:28" x14ac:dyDescent="0.35">
      <c r="A543" s="299"/>
      <c r="B543" s="515">
        <v>3.4015686611020002E-3</v>
      </c>
      <c r="C543" s="515">
        <v>2.6130868557612E-2</v>
      </c>
      <c r="D543" s="515">
        <v>0.94242642882313399</v>
      </c>
      <c r="E543" s="515">
        <v>0.17465532038579801</v>
      </c>
      <c r="F543" s="515">
        <v>2.8165491202214E-2</v>
      </c>
      <c r="G543" s="299"/>
      <c r="H543" s="300">
        <f t="shared" si="74"/>
        <v>0</v>
      </c>
      <c r="I543" s="299"/>
      <c r="J543" s="1"/>
      <c r="K543" s="299"/>
      <c r="L543" s="1"/>
      <c r="M543" s="299"/>
      <c r="N543" s="299"/>
      <c r="O543" s="299"/>
      <c r="P543" s="299"/>
      <c r="Q543" s="298"/>
      <c r="R543" s="300">
        <f t="shared" si="75"/>
        <v>0</v>
      </c>
      <c r="S543" s="300">
        <f t="shared" si="76"/>
        <v>0</v>
      </c>
      <c r="T543" s="300">
        <f t="shared" si="77"/>
        <v>0</v>
      </c>
      <c r="U543" s="300">
        <f t="shared" si="78"/>
        <v>0</v>
      </c>
      <c r="V543" s="300">
        <f t="shared" si="79"/>
        <v>0</v>
      </c>
      <c r="W543" s="300">
        <f t="shared" si="80"/>
        <v>0</v>
      </c>
      <c r="X543" s="300">
        <f t="shared" si="81"/>
        <v>0</v>
      </c>
      <c r="Y543" s="300">
        <f t="shared" si="82"/>
        <v>0</v>
      </c>
      <c r="Z543"/>
      <c r="AA543"/>
      <c r="AB543"/>
    </row>
    <row r="544" spans="1:28" x14ac:dyDescent="0.35">
      <c r="A544" s="299"/>
      <c r="B544" s="515">
        <v>4.1253411540000001E-6</v>
      </c>
      <c r="C544" s="515">
        <v>2.792084059068E-2</v>
      </c>
      <c r="D544" s="515">
        <v>1.981898123908312</v>
      </c>
      <c r="E544" s="515">
        <v>0.224413732949381</v>
      </c>
      <c r="F544" s="515">
        <v>5.1611608261359996E-3</v>
      </c>
      <c r="G544" s="299"/>
      <c r="H544" s="300">
        <f t="shared" si="74"/>
        <v>0</v>
      </c>
      <c r="I544" s="299"/>
      <c r="J544" s="1"/>
      <c r="K544" s="299"/>
      <c r="L544" s="1"/>
      <c r="M544" s="299"/>
      <c r="N544" s="299"/>
      <c r="O544" s="299"/>
      <c r="P544" s="299"/>
      <c r="Q544" s="298"/>
      <c r="R544" s="300">
        <f t="shared" si="75"/>
        <v>0</v>
      </c>
      <c r="S544" s="300">
        <f t="shared" si="76"/>
        <v>0</v>
      </c>
      <c r="T544" s="300">
        <f t="shared" si="77"/>
        <v>0</v>
      </c>
      <c r="U544" s="300">
        <f t="shared" si="78"/>
        <v>0</v>
      </c>
      <c r="V544" s="300">
        <f t="shared" si="79"/>
        <v>0</v>
      </c>
      <c r="W544" s="300">
        <f t="shared" si="80"/>
        <v>0</v>
      </c>
      <c r="X544" s="300">
        <f t="shared" si="81"/>
        <v>0</v>
      </c>
      <c r="Y544" s="300">
        <f t="shared" si="82"/>
        <v>0</v>
      </c>
      <c r="Z544"/>
      <c r="AA544"/>
      <c r="AB544"/>
    </row>
    <row r="545" spans="1:28" x14ac:dyDescent="0.35">
      <c r="A545" s="299"/>
      <c r="B545" s="515">
        <v>14.432455795544699</v>
      </c>
      <c r="C545" s="515">
        <v>-1.539470249304427</v>
      </c>
      <c r="D545" s="515">
        <v>1.4461133730885121</v>
      </c>
      <c r="E545" s="515">
        <v>0.27099906987268402</v>
      </c>
      <c r="F545" s="515">
        <v>7.6284934306261001E-2</v>
      </c>
      <c r="G545" s="299"/>
      <c r="H545" s="300">
        <f t="shared" si="74"/>
        <v>0</v>
      </c>
      <c r="I545" s="299"/>
      <c r="J545" s="1"/>
      <c r="K545" s="299"/>
      <c r="L545" s="1"/>
      <c r="M545" s="299"/>
      <c r="N545" s="299"/>
      <c r="O545" s="299"/>
      <c r="P545" s="299"/>
      <c r="Q545" s="298"/>
      <c r="R545" s="300">
        <f t="shared" si="75"/>
        <v>0</v>
      </c>
      <c r="S545" s="300">
        <f t="shared" si="76"/>
        <v>0</v>
      </c>
      <c r="T545" s="300">
        <f t="shared" si="77"/>
        <v>0</v>
      </c>
      <c r="U545" s="300">
        <f t="shared" si="78"/>
        <v>0</v>
      </c>
      <c r="V545" s="300">
        <f t="shared" si="79"/>
        <v>0</v>
      </c>
      <c r="W545" s="300">
        <f t="shared" si="80"/>
        <v>0</v>
      </c>
      <c r="X545" s="300">
        <f t="shared" si="81"/>
        <v>0</v>
      </c>
      <c r="Y545" s="300">
        <f t="shared" si="82"/>
        <v>0</v>
      </c>
      <c r="Z545"/>
      <c r="AA545"/>
      <c r="AB545"/>
    </row>
    <row r="546" spans="1:28" x14ac:dyDescent="0.35">
      <c r="A546" s="299"/>
      <c r="B546" s="515">
        <v>15.475809281573291</v>
      </c>
      <c r="C546" s="515">
        <v>-0.12171199549796601</v>
      </c>
      <c r="D546" s="515">
        <v>1.3287536989175339</v>
      </c>
      <c r="E546" s="515">
        <v>0.160166219044444</v>
      </c>
      <c r="F546" s="515">
        <v>7.8238514472050005E-2</v>
      </c>
      <c r="G546" s="299"/>
      <c r="H546" s="300">
        <f t="shared" si="74"/>
        <v>0</v>
      </c>
      <c r="I546" s="299"/>
      <c r="J546" s="1"/>
      <c r="K546" s="299"/>
      <c r="L546" s="1"/>
      <c r="M546" s="299"/>
      <c r="N546" s="299"/>
      <c r="O546" s="299"/>
      <c r="P546" s="299"/>
      <c r="Q546" s="298"/>
      <c r="R546" s="300">
        <f t="shared" si="75"/>
        <v>0</v>
      </c>
      <c r="S546" s="300">
        <f t="shared" si="76"/>
        <v>0</v>
      </c>
      <c r="T546" s="300">
        <f t="shared" si="77"/>
        <v>0</v>
      </c>
      <c r="U546" s="300">
        <f t="shared" si="78"/>
        <v>0</v>
      </c>
      <c r="V546" s="300">
        <f t="shared" si="79"/>
        <v>0</v>
      </c>
      <c r="W546" s="300">
        <f t="shared" si="80"/>
        <v>0</v>
      </c>
      <c r="X546" s="300">
        <f t="shared" si="81"/>
        <v>0</v>
      </c>
      <c r="Y546" s="300">
        <f t="shared" si="82"/>
        <v>0</v>
      </c>
      <c r="Z546"/>
      <c r="AA546"/>
      <c r="AB546"/>
    </row>
    <row r="547" spans="1:28" x14ac:dyDescent="0.35">
      <c r="A547" s="299"/>
      <c r="B547" s="515">
        <v>15.3468913078095</v>
      </c>
      <c r="C547" s="515">
        <v>0.114833877612629</v>
      </c>
      <c r="D547" s="515">
        <v>1.338158765921013</v>
      </c>
      <c r="E547" s="515">
        <v>5.8116059968911997E-2</v>
      </c>
      <c r="F547" s="515">
        <v>8.0999972998108002E-2</v>
      </c>
      <c r="G547" s="299"/>
      <c r="H547" s="300">
        <f t="shared" si="74"/>
        <v>0</v>
      </c>
      <c r="I547" s="299"/>
      <c r="J547" s="1"/>
      <c r="K547" s="299"/>
      <c r="L547" s="1"/>
      <c r="M547" s="299"/>
      <c r="N547" s="299"/>
      <c r="O547" s="299"/>
      <c r="P547" s="299"/>
      <c r="Q547" s="298"/>
      <c r="R547" s="300">
        <f t="shared" si="75"/>
        <v>0</v>
      </c>
      <c r="S547" s="300">
        <f t="shared" si="76"/>
        <v>0</v>
      </c>
      <c r="T547" s="300">
        <f t="shared" si="77"/>
        <v>0</v>
      </c>
      <c r="U547" s="300">
        <f t="shared" si="78"/>
        <v>0</v>
      </c>
      <c r="V547" s="300">
        <f t="shared" si="79"/>
        <v>0</v>
      </c>
      <c r="W547" s="300">
        <f t="shared" si="80"/>
        <v>0</v>
      </c>
      <c r="X547" s="300">
        <f t="shared" si="81"/>
        <v>0</v>
      </c>
      <c r="Y547" s="300">
        <f t="shared" si="82"/>
        <v>0</v>
      </c>
      <c r="Z547"/>
      <c r="AA547"/>
      <c r="AB547"/>
    </row>
    <row r="548" spans="1:28" x14ac:dyDescent="0.35">
      <c r="A548" s="299"/>
      <c r="B548" s="515">
        <v>5.1356870399921482</v>
      </c>
      <c r="C548" s="515">
        <v>7.9269461673287994E-2</v>
      </c>
      <c r="D548" s="515">
        <v>0.62135234810321005</v>
      </c>
      <c r="E548" s="515">
        <v>0.13516280138908399</v>
      </c>
      <c r="F548" s="515">
        <v>5.9231100734686001E-2</v>
      </c>
      <c r="G548" s="299"/>
      <c r="H548" s="300">
        <f t="shared" si="74"/>
        <v>0</v>
      </c>
      <c r="I548" s="299"/>
      <c r="J548" s="1"/>
      <c r="K548" s="299"/>
      <c r="L548" s="1"/>
      <c r="M548" s="299"/>
      <c r="N548" s="299"/>
      <c r="O548" s="299"/>
      <c r="P548" s="299"/>
      <c r="Q548" s="298"/>
      <c r="R548" s="300">
        <f t="shared" si="75"/>
        <v>0</v>
      </c>
      <c r="S548" s="300">
        <f t="shared" si="76"/>
        <v>0</v>
      </c>
      <c r="T548" s="300">
        <f t="shared" si="77"/>
        <v>0</v>
      </c>
      <c r="U548" s="300">
        <f t="shared" si="78"/>
        <v>0</v>
      </c>
      <c r="V548" s="300">
        <f t="shared" si="79"/>
        <v>0</v>
      </c>
      <c r="W548" s="300">
        <f t="shared" si="80"/>
        <v>0</v>
      </c>
      <c r="X548" s="300">
        <f t="shared" si="81"/>
        <v>0</v>
      </c>
      <c r="Y548" s="300">
        <f t="shared" si="82"/>
        <v>0</v>
      </c>
      <c r="Z548"/>
      <c r="AA548"/>
      <c r="AB548"/>
    </row>
    <row r="549" spans="1:28" x14ac:dyDescent="0.35">
      <c r="A549" s="299"/>
      <c r="B549" s="515">
        <v>3.17005760576978</v>
      </c>
      <c r="C549" s="515">
        <v>8.1363591494996002E-2</v>
      </c>
      <c r="D549" s="515">
        <v>1.9785353908479011</v>
      </c>
      <c r="E549" s="515">
        <v>0.257313467882125</v>
      </c>
      <c r="F549" s="515">
        <v>6.2009212117000003E-3</v>
      </c>
      <c r="G549" s="299"/>
      <c r="H549" s="300">
        <f t="shared" si="74"/>
        <v>0</v>
      </c>
      <c r="I549" s="299"/>
      <c r="J549" s="1"/>
      <c r="K549" s="299"/>
      <c r="L549" s="1"/>
      <c r="M549" s="299"/>
      <c r="N549" s="299"/>
      <c r="O549" s="299"/>
      <c r="P549" s="299"/>
      <c r="Q549" s="298"/>
      <c r="R549" s="300">
        <f t="shared" si="75"/>
        <v>0</v>
      </c>
      <c r="S549" s="300">
        <f t="shared" si="76"/>
        <v>0</v>
      </c>
      <c r="T549" s="300">
        <f t="shared" si="77"/>
        <v>0</v>
      </c>
      <c r="U549" s="300">
        <f t="shared" si="78"/>
        <v>0</v>
      </c>
      <c r="V549" s="300">
        <f t="shared" si="79"/>
        <v>0</v>
      </c>
      <c r="W549" s="300">
        <f t="shared" si="80"/>
        <v>0</v>
      </c>
      <c r="X549" s="300">
        <f t="shared" si="81"/>
        <v>0</v>
      </c>
      <c r="Y549" s="300">
        <f t="shared" si="82"/>
        <v>0</v>
      </c>
      <c r="Z549"/>
      <c r="AA549"/>
      <c r="AB549"/>
    </row>
    <row r="550" spans="1:28" x14ac:dyDescent="0.35">
      <c r="A550" s="299"/>
      <c r="B550" s="515">
        <v>8.3994031380958454</v>
      </c>
      <c r="C550" s="515">
        <v>-0.68891111623569501</v>
      </c>
      <c r="D550" s="515">
        <v>2.6197119219009999E-2</v>
      </c>
      <c r="E550" s="515">
        <v>0.270576326083103</v>
      </c>
      <c r="F550" s="515">
        <v>5.8536104060664E-2</v>
      </c>
      <c r="G550" s="299"/>
      <c r="H550" s="300">
        <f t="shared" si="74"/>
        <v>0</v>
      </c>
      <c r="I550" s="299"/>
      <c r="J550" s="1"/>
      <c r="K550" s="299"/>
      <c r="L550" s="1"/>
      <c r="M550" s="299"/>
      <c r="N550" s="299"/>
      <c r="O550" s="299"/>
      <c r="P550" s="299"/>
      <c r="Q550" s="298"/>
      <c r="R550" s="300">
        <f t="shared" si="75"/>
        <v>0</v>
      </c>
      <c r="S550" s="300">
        <f t="shared" si="76"/>
        <v>0</v>
      </c>
      <c r="T550" s="300">
        <f t="shared" si="77"/>
        <v>0</v>
      </c>
      <c r="U550" s="300">
        <f t="shared" si="78"/>
        <v>0</v>
      </c>
      <c r="V550" s="300">
        <f t="shared" si="79"/>
        <v>0</v>
      </c>
      <c r="W550" s="300">
        <f t="shared" si="80"/>
        <v>0</v>
      </c>
      <c r="X550" s="300">
        <f t="shared" si="81"/>
        <v>0</v>
      </c>
      <c r="Y550" s="300">
        <f t="shared" si="82"/>
        <v>0</v>
      </c>
      <c r="Z550"/>
      <c r="AA550"/>
      <c r="AB550"/>
    </row>
    <row r="551" spans="1:28" x14ac:dyDescent="0.35">
      <c r="A551" s="299"/>
      <c r="B551" s="515">
        <v>11.61622819304664</v>
      </c>
      <c r="C551" s="515">
        <v>-0.50190783404233297</v>
      </c>
      <c r="D551" s="515">
        <v>0.76704910901302203</v>
      </c>
      <c r="E551" s="515">
        <v>0.21029997606348499</v>
      </c>
      <c r="F551" s="515">
        <v>7.3375266847109002E-2</v>
      </c>
      <c r="G551" s="299"/>
      <c r="H551" s="300">
        <f t="shared" si="74"/>
        <v>0</v>
      </c>
      <c r="I551" s="299"/>
      <c r="J551" s="1"/>
      <c r="K551" s="299"/>
      <c r="L551" s="1"/>
      <c r="M551" s="299"/>
      <c r="N551" s="299"/>
      <c r="O551" s="299"/>
      <c r="P551" s="299"/>
      <c r="Q551" s="298"/>
      <c r="R551" s="300">
        <f t="shared" si="75"/>
        <v>0</v>
      </c>
      <c r="S551" s="300">
        <f t="shared" si="76"/>
        <v>0</v>
      </c>
      <c r="T551" s="300">
        <f t="shared" si="77"/>
        <v>0</v>
      </c>
      <c r="U551" s="300">
        <f t="shared" si="78"/>
        <v>0</v>
      </c>
      <c r="V551" s="300">
        <f t="shared" si="79"/>
        <v>0</v>
      </c>
      <c r="W551" s="300">
        <f t="shared" si="80"/>
        <v>0</v>
      </c>
      <c r="X551" s="300">
        <f t="shared" si="81"/>
        <v>0</v>
      </c>
      <c r="Y551" s="300">
        <f t="shared" si="82"/>
        <v>0</v>
      </c>
      <c r="Z551"/>
      <c r="AA551"/>
      <c r="AB551"/>
    </row>
    <row r="552" spans="1:28" x14ac:dyDescent="0.35">
      <c r="A552" s="299"/>
      <c r="B552" s="515">
        <v>17.108789652442841</v>
      </c>
      <c r="C552" s="515">
        <v>-3.2838709498147431</v>
      </c>
      <c r="D552" s="515">
        <v>3.3184474964219439</v>
      </c>
      <c r="E552" s="515">
        <v>0.26688787291428701</v>
      </c>
      <c r="F552" s="515">
        <v>6.2118662593831003E-2</v>
      </c>
      <c r="G552" s="299"/>
      <c r="H552" s="300">
        <f t="shared" si="74"/>
        <v>0</v>
      </c>
      <c r="I552" s="299"/>
      <c r="J552" s="1"/>
      <c r="K552" s="299"/>
      <c r="L552" s="1"/>
      <c r="M552" s="299"/>
      <c r="N552" s="299"/>
      <c r="O552" s="299"/>
      <c r="P552" s="299"/>
      <c r="Q552" s="298"/>
      <c r="R552" s="300">
        <f t="shared" si="75"/>
        <v>0</v>
      </c>
      <c r="S552" s="300">
        <f t="shared" si="76"/>
        <v>0</v>
      </c>
      <c r="T552" s="300">
        <f t="shared" si="77"/>
        <v>0</v>
      </c>
      <c r="U552" s="300">
        <f t="shared" si="78"/>
        <v>0</v>
      </c>
      <c r="V552" s="300">
        <f t="shared" si="79"/>
        <v>0</v>
      </c>
      <c r="W552" s="300">
        <f t="shared" si="80"/>
        <v>0</v>
      </c>
      <c r="X552" s="300">
        <f t="shared" si="81"/>
        <v>0</v>
      </c>
      <c r="Y552" s="300">
        <f t="shared" si="82"/>
        <v>0</v>
      </c>
      <c r="Z552"/>
      <c r="AA552"/>
      <c r="AB552"/>
    </row>
    <row r="553" spans="1:28" x14ac:dyDescent="0.35">
      <c r="A553" s="299"/>
      <c r="B553" s="515">
        <v>2.1222146613585422</v>
      </c>
      <c r="C553" s="515">
        <v>-1.6977614250537999E-2</v>
      </c>
      <c r="D553" s="515">
        <v>1.8458192956662201</v>
      </c>
      <c r="E553" s="515">
        <v>0.21914035217188099</v>
      </c>
      <c r="F553" s="515">
        <v>1.7462922125961001E-2</v>
      </c>
      <c r="G553" s="299"/>
      <c r="H553" s="300">
        <f t="shared" si="74"/>
        <v>0</v>
      </c>
      <c r="I553" s="299"/>
      <c r="J553" s="1"/>
      <c r="K553" s="299"/>
      <c r="L553" s="1"/>
      <c r="M553" s="299"/>
      <c r="N553" s="299"/>
      <c r="O553" s="299"/>
      <c r="P553" s="299"/>
      <c r="Q553" s="298"/>
      <c r="R553" s="300">
        <f t="shared" si="75"/>
        <v>0</v>
      </c>
      <c r="S553" s="300">
        <f t="shared" si="76"/>
        <v>0</v>
      </c>
      <c r="T553" s="300">
        <f t="shared" si="77"/>
        <v>0</v>
      </c>
      <c r="U553" s="300">
        <f t="shared" si="78"/>
        <v>0</v>
      </c>
      <c r="V553" s="300">
        <f t="shared" si="79"/>
        <v>0</v>
      </c>
      <c r="W553" s="300">
        <f t="shared" si="80"/>
        <v>0</v>
      </c>
      <c r="X553" s="300">
        <f t="shared" si="81"/>
        <v>0</v>
      </c>
      <c r="Y553" s="300">
        <f t="shared" si="82"/>
        <v>0</v>
      </c>
      <c r="Z553"/>
      <c r="AA553"/>
      <c r="AB553"/>
    </row>
    <row r="554" spans="1:28" x14ac:dyDescent="0.35">
      <c r="A554" s="299"/>
      <c r="B554" s="515">
        <v>16.78390577016598</v>
      </c>
      <c r="C554" s="515">
        <v>-0.26081278736666103</v>
      </c>
      <c r="D554" s="515">
        <v>1.4114834686418041</v>
      </c>
      <c r="E554" s="515">
        <v>0.17463584032164101</v>
      </c>
      <c r="F554" s="515">
        <v>7.9941698670200997E-2</v>
      </c>
      <c r="G554" s="299"/>
      <c r="H554" s="300">
        <f t="shared" si="74"/>
        <v>0</v>
      </c>
      <c r="I554" s="299"/>
      <c r="J554" s="1"/>
      <c r="K554" s="299"/>
      <c r="L554" s="1"/>
      <c r="M554" s="299"/>
      <c r="N554" s="299"/>
      <c r="O554" s="299"/>
      <c r="P554" s="299"/>
      <c r="Q554" s="298"/>
      <c r="R554" s="300">
        <f t="shared" si="75"/>
        <v>0</v>
      </c>
      <c r="S554" s="300">
        <f t="shared" si="76"/>
        <v>0</v>
      </c>
      <c r="T554" s="300">
        <f t="shared" si="77"/>
        <v>0</v>
      </c>
      <c r="U554" s="300">
        <f t="shared" si="78"/>
        <v>0</v>
      </c>
      <c r="V554" s="300">
        <f t="shared" si="79"/>
        <v>0</v>
      </c>
      <c r="W554" s="300">
        <f t="shared" si="80"/>
        <v>0</v>
      </c>
      <c r="X554" s="300">
        <f t="shared" si="81"/>
        <v>0</v>
      </c>
      <c r="Y554" s="300">
        <f t="shared" si="82"/>
        <v>0</v>
      </c>
      <c r="Z554"/>
      <c r="AA554"/>
      <c r="AB554"/>
    </row>
    <row r="555" spans="1:28" x14ac:dyDescent="0.35">
      <c r="A555" s="299"/>
      <c r="B555" s="515">
        <v>12.04883296393316</v>
      </c>
      <c r="C555" s="515">
        <v>-3.0524991486283808</v>
      </c>
      <c r="D555" s="515">
        <v>0.74285792755605395</v>
      </c>
      <c r="E555" s="515">
        <v>0.268500941481914</v>
      </c>
      <c r="F555" s="515">
        <v>8.0977627480995004E-2</v>
      </c>
      <c r="G555" s="299"/>
      <c r="H555" s="300">
        <f t="shared" si="74"/>
        <v>0</v>
      </c>
      <c r="I555" s="299"/>
      <c r="J555" s="1"/>
      <c r="K555" s="299"/>
      <c r="L555" s="1"/>
      <c r="M555" s="299"/>
      <c r="N555" s="299"/>
      <c r="O555" s="299"/>
      <c r="P555" s="299"/>
      <c r="Q555" s="298"/>
      <c r="R555" s="300">
        <f t="shared" si="75"/>
        <v>0</v>
      </c>
      <c r="S555" s="300">
        <f t="shared" si="76"/>
        <v>0</v>
      </c>
      <c r="T555" s="300">
        <f t="shared" si="77"/>
        <v>0</v>
      </c>
      <c r="U555" s="300">
        <f t="shared" si="78"/>
        <v>0</v>
      </c>
      <c r="V555" s="300">
        <f t="shared" si="79"/>
        <v>0</v>
      </c>
      <c r="W555" s="300">
        <f t="shared" si="80"/>
        <v>0</v>
      </c>
      <c r="X555" s="300">
        <f t="shared" si="81"/>
        <v>0</v>
      </c>
      <c r="Y555" s="300">
        <f t="shared" si="82"/>
        <v>0</v>
      </c>
      <c r="Z555"/>
      <c r="AA555"/>
      <c r="AB555"/>
    </row>
    <row r="556" spans="1:28" x14ac:dyDescent="0.35">
      <c r="A556" s="299"/>
      <c r="B556" s="515">
        <v>2.841927528749328</v>
      </c>
      <c r="C556" s="515">
        <v>-2.8196824327840311</v>
      </c>
      <c r="D556" s="515">
        <v>3.8693279595699001E-2</v>
      </c>
      <c r="E556" s="515">
        <v>0.27052668948309799</v>
      </c>
      <c r="F556" s="515">
        <v>5.1086302073676003E-2</v>
      </c>
      <c r="G556" s="299"/>
      <c r="H556" s="300">
        <f t="shared" si="74"/>
        <v>0</v>
      </c>
      <c r="I556" s="299"/>
      <c r="J556" s="1"/>
      <c r="K556" s="299"/>
      <c r="L556" s="1"/>
      <c r="M556" s="299"/>
      <c r="N556" s="299"/>
      <c r="O556" s="299"/>
      <c r="P556" s="299"/>
      <c r="Q556" s="298"/>
      <c r="R556" s="300">
        <f t="shared" si="75"/>
        <v>0</v>
      </c>
      <c r="S556" s="300">
        <f t="shared" si="76"/>
        <v>0</v>
      </c>
      <c r="T556" s="300">
        <f t="shared" si="77"/>
        <v>0</v>
      </c>
      <c r="U556" s="300">
        <f t="shared" si="78"/>
        <v>0</v>
      </c>
      <c r="V556" s="300">
        <f t="shared" si="79"/>
        <v>0</v>
      </c>
      <c r="W556" s="300">
        <f t="shared" si="80"/>
        <v>0</v>
      </c>
      <c r="X556" s="300">
        <f t="shared" si="81"/>
        <v>0</v>
      </c>
      <c r="Y556" s="300">
        <f t="shared" si="82"/>
        <v>0</v>
      </c>
      <c r="Z556"/>
      <c r="AA556"/>
      <c r="AB556"/>
    </row>
    <row r="557" spans="1:28" x14ac:dyDescent="0.35">
      <c r="A557" s="299"/>
      <c r="B557" s="515">
        <v>13.53189683828893</v>
      </c>
      <c r="C557" s="515">
        <v>3.7903092730743E-2</v>
      </c>
      <c r="D557" s="515">
        <v>0.92052379769335901</v>
      </c>
      <c r="E557" s="515">
        <v>0.135824728127901</v>
      </c>
      <c r="F557" s="515">
        <v>7.7653288710531995E-2</v>
      </c>
      <c r="G557" s="299"/>
      <c r="H557" s="300">
        <f t="shared" si="74"/>
        <v>0</v>
      </c>
      <c r="I557" s="299"/>
      <c r="J557" s="1"/>
      <c r="K557" s="299"/>
      <c r="L557" s="1"/>
      <c r="M557" s="299"/>
      <c r="N557" s="299"/>
      <c r="O557" s="299"/>
      <c r="P557" s="299"/>
      <c r="Q557" s="298"/>
      <c r="R557" s="300">
        <f t="shared" si="75"/>
        <v>0</v>
      </c>
      <c r="S557" s="300">
        <f t="shared" si="76"/>
        <v>0</v>
      </c>
      <c r="T557" s="300">
        <f t="shared" si="77"/>
        <v>0</v>
      </c>
      <c r="U557" s="300">
        <f t="shared" si="78"/>
        <v>0</v>
      </c>
      <c r="V557" s="300">
        <f t="shared" si="79"/>
        <v>0</v>
      </c>
      <c r="W557" s="300">
        <f t="shared" si="80"/>
        <v>0</v>
      </c>
      <c r="X557" s="300">
        <f t="shared" si="81"/>
        <v>0</v>
      </c>
      <c r="Y557" s="300">
        <f t="shared" si="82"/>
        <v>0</v>
      </c>
      <c r="Z557"/>
      <c r="AA557"/>
      <c r="AB557"/>
    </row>
    <row r="558" spans="1:28" x14ac:dyDescent="0.35">
      <c r="A558" s="299"/>
      <c r="B558" s="515">
        <v>1.103863435238793</v>
      </c>
      <c r="C558" s="515">
        <v>-3.2813083613273508</v>
      </c>
      <c r="D558" s="515">
        <v>3.3143447095815768</v>
      </c>
      <c r="E558" s="515">
        <v>0.26824830197231703</v>
      </c>
      <c r="F558" s="515">
        <v>2.988688181728E-3</v>
      </c>
      <c r="G558" s="299"/>
      <c r="H558" s="300">
        <f t="shared" si="74"/>
        <v>0</v>
      </c>
      <c r="I558" s="299"/>
      <c r="J558" s="1"/>
      <c r="K558" s="299"/>
      <c r="L558" s="1"/>
      <c r="M558" s="299"/>
      <c r="N558" s="299"/>
      <c r="O558" s="299"/>
      <c r="P558" s="299"/>
      <c r="Q558" s="298"/>
      <c r="R558" s="300">
        <f t="shared" si="75"/>
        <v>0</v>
      </c>
      <c r="S558" s="300">
        <f t="shared" si="76"/>
        <v>0</v>
      </c>
      <c r="T558" s="300">
        <f t="shared" si="77"/>
        <v>0</v>
      </c>
      <c r="U558" s="300">
        <f t="shared" si="78"/>
        <v>0</v>
      </c>
      <c r="V558" s="300">
        <f t="shared" si="79"/>
        <v>0</v>
      </c>
      <c r="W558" s="300">
        <f t="shared" si="80"/>
        <v>0</v>
      </c>
      <c r="X558" s="300">
        <f t="shared" si="81"/>
        <v>0</v>
      </c>
      <c r="Y558" s="300">
        <f t="shared" si="82"/>
        <v>0</v>
      </c>
      <c r="Z558"/>
      <c r="AA558"/>
      <c r="AB558"/>
    </row>
    <row r="559" spans="1:28" x14ac:dyDescent="0.35">
      <c r="A559" s="299"/>
      <c r="B559" s="515">
        <v>14.84948807176203</v>
      </c>
      <c r="C559" s="515">
        <v>-1.93550935702882</v>
      </c>
      <c r="D559" s="515">
        <v>1.8115218848123511</v>
      </c>
      <c r="E559" s="515">
        <v>0.270755448221633</v>
      </c>
      <c r="F559" s="515">
        <v>7.4041838923665004E-2</v>
      </c>
      <c r="G559" s="299"/>
      <c r="H559" s="300">
        <f t="shared" si="74"/>
        <v>0</v>
      </c>
      <c r="I559" s="299"/>
      <c r="J559" s="1"/>
      <c r="K559" s="299"/>
      <c r="L559" s="1"/>
      <c r="M559" s="299"/>
      <c r="N559" s="299"/>
      <c r="O559" s="299"/>
      <c r="P559" s="299"/>
      <c r="Q559" s="298"/>
      <c r="R559" s="300">
        <f t="shared" si="75"/>
        <v>0</v>
      </c>
      <c r="S559" s="300">
        <f t="shared" si="76"/>
        <v>0</v>
      </c>
      <c r="T559" s="300">
        <f t="shared" si="77"/>
        <v>0</v>
      </c>
      <c r="U559" s="300">
        <f t="shared" si="78"/>
        <v>0</v>
      </c>
      <c r="V559" s="300">
        <f t="shared" si="79"/>
        <v>0</v>
      </c>
      <c r="W559" s="300">
        <f t="shared" si="80"/>
        <v>0</v>
      </c>
      <c r="X559" s="300">
        <f t="shared" si="81"/>
        <v>0</v>
      </c>
      <c r="Y559" s="300">
        <f t="shared" si="82"/>
        <v>0</v>
      </c>
      <c r="Z559"/>
      <c r="AA559"/>
      <c r="AB559"/>
    </row>
    <row r="560" spans="1:28" x14ac:dyDescent="0.35">
      <c r="A560" s="299"/>
      <c r="B560" s="515">
        <v>4.6726238708437897</v>
      </c>
      <c r="C560" s="515">
        <v>-3.2828307902083931</v>
      </c>
      <c r="D560" s="515">
        <v>3.3238732082344198</v>
      </c>
      <c r="E560" s="515">
        <v>0.16717562372341399</v>
      </c>
      <c r="F560" s="515">
        <v>3.3515167455689998E-2</v>
      </c>
      <c r="G560" s="299"/>
      <c r="H560" s="300">
        <f t="shared" si="74"/>
        <v>0</v>
      </c>
      <c r="I560" s="299"/>
      <c r="J560" s="1"/>
      <c r="K560" s="299"/>
      <c r="L560" s="1"/>
      <c r="M560" s="299"/>
      <c r="N560" s="299"/>
      <c r="O560" s="299"/>
      <c r="P560" s="299"/>
      <c r="Q560" s="298"/>
      <c r="R560" s="300">
        <f t="shared" si="75"/>
        <v>0</v>
      </c>
      <c r="S560" s="300">
        <f t="shared" si="76"/>
        <v>0</v>
      </c>
      <c r="T560" s="300">
        <f t="shared" si="77"/>
        <v>0</v>
      </c>
      <c r="U560" s="300">
        <f t="shared" si="78"/>
        <v>0</v>
      </c>
      <c r="V560" s="300">
        <f t="shared" si="79"/>
        <v>0</v>
      </c>
      <c r="W560" s="300">
        <f t="shared" si="80"/>
        <v>0</v>
      </c>
      <c r="X560" s="300">
        <f t="shared" si="81"/>
        <v>0</v>
      </c>
      <c r="Y560" s="300">
        <f t="shared" si="82"/>
        <v>0</v>
      </c>
      <c r="Z560"/>
      <c r="AA560"/>
      <c r="AB560"/>
    </row>
    <row r="561" spans="1:28" x14ac:dyDescent="0.35">
      <c r="A561" s="299"/>
      <c r="B561" s="515">
        <v>8.125613228523072</v>
      </c>
      <c r="C561" s="515">
        <v>0.16718945147699599</v>
      </c>
      <c r="D561" s="515">
        <v>1.6977332250267999E-2</v>
      </c>
      <c r="E561" s="515">
        <v>0.27046994394694401</v>
      </c>
      <c r="F561" s="515">
        <v>2.0348814540521998E-2</v>
      </c>
      <c r="G561" s="299"/>
      <c r="H561" s="300">
        <f t="shared" si="74"/>
        <v>0</v>
      </c>
      <c r="I561" s="299"/>
      <c r="J561" s="1"/>
      <c r="K561" s="299"/>
      <c r="L561" s="1"/>
      <c r="M561" s="299"/>
      <c r="N561" s="299"/>
      <c r="O561" s="299"/>
      <c r="P561" s="299"/>
      <c r="Q561" s="298"/>
      <c r="R561" s="300">
        <f t="shared" si="75"/>
        <v>0</v>
      </c>
      <c r="S561" s="300">
        <f t="shared" si="76"/>
        <v>0</v>
      </c>
      <c r="T561" s="300">
        <f t="shared" si="77"/>
        <v>0</v>
      </c>
      <c r="U561" s="300">
        <f t="shared" si="78"/>
        <v>0</v>
      </c>
      <c r="V561" s="300">
        <f t="shared" si="79"/>
        <v>0</v>
      </c>
      <c r="W561" s="300">
        <f t="shared" si="80"/>
        <v>0</v>
      </c>
      <c r="X561" s="300">
        <f t="shared" si="81"/>
        <v>0</v>
      </c>
      <c r="Y561" s="300">
        <f t="shared" si="82"/>
        <v>0</v>
      </c>
      <c r="Z561"/>
      <c r="AA561"/>
      <c r="AB561"/>
    </row>
    <row r="562" spans="1:28" x14ac:dyDescent="0.35">
      <c r="A562" s="299"/>
      <c r="B562" s="515">
        <v>12.332544132624299</v>
      </c>
      <c r="C562" s="515">
        <v>1.7985652999568998E-2</v>
      </c>
      <c r="D562" s="515">
        <v>0.38892408186745903</v>
      </c>
      <c r="E562" s="515">
        <v>0.134661697945613</v>
      </c>
      <c r="F562" s="515">
        <v>8.0921513200668996E-2</v>
      </c>
      <c r="G562" s="299"/>
      <c r="H562" s="300">
        <f t="shared" si="74"/>
        <v>0</v>
      </c>
      <c r="I562" s="299"/>
      <c r="J562" s="1"/>
      <c r="K562" s="299"/>
      <c r="L562" s="1"/>
      <c r="M562" s="299"/>
      <c r="N562" s="299"/>
      <c r="O562" s="299"/>
      <c r="P562" s="299"/>
      <c r="Q562" s="298"/>
      <c r="R562" s="300">
        <f t="shared" si="75"/>
        <v>0</v>
      </c>
      <c r="S562" s="300">
        <f t="shared" si="76"/>
        <v>0</v>
      </c>
      <c r="T562" s="300">
        <f t="shared" si="77"/>
        <v>0</v>
      </c>
      <c r="U562" s="300">
        <f t="shared" si="78"/>
        <v>0</v>
      </c>
      <c r="V562" s="300">
        <f t="shared" si="79"/>
        <v>0</v>
      </c>
      <c r="W562" s="300">
        <f t="shared" si="80"/>
        <v>0</v>
      </c>
      <c r="X562" s="300">
        <f t="shared" si="81"/>
        <v>0</v>
      </c>
      <c r="Y562" s="300">
        <f t="shared" si="82"/>
        <v>0</v>
      </c>
      <c r="Z562"/>
      <c r="AA562"/>
      <c r="AB562"/>
    </row>
    <row r="563" spans="1:28" x14ac:dyDescent="0.35">
      <c r="A563" s="299"/>
      <c r="B563" s="515">
        <v>26.373935679544601</v>
      </c>
      <c r="C563" s="515">
        <v>-9.6779761421060997E-2</v>
      </c>
      <c r="D563" s="515">
        <v>0.57509403855246799</v>
      </c>
      <c r="E563" s="515">
        <v>0.27099665625637698</v>
      </c>
      <c r="F563" s="515">
        <v>8.0999249838701007E-2</v>
      </c>
      <c r="G563" s="299"/>
      <c r="H563" s="300">
        <f t="shared" si="74"/>
        <v>0</v>
      </c>
      <c r="I563" s="299"/>
      <c r="J563" s="1"/>
      <c r="K563" s="299"/>
      <c r="L563" s="1"/>
      <c r="M563" s="299"/>
      <c r="N563" s="299"/>
      <c r="O563" s="299"/>
      <c r="P563" s="299"/>
      <c r="Q563" s="298"/>
      <c r="R563" s="300">
        <f t="shared" si="75"/>
        <v>0</v>
      </c>
      <c r="S563" s="300">
        <f t="shared" si="76"/>
        <v>0</v>
      </c>
      <c r="T563" s="300">
        <f t="shared" si="77"/>
        <v>0</v>
      </c>
      <c r="U563" s="300">
        <f t="shared" si="78"/>
        <v>0</v>
      </c>
      <c r="V563" s="300">
        <f t="shared" si="79"/>
        <v>0</v>
      </c>
      <c r="W563" s="300">
        <f t="shared" si="80"/>
        <v>0</v>
      </c>
      <c r="X563" s="300">
        <f t="shared" si="81"/>
        <v>0</v>
      </c>
      <c r="Y563" s="300">
        <f t="shared" si="82"/>
        <v>0</v>
      </c>
      <c r="Z563"/>
      <c r="AA563"/>
      <c r="AB563"/>
    </row>
    <row r="564" spans="1:28" x14ac:dyDescent="0.35">
      <c r="A564" s="299"/>
      <c r="B564" s="515">
        <v>5.1185221671581189</v>
      </c>
      <c r="C564" s="515">
        <v>-0.35390676720192299</v>
      </c>
      <c r="D564" s="515">
        <v>0.30110768296780399</v>
      </c>
      <c r="E564" s="515">
        <v>0.15306001816845199</v>
      </c>
      <c r="F564" s="515">
        <v>6.7112639377036001E-2</v>
      </c>
      <c r="G564" s="299"/>
      <c r="H564" s="300">
        <f t="shared" si="74"/>
        <v>0</v>
      </c>
      <c r="I564" s="299"/>
      <c r="J564" s="1"/>
      <c r="K564" s="299"/>
      <c r="L564" s="1"/>
      <c r="M564" s="299"/>
      <c r="N564" s="299"/>
      <c r="O564" s="299"/>
      <c r="P564" s="299"/>
      <c r="Q564" s="298"/>
      <c r="R564" s="300">
        <f t="shared" si="75"/>
        <v>0</v>
      </c>
      <c r="S564" s="300">
        <f t="shared" si="76"/>
        <v>0</v>
      </c>
      <c r="T564" s="300">
        <f t="shared" si="77"/>
        <v>0</v>
      </c>
      <c r="U564" s="300">
        <f t="shared" si="78"/>
        <v>0</v>
      </c>
      <c r="V564" s="300">
        <f t="shared" si="79"/>
        <v>0</v>
      </c>
      <c r="W564" s="300">
        <f t="shared" si="80"/>
        <v>0</v>
      </c>
      <c r="X564" s="300">
        <f t="shared" si="81"/>
        <v>0</v>
      </c>
      <c r="Y564" s="300">
        <f t="shared" si="82"/>
        <v>0</v>
      </c>
      <c r="Z564"/>
      <c r="AA564"/>
      <c r="AB564"/>
    </row>
    <row r="565" spans="1:28" x14ac:dyDescent="0.35">
      <c r="A565" s="299"/>
      <c r="B565" s="515">
        <v>10.041744628353239</v>
      </c>
      <c r="C565" s="515">
        <v>0.16759667817791199</v>
      </c>
      <c r="D565" s="515">
        <v>2.4447475019764751</v>
      </c>
      <c r="E565" s="515">
        <v>0.26689657463914701</v>
      </c>
      <c r="F565" s="515">
        <v>2.2660615988300001E-3</v>
      </c>
      <c r="G565" s="299"/>
      <c r="H565" s="300">
        <f t="shared" si="74"/>
        <v>0</v>
      </c>
      <c r="I565" s="299"/>
      <c r="J565" s="1"/>
      <c r="K565" s="299"/>
      <c r="L565" s="1"/>
      <c r="M565" s="299"/>
      <c r="N565" s="299"/>
      <c r="O565" s="299"/>
      <c r="P565" s="299"/>
      <c r="Q565" s="298"/>
      <c r="R565" s="300">
        <f t="shared" si="75"/>
        <v>0</v>
      </c>
      <c r="S565" s="300">
        <f t="shared" si="76"/>
        <v>0</v>
      </c>
      <c r="T565" s="300">
        <f t="shared" si="77"/>
        <v>0</v>
      </c>
      <c r="U565" s="300">
        <f t="shared" si="78"/>
        <v>0</v>
      </c>
      <c r="V565" s="300">
        <f t="shared" si="79"/>
        <v>0</v>
      </c>
      <c r="W565" s="300">
        <f t="shared" si="80"/>
        <v>0</v>
      </c>
      <c r="X565" s="300">
        <f t="shared" si="81"/>
        <v>0</v>
      </c>
      <c r="Y565" s="300">
        <f t="shared" si="82"/>
        <v>0</v>
      </c>
      <c r="Z565"/>
      <c r="AA565"/>
      <c r="AB565"/>
    </row>
    <row r="566" spans="1:28" x14ac:dyDescent="0.35">
      <c r="A566" s="299"/>
      <c r="B566" s="515">
        <v>3.5629794021459378</v>
      </c>
      <c r="C566" s="515">
        <v>-3.294998878459845</v>
      </c>
      <c r="D566" s="515">
        <v>2.5713853678694552</v>
      </c>
      <c r="E566" s="515">
        <v>0.148569288943387</v>
      </c>
      <c r="F566" s="515">
        <v>4.8421001657720002E-2</v>
      </c>
      <c r="G566" s="299"/>
      <c r="H566" s="300">
        <f t="shared" si="74"/>
        <v>0</v>
      </c>
      <c r="I566" s="299"/>
      <c r="J566" s="1"/>
      <c r="K566" s="299"/>
      <c r="L566" s="1"/>
      <c r="M566" s="299"/>
      <c r="N566" s="299"/>
      <c r="O566" s="299"/>
      <c r="P566" s="299"/>
      <c r="Q566" s="298"/>
      <c r="R566" s="300">
        <f t="shared" si="75"/>
        <v>0</v>
      </c>
      <c r="S566" s="300">
        <f t="shared" si="76"/>
        <v>0</v>
      </c>
      <c r="T566" s="300">
        <f t="shared" si="77"/>
        <v>0</v>
      </c>
      <c r="U566" s="300">
        <f t="shared" si="78"/>
        <v>0</v>
      </c>
      <c r="V566" s="300">
        <f t="shared" si="79"/>
        <v>0</v>
      </c>
      <c r="W566" s="300">
        <f t="shared" si="80"/>
        <v>0</v>
      </c>
      <c r="X566" s="300">
        <f t="shared" si="81"/>
        <v>0</v>
      </c>
      <c r="Y566" s="300">
        <f t="shared" si="82"/>
        <v>0</v>
      </c>
      <c r="Z566"/>
      <c r="AA566"/>
      <c r="AB566"/>
    </row>
    <row r="567" spans="1:28" x14ac:dyDescent="0.35">
      <c r="A567" s="299"/>
      <c r="B567" s="515">
        <v>6.3826823221000003E-5</v>
      </c>
      <c r="C567" s="515">
        <v>-1.900808175691064</v>
      </c>
      <c r="D567" s="515">
        <v>1.1436842022523259</v>
      </c>
      <c r="E567" s="515">
        <v>0.13462702229353599</v>
      </c>
      <c r="F567" s="515">
        <v>5.5253703939843003E-2</v>
      </c>
      <c r="G567" s="299"/>
      <c r="H567" s="300">
        <f t="shared" si="74"/>
        <v>0</v>
      </c>
      <c r="I567" s="299"/>
      <c r="J567" s="1"/>
      <c r="K567" s="299"/>
      <c r="L567" s="1"/>
      <c r="M567" s="299"/>
      <c r="N567" s="299"/>
      <c r="O567" s="299"/>
      <c r="P567" s="299"/>
      <c r="Q567" s="298"/>
      <c r="R567" s="300">
        <f t="shared" si="75"/>
        <v>0</v>
      </c>
      <c r="S567" s="300">
        <f t="shared" si="76"/>
        <v>0</v>
      </c>
      <c r="T567" s="300">
        <f t="shared" si="77"/>
        <v>0</v>
      </c>
      <c r="U567" s="300">
        <f t="shared" si="78"/>
        <v>0</v>
      </c>
      <c r="V567" s="300">
        <f t="shared" si="79"/>
        <v>0</v>
      </c>
      <c r="W567" s="300">
        <f t="shared" si="80"/>
        <v>0</v>
      </c>
      <c r="X567" s="300">
        <f t="shared" si="81"/>
        <v>0</v>
      </c>
      <c r="Y567" s="300">
        <f t="shared" si="82"/>
        <v>0</v>
      </c>
      <c r="Z567"/>
      <c r="AA567"/>
      <c r="AB567"/>
    </row>
    <row r="568" spans="1:28" x14ac:dyDescent="0.35">
      <c r="A568" s="299"/>
      <c r="B568" s="515">
        <v>13.177323084705289</v>
      </c>
      <c r="C568" s="515">
        <v>-0.31245298163309798</v>
      </c>
      <c r="D568" s="515">
        <v>1.557189913049724</v>
      </c>
      <c r="E568" s="515">
        <v>0.138013776955595</v>
      </c>
      <c r="F568" s="515">
        <v>7.5025602039555994E-2</v>
      </c>
      <c r="G568" s="299"/>
      <c r="H568" s="300">
        <f t="shared" si="74"/>
        <v>0</v>
      </c>
      <c r="I568" s="299"/>
      <c r="J568" s="1"/>
      <c r="K568" s="299"/>
      <c r="L568" s="1"/>
      <c r="M568" s="299"/>
      <c r="N568" s="299"/>
      <c r="O568" s="299"/>
      <c r="P568" s="299"/>
      <c r="Q568" s="298"/>
      <c r="R568" s="300">
        <f t="shared" si="75"/>
        <v>0</v>
      </c>
      <c r="S568" s="300">
        <f t="shared" si="76"/>
        <v>0</v>
      </c>
      <c r="T568" s="300">
        <f t="shared" si="77"/>
        <v>0</v>
      </c>
      <c r="U568" s="300">
        <f t="shared" si="78"/>
        <v>0</v>
      </c>
      <c r="V568" s="300">
        <f t="shared" si="79"/>
        <v>0</v>
      </c>
      <c r="W568" s="300">
        <f t="shared" si="80"/>
        <v>0</v>
      </c>
      <c r="X568" s="300">
        <f t="shared" si="81"/>
        <v>0</v>
      </c>
      <c r="Y568" s="300">
        <f t="shared" si="82"/>
        <v>0</v>
      </c>
      <c r="Z568"/>
      <c r="AA568"/>
      <c r="AB568"/>
    </row>
    <row r="569" spans="1:28" x14ac:dyDescent="0.35">
      <c r="A569" s="299"/>
      <c r="B569" s="515">
        <v>5.8291819909883671</v>
      </c>
      <c r="C569" s="515">
        <v>-0.481393189360797</v>
      </c>
      <c r="D569" s="515">
        <v>0.83374214775492606</v>
      </c>
      <c r="E569" s="515">
        <v>0.165103754725165</v>
      </c>
      <c r="F569" s="515">
        <v>6.3450436909835997E-2</v>
      </c>
      <c r="G569" s="299"/>
      <c r="H569" s="300">
        <f t="shared" si="74"/>
        <v>0</v>
      </c>
      <c r="I569" s="299"/>
      <c r="J569" s="1"/>
      <c r="K569" s="299"/>
      <c r="L569" s="1"/>
      <c r="M569" s="299"/>
      <c r="N569" s="299"/>
      <c r="O569" s="299"/>
      <c r="P569" s="299"/>
      <c r="Q569" s="298"/>
      <c r="R569" s="300">
        <f t="shared" si="75"/>
        <v>0</v>
      </c>
      <c r="S569" s="300">
        <f t="shared" si="76"/>
        <v>0</v>
      </c>
      <c r="T569" s="300">
        <f t="shared" si="77"/>
        <v>0</v>
      </c>
      <c r="U569" s="300">
        <f t="shared" si="78"/>
        <v>0</v>
      </c>
      <c r="V569" s="300">
        <f t="shared" si="79"/>
        <v>0</v>
      </c>
      <c r="W569" s="300">
        <f t="shared" si="80"/>
        <v>0</v>
      </c>
      <c r="X569" s="300">
        <f t="shared" si="81"/>
        <v>0</v>
      </c>
      <c r="Y569" s="300">
        <f t="shared" si="82"/>
        <v>0</v>
      </c>
      <c r="Z569"/>
      <c r="AA569"/>
      <c r="AB569"/>
    </row>
    <row r="570" spans="1:28" x14ac:dyDescent="0.35">
      <c r="A570" s="299"/>
      <c r="B570" s="515">
        <v>1.1955596257545811</v>
      </c>
      <c r="C570" s="515">
        <v>8.8937291150434E-2</v>
      </c>
      <c r="D570" s="515">
        <v>1.388680942428115</v>
      </c>
      <c r="E570" s="515">
        <v>0.17084233155317899</v>
      </c>
      <c r="F570" s="515">
        <v>2.6374606938544001E-2</v>
      </c>
      <c r="G570" s="299"/>
      <c r="H570" s="300">
        <f t="shared" si="74"/>
        <v>0</v>
      </c>
      <c r="I570" s="299"/>
      <c r="J570" s="1"/>
      <c r="K570" s="299"/>
      <c r="L570" s="1"/>
      <c r="M570" s="299"/>
      <c r="N570" s="299"/>
      <c r="O570" s="299"/>
      <c r="P570" s="299"/>
      <c r="Q570" s="298"/>
      <c r="R570" s="300">
        <f t="shared" si="75"/>
        <v>0</v>
      </c>
      <c r="S570" s="300">
        <f t="shared" si="76"/>
        <v>0</v>
      </c>
      <c r="T570" s="300">
        <f t="shared" si="77"/>
        <v>0</v>
      </c>
      <c r="U570" s="300">
        <f t="shared" si="78"/>
        <v>0</v>
      </c>
      <c r="V570" s="300">
        <f t="shared" si="79"/>
        <v>0</v>
      </c>
      <c r="W570" s="300">
        <f t="shared" si="80"/>
        <v>0</v>
      </c>
      <c r="X570" s="300">
        <f t="shared" si="81"/>
        <v>0</v>
      </c>
      <c r="Y570" s="300">
        <f t="shared" si="82"/>
        <v>0</v>
      </c>
      <c r="Z570"/>
      <c r="AA570"/>
      <c r="AB570"/>
    </row>
    <row r="571" spans="1:28" x14ac:dyDescent="0.35">
      <c r="A571" s="299"/>
      <c r="B571" s="515">
        <v>16.344285161240489</v>
      </c>
      <c r="C571" s="515">
        <v>-0.168444962840747</v>
      </c>
      <c r="D571" s="515">
        <v>1.329392147724894</v>
      </c>
      <c r="E571" s="515">
        <v>0.136608935107742</v>
      </c>
      <c r="F571" s="515">
        <v>8.0976771221104998E-2</v>
      </c>
      <c r="G571" s="299"/>
      <c r="H571" s="300">
        <f t="shared" si="74"/>
        <v>0</v>
      </c>
      <c r="I571" s="299"/>
      <c r="J571" s="1"/>
      <c r="K571" s="299"/>
      <c r="L571" s="1"/>
      <c r="M571" s="299"/>
      <c r="N571" s="299"/>
      <c r="O571" s="299"/>
      <c r="P571" s="299"/>
      <c r="Q571" s="298"/>
      <c r="R571" s="300">
        <f t="shared" si="75"/>
        <v>0</v>
      </c>
      <c r="S571" s="300">
        <f t="shared" si="76"/>
        <v>0</v>
      </c>
      <c r="T571" s="300">
        <f t="shared" si="77"/>
        <v>0</v>
      </c>
      <c r="U571" s="300">
        <f t="shared" si="78"/>
        <v>0</v>
      </c>
      <c r="V571" s="300">
        <f t="shared" si="79"/>
        <v>0</v>
      </c>
      <c r="W571" s="300">
        <f t="shared" si="80"/>
        <v>0</v>
      </c>
      <c r="X571" s="300">
        <f t="shared" si="81"/>
        <v>0</v>
      </c>
      <c r="Y571" s="300">
        <f t="shared" si="82"/>
        <v>0</v>
      </c>
      <c r="Z571"/>
      <c r="AA571"/>
      <c r="AB571"/>
    </row>
    <row r="572" spans="1:28" x14ac:dyDescent="0.35">
      <c r="A572" s="299"/>
      <c r="B572" s="515">
        <v>13.415586896443729</v>
      </c>
      <c r="C572" s="515">
        <v>-0.23902498210137399</v>
      </c>
      <c r="D572" s="515">
        <v>1.5701583412479989</v>
      </c>
      <c r="E572" s="515">
        <v>0.175254163113474</v>
      </c>
      <c r="F572" s="515">
        <v>6.9870566393774994E-2</v>
      </c>
      <c r="G572" s="299"/>
      <c r="H572" s="300">
        <f t="shared" si="74"/>
        <v>0</v>
      </c>
      <c r="I572" s="299"/>
      <c r="J572" s="1"/>
      <c r="K572" s="299"/>
      <c r="L572" s="1"/>
      <c r="M572" s="299"/>
      <c r="N572" s="299"/>
      <c r="O572" s="299"/>
      <c r="P572" s="299"/>
      <c r="Q572" s="298"/>
      <c r="R572" s="300">
        <f t="shared" si="75"/>
        <v>0</v>
      </c>
      <c r="S572" s="300">
        <f t="shared" si="76"/>
        <v>0</v>
      </c>
      <c r="T572" s="300">
        <f t="shared" si="77"/>
        <v>0</v>
      </c>
      <c r="U572" s="300">
        <f t="shared" si="78"/>
        <v>0</v>
      </c>
      <c r="V572" s="300">
        <f t="shared" si="79"/>
        <v>0</v>
      </c>
      <c r="W572" s="300">
        <f t="shared" si="80"/>
        <v>0</v>
      </c>
      <c r="X572" s="300">
        <f t="shared" si="81"/>
        <v>0</v>
      </c>
      <c r="Y572" s="300">
        <f t="shared" si="82"/>
        <v>0</v>
      </c>
      <c r="Z572"/>
      <c r="AA572"/>
      <c r="AB572"/>
    </row>
    <row r="573" spans="1:28" x14ac:dyDescent="0.35">
      <c r="A573" s="299"/>
      <c r="B573" s="515">
        <v>2.4435039162995889</v>
      </c>
      <c r="C573" s="515">
        <v>-9.3317236689769004E-2</v>
      </c>
      <c r="D573" s="515">
        <v>2.139839886864932</v>
      </c>
      <c r="E573" s="515">
        <v>0.164251193944356</v>
      </c>
      <c r="F573" s="515">
        <v>2.3671931406674E-2</v>
      </c>
      <c r="G573" s="299"/>
      <c r="H573" s="300">
        <f t="shared" si="74"/>
        <v>0</v>
      </c>
      <c r="I573" s="299"/>
      <c r="J573" s="1"/>
      <c r="K573" s="299"/>
      <c r="L573" s="1"/>
      <c r="M573" s="299"/>
      <c r="N573" s="299"/>
      <c r="O573" s="299"/>
      <c r="P573" s="299"/>
      <c r="Q573" s="298"/>
      <c r="R573" s="300">
        <f t="shared" si="75"/>
        <v>0</v>
      </c>
      <c r="S573" s="300">
        <f t="shared" si="76"/>
        <v>0</v>
      </c>
      <c r="T573" s="300">
        <f t="shared" si="77"/>
        <v>0</v>
      </c>
      <c r="U573" s="300">
        <f t="shared" si="78"/>
        <v>0</v>
      </c>
      <c r="V573" s="300">
        <f t="shared" si="79"/>
        <v>0</v>
      </c>
      <c r="W573" s="300">
        <f t="shared" si="80"/>
        <v>0</v>
      </c>
      <c r="X573" s="300">
        <f t="shared" si="81"/>
        <v>0</v>
      </c>
      <c r="Y573" s="300">
        <f t="shared" si="82"/>
        <v>0</v>
      </c>
      <c r="Z573"/>
      <c r="AA573"/>
      <c r="AB573"/>
    </row>
    <row r="574" spans="1:28" x14ac:dyDescent="0.35">
      <c r="A574" s="299"/>
      <c r="B574" s="515">
        <v>2.7492684578234781</v>
      </c>
      <c r="C574" s="515">
        <v>7.4466962988492993E-2</v>
      </c>
      <c r="D574" s="515">
        <v>2.0003388928376742</v>
      </c>
      <c r="E574" s="515">
        <v>0.25028218560798599</v>
      </c>
      <c r="F574" s="515">
        <v>7.2696414209820004E-3</v>
      </c>
      <c r="G574" s="299"/>
      <c r="H574" s="300">
        <f t="shared" si="74"/>
        <v>0</v>
      </c>
      <c r="I574" s="299"/>
      <c r="J574" s="1"/>
      <c r="K574" s="299"/>
      <c r="L574" s="1"/>
      <c r="M574" s="299"/>
      <c r="N574" s="299"/>
      <c r="O574" s="299"/>
      <c r="P574" s="299"/>
      <c r="Q574" s="298"/>
      <c r="R574" s="300">
        <f t="shared" si="75"/>
        <v>0</v>
      </c>
      <c r="S574" s="300">
        <f t="shared" si="76"/>
        <v>0</v>
      </c>
      <c r="T574" s="300">
        <f t="shared" si="77"/>
        <v>0</v>
      </c>
      <c r="U574" s="300">
        <f t="shared" si="78"/>
        <v>0</v>
      </c>
      <c r="V574" s="300">
        <f t="shared" si="79"/>
        <v>0</v>
      </c>
      <c r="W574" s="300">
        <f t="shared" si="80"/>
        <v>0</v>
      </c>
      <c r="X574" s="300">
        <f t="shared" si="81"/>
        <v>0</v>
      </c>
      <c r="Y574" s="300">
        <f t="shared" si="82"/>
        <v>0</v>
      </c>
      <c r="Z574"/>
      <c r="AA574"/>
      <c r="AB574"/>
    </row>
    <row r="575" spans="1:28" x14ac:dyDescent="0.35">
      <c r="A575" s="299"/>
      <c r="B575" s="515">
        <v>0.75661420896346399</v>
      </c>
      <c r="C575" s="515">
        <v>6.4513140313148004E-2</v>
      </c>
      <c r="D575" s="515">
        <v>1.919097847835026</v>
      </c>
      <c r="E575" s="515">
        <v>0.229842902168886</v>
      </c>
      <c r="F575" s="515">
        <v>6.0656740914389997E-3</v>
      </c>
      <c r="G575" s="299"/>
      <c r="H575" s="300">
        <f t="shared" si="74"/>
        <v>0</v>
      </c>
      <c r="I575" s="299"/>
      <c r="J575" s="1"/>
      <c r="K575" s="299"/>
      <c r="L575" s="1"/>
      <c r="M575" s="299"/>
      <c r="N575" s="299"/>
      <c r="O575" s="299"/>
      <c r="P575" s="299"/>
      <c r="Q575" s="298"/>
      <c r="R575" s="300">
        <f t="shared" si="75"/>
        <v>0</v>
      </c>
      <c r="S575" s="300">
        <f t="shared" si="76"/>
        <v>0</v>
      </c>
      <c r="T575" s="300">
        <f t="shared" si="77"/>
        <v>0</v>
      </c>
      <c r="U575" s="300">
        <f t="shared" si="78"/>
        <v>0</v>
      </c>
      <c r="V575" s="300">
        <f t="shared" si="79"/>
        <v>0</v>
      </c>
      <c r="W575" s="300">
        <f t="shared" si="80"/>
        <v>0</v>
      </c>
      <c r="X575" s="300">
        <f t="shared" si="81"/>
        <v>0</v>
      </c>
      <c r="Y575" s="300">
        <f t="shared" si="82"/>
        <v>0</v>
      </c>
      <c r="Z575"/>
      <c r="AA575"/>
      <c r="AB575"/>
    </row>
    <row r="576" spans="1:28" x14ac:dyDescent="0.35">
      <c r="A576" s="299"/>
      <c r="B576" s="515">
        <v>4.6658862937998116</v>
      </c>
      <c r="C576" s="515">
        <v>7.1188435794479005E-2</v>
      </c>
      <c r="D576" s="515">
        <v>1.185447914653774</v>
      </c>
      <c r="E576" s="515">
        <v>1.2180435438493E-2</v>
      </c>
      <c r="F576" s="515">
        <v>6.4944421199303007E-2</v>
      </c>
      <c r="G576" s="299"/>
      <c r="H576" s="300">
        <f t="shared" si="74"/>
        <v>0</v>
      </c>
      <c r="I576" s="299"/>
      <c r="J576" s="1"/>
      <c r="K576" s="299"/>
      <c r="L576" s="1"/>
      <c r="M576" s="299"/>
      <c r="N576" s="299"/>
      <c r="O576" s="299"/>
      <c r="P576" s="299"/>
      <c r="Q576" s="298"/>
      <c r="R576" s="300">
        <f t="shared" si="75"/>
        <v>0</v>
      </c>
      <c r="S576" s="300">
        <f t="shared" si="76"/>
        <v>0</v>
      </c>
      <c r="T576" s="300">
        <f t="shared" si="77"/>
        <v>0</v>
      </c>
      <c r="U576" s="300">
        <f t="shared" si="78"/>
        <v>0</v>
      </c>
      <c r="V576" s="300">
        <f t="shared" si="79"/>
        <v>0</v>
      </c>
      <c r="W576" s="300">
        <f t="shared" si="80"/>
        <v>0</v>
      </c>
      <c r="X576" s="300">
        <f t="shared" si="81"/>
        <v>0</v>
      </c>
      <c r="Y576" s="300">
        <f t="shared" si="82"/>
        <v>0</v>
      </c>
      <c r="Z576"/>
      <c r="AA576"/>
      <c r="AB576"/>
    </row>
    <row r="577" spans="1:28" x14ac:dyDescent="0.35">
      <c r="A577" s="299"/>
      <c r="B577" s="515">
        <v>28.34844600643893</v>
      </c>
      <c r="C577" s="515">
        <v>0.15545052785597799</v>
      </c>
      <c r="D577" s="515">
        <v>3.3233277784622408</v>
      </c>
      <c r="E577" s="515">
        <v>2.4573756680819001E-2</v>
      </c>
      <c r="F577" s="515">
        <v>6.1927067885147E-2</v>
      </c>
      <c r="G577" s="299"/>
      <c r="H577" s="300">
        <f t="shared" ref="H577:H602" si="83">SUMPRODUCT(B577:F577,B$61:F$61)</f>
        <v>0</v>
      </c>
      <c r="I577" s="299"/>
      <c r="J577" s="1"/>
      <c r="K577" s="299"/>
      <c r="L577" s="1"/>
      <c r="M577" s="299"/>
      <c r="N577" s="299"/>
      <c r="O577" s="299"/>
      <c r="P577" s="299"/>
      <c r="Q577" s="298"/>
      <c r="R577" s="300">
        <f t="shared" ref="R577:R602" si="84">SUMPRODUCT($B577:$F577,$K$64:$O$64)</f>
        <v>0</v>
      </c>
      <c r="S577" s="300">
        <f t="shared" ref="S577:S602" si="85">SUMPRODUCT($B577:$F577,$K$65:$O$65)</f>
        <v>0</v>
      </c>
      <c r="T577" s="300">
        <f t="shared" ref="T577:T602" si="86">SUMPRODUCT($B577:$F577,$K$66:$O$66)</f>
        <v>0</v>
      </c>
      <c r="U577" s="300">
        <f t="shared" ref="U577:U602" si="87">SUMPRODUCT($B577:$F577,$K$67:$O$67)</f>
        <v>0</v>
      </c>
      <c r="V577" s="300">
        <f t="shared" ref="V577:V602" si="88">SUMPRODUCT($B577:$F577,$K$68:$O$68)</f>
        <v>0</v>
      </c>
      <c r="W577" s="300">
        <f t="shared" ref="W577:W602" si="89">SUMPRODUCT($B577:$F577,$K$69:$O$69)</f>
        <v>0</v>
      </c>
      <c r="X577" s="300">
        <f t="shared" ref="X577:X602" si="90">SUMPRODUCT($B577:$F577,$K$70:$O$70)</f>
        <v>0</v>
      </c>
      <c r="Y577" s="300">
        <f t="shared" ref="Y577:Y602" si="91">SUMPRODUCT($B577:$F577,$K$71:$O$71)</f>
        <v>0</v>
      </c>
      <c r="Z577"/>
      <c r="AA577"/>
      <c r="AB577"/>
    </row>
    <row r="578" spans="1:28" x14ac:dyDescent="0.35">
      <c r="A578" s="299"/>
      <c r="B578" s="515">
        <v>11.17024702484424</v>
      </c>
      <c r="C578" s="515">
        <v>0.16799561318732101</v>
      </c>
      <c r="D578" s="515">
        <v>1.10688381839613</v>
      </c>
      <c r="E578" s="515">
        <v>4.7293087713371998E-2</v>
      </c>
      <c r="F578" s="515">
        <v>7.7586736920041005E-2</v>
      </c>
      <c r="G578" s="299"/>
      <c r="H578" s="300">
        <f t="shared" si="83"/>
        <v>0</v>
      </c>
      <c r="I578" s="299"/>
      <c r="J578" s="1"/>
      <c r="K578" s="299"/>
      <c r="L578" s="1"/>
      <c r="M578" s="299"/>
      <c r="N578" s="299"/>
      <c r="O578" s="299"/>
      <c r="P578" s="299"/>
      <c r="Q578" s="298"/>
      <c r="R578" s="300">
        <f t="shared" si="84"/>
        <v>0</v>
      </c>
      <c r="S578" s="300">
        <f t="shared" si="85"/>
        <v>0</v>
      </c>
      <c r="T578" s="300">
        <f t="shared" si="86"/>
        <v>0</v>
      </c>
      <c r="U578" s="300">
        <f t="shared" si="87"/>
        <v>0</v>
      </c>
      <c r="V578" s="300">
        <f t="shared" si="88"/>
        <v>0</v>
      </c>
      <c r="W578" s="300">
        <f t="shared" si="89"/>
        <v>0</v>
      </c>
      <c r="X578" s="300">
        <f t="shared" si="90"/>
        <v>0</v>
      </c>
      <c r="Y578" s="300">
        <f t="shared" si="91"/>
        <v>0</v>
      </c>
      <c r="Z578"/>
      <c r="AA578"/>
      <c r="AB578"/>
    </row>
    <row r="579" spans="1:28" x14ac:dyDescent="0.35">
      <c r="A579" s="299"/>
      <c r="B579" s="515">
        <v>12.89374602123458</v>
      </c>
      <c r="C579" s="515">
        <v>-0.98062820970392095</v>
      </c>
      <c r="D579" s="515">
        <v>0.13558581267642</v>
      </c>
      <c r="E579" s="515">
        <v>0.27070130571968798</v>
      </c>
      <c r="F579" s="515">
        <v>7.8563447194560002E-2</v>
      </c>
      <c r="G579" s="299"/>
      <c r="H579" s="300">
        <f t="shared" si="83"/>
        <v>0</v>
      </c>
      <c r="I579" s="299"/>
      <c r="J579" s="1"/>
      <c r="K579" s="299"/>
      <c r="L579" s="1"/>
      <c r="M579" s="299"/>
      <c r="N579" s="299"/>
      <c r="O579" s="299"/>
      <c r="P579" s="299"/>
      <c r="Q579" s="298"/>
      <c r="R579" s="300">
        <f t="shared" si="84"/>
        <v>0</v>
      </c>
      <c r="S579" s="300">
        <f t="shared" si="85"/>
        <v>0</v>
      </c>
      <c r="T579" s="300">
        <f t="shared" si="86"/>
        <v>0</v>
      </c>
      <c r="U579" s="300">
        <f t="shared" si="87"/>
        <v>0</v>
      </c>
      <c r="V579" s="300">
        <f t="shared" si="88"/>
        <v>0</v>
      </c>
      <c r="W579" s="300">
        <f t="shared" si="89"/>
        <v>0</v>
      </c>
      <c r="X579" s="300">
        <f t="shared" si="90"/>
        <v>0</v>
      </c>
      <c r="Y579" s="300">
        <f t="shared" si="91"/>
        <v>0</v>
      </c>
      <c r="Z579"/>
      <c r="AA579"/>
      <c r="AB579"/>
    </row>
    <row r="580" spans="1:28" x14ac:dyDescent="0.35">
      <c r="A580" s="299"/>
      <c r="B580" s="515">
        <v>0.62917888463230498</v>
      </c>
      <c r="C580" s="515">
        <v>-3.289356652888562</v>
      </c>
      <c r="D580" s="515">
        <v>3.2619822380927997E-2</v>
      </c>
      <c r="E580" s="515">
        <v>0.105560634481523</v>
      </c>
      <c r="F580" s="515">
        <v>7.0549569763119005E-2</v>
      </c>
      <c r="G580" s="299"/>
      <c r="H580" s="300">
        <f t="shared" si="83"/>
        <v>0</v>
      </c>
      <c r="I580" s="299"/>
      <c r="J580" s="1"/>
      <c r="K580" s="299"/>
      <c r="L580" s="1"/>
      <c r="M580" s="299"/>
      <c r="N580" s="299"/>
      <c r="O580" s="299"/>
      <c r="P580" s="299"/>
      <c r="Q580" s="298"/>
      <c r="R580" s="300">
        <f t="shared" si="84"/>
        <v>0</v>
      </c>
      <c r="S580" s="300">
        <f t="shared" si="85"/>
        <v>0</v>
      </c>
      <c r="T580" s="300">
        <f t="shared" si="86"/>
        <v>0</v>
      </c>
      <c r="U580" s="300">
        <f t="shared" si="87"/>
        <v>0</v>
      </c>
      <c r="V580" s="300">
        <f t="shared" si="88"/>
        <v>0</v>
      </c>
      <c r="W580" s="300">
        <f t="shared" si="89"/>
        <v>0</v>
      </c>
      <c r="X580" s="300">
        <f t="shared" si="90"/>
        <v>0</v>
      </c>
      <c r="Y580" s="300">
        <f t="shared" si="91"/>
        <v>0</v>
      </c>
      <c r="Z580"/>
      <c r="AA580"/>
      <c r="AB580"/>
    </row>
    <row r="581" spans="1:28" x14ac:dyDescent="0.35">
      <c r="A581" s="299"/>
      <c r="B581" s="515">
        <v>14.27763028963644</v>
      </c>
      <c r="C581" s="515">
        <v>-3.289379024104274</v>
      </c>
      <c r="D581" s="515">
        <v>2.0149449504617412</v>
      </c>
      <c r="E581" s="515">
        <v>0.27003020955995</v>
      </c>
      <c r="F581" s="515">
        <v>7.2241286314540007E-2</v>
      </c>
      <c r="G581" s="299"/>
      <c r="H581" s="300">
        <f t="shared" si="83"/>
        <v>0</v>
      </c>
      <c r="I581" s="299"/>
      <c r="J581" s="1"/>
      <c r="K581" s="299"/>
      <c r="L581" s="1"/>
      <c r="M581" s="299"/>
      <c r="N581" s="299"/>
      <c r="O581" s="299"/>
      <c r="P581" s="299"/>
      <c r="Q581" s="298"/>
      <c r="R581" s="300">
        <f t="shared" si="84"/>
        <v>0</v>
      </c>
      <c r="S581" s="300">
        <f t="shared" si="85"/>
        <v>0</v>
      </c>
      <c r="T581" s="300">
        <f t="shared" si="86"/>
        <v>0</v>
      </c>
      <c r="U581" s="300">
        <f t="shared" si="87"/>
        <v>0</v>
      </c>
      <c r="V581" s="300">
        <f t="shared" si="88"/>
        <v>0</v>
      </c>
      <c r="W581" s="300">
        <f t="shared" si="89"/>
        <v>0</v>
      </c>
      <c r="X581" s="300">
        <f t="shared" si="90"/>
        <v>0</v>
      </c>
      <c r="Y581" s="300">
        <f t="shared" si="91"/>
        <v>0</v>
      </c>
      <c r="Z581"/>
      <c r="AA581"/>
      <c r="AB581"/>
    </row>
    <row r="582" spans="1:28" x14ac:dyDescent="0.35">
      <c r="A582" s="299"/>
      <c r="B582" s="515">
        <v>2.7345151465361321</v>
      </c>
      <c r="C582" s="515">
        <v>7.4368561131677002E-2</v>
      </c>
      <c r="D582" s="515">
        <v>2.0004510144336312</v>
      </c>
      <c r="E582" s="515">
        <v>0.25018045383248599</v>
      </c>
      <c r="F582" s="515">
        <v>7.2420003629949997E-3</v>
      </c>
      <c r="G582" s="299"/>
      <c r="H582" s="300">
        <f t="shared" si="83"/>
        <v>0</v>
      </c>
      <c r="I582" s="299"/>
      <c r="J582" s="1"/>
      <c r="K582" s="299"/>
      <c r="L582" s="1"/>
      <c r="M582" s="299"/>
      <c r="N582" s="299"/>
      <c r="O582" s="299"/>
      <c r="P582" s="299"/>
      <c r="Q582" s="298"/>
      <c r="R582" s="300">
        <f t="shared" si="84"/>
        <v>0</v>
      </c>
      <c r="S582" s="300">
        <f t="shared" si="85"/>
        <v>0</v>
      </c>
      <c r="T582" s="300">
        <f t="shared" si="86"/>
        <v>0</v>
      </c>
      <c r="U582" s="300">
        <f t="shared" si="87"/>
        <v>0</v>
      </c>
      <c r="V582" s="300">
        <f t="shared" si="88"/>
        <v>0</v>
      </c>
      <c r="W582" s="300">
        <f t="shared" si="89"/>
        <v>0</v>
      </c>
      <c r="X582" s="300">
        <f t="shared" si="90"/>
        <v>0</v>
      </c>
      <c r="Y582" s="300">
        <f t="shared" si="91"/>
        <v>0</v>
      </c>
      <c r="Z582"/>
      <c r="AA582"/>
      <c r="AB582"/>
    </row>
    <row r="583" spans="1:28" x14ac:dyDescent="0.35">
      <c r="A583" s="299"/>
      <c r="B583" s="515">
        <v>14.391582119084839</v>
      </c>
      <c r="C583" s="515">
        <v>-0.93267709286310996</v>
      </c>
      <c r="D583" s="515">
        <v>1.6730876614099071</v>
      </c>
      <c r="E583" s="515">
        <v>0.220913256279823</v>
      </c>
      <c r="F583" s="515">
        <v>7.4882133740800993E-2</v>
      </c>
      <c r="G583" s="299"/>
      <c r="H583" s="300">
        <f t="shared" si="83"/>
        <v>0</v>
      </c>
      <c r="I583" s="299"/>
      <c r="J583" s="1"/>
      <c r="K583" s="299"/>
      <c r="L583" s="1"/>
      <c r="M583" s="299"/>
      <c r="N583" s="299"/>
      <c r="O583" s="299"/>
      <c r="P583" s="299"/>
      <c r="Q583" s="298"/>
      <c r="R583" s="300">
        <f t="shared" si="84"/>
        <v>0</v>
      </c>
      <c r="S583" s="300">
        <f t="shared" si="85"/>
        <v>0</v>
      </c>
      <c r="T583" s="300">
        <f t="shared" si="86"/>
        <v>0</v>
      </c>
      <c r="U583" s="300">
        <f t="shared" si="87"/>
        <v>0</v>
      </c>
      <c r="V583" s="300">
        <f t="shared" si="88"/>
        <v>0</v>
      </c>
      <c r="W583" s="300">
        <f t="shared" si="89"/>
        <v>0</v>
      </c>
      <c r="X583" s="300">
        <f t="shared" si="90"/>
        <v>0</v>
      </c>
      <c r="Y583" s="300">
        <f t="shared" si="91"/>
        <v>0</v>
      </c>
      <c r="Z583"/>
      <c r="AA583"/>
      <c r="AB583"/>
    </row>
    <row r="584" spans="1:28" x14ac:dyDescent="0.35">
      <c r="A584" s="299"/>
      <c r="B584" s="515">
        <v>9.0943137600873367</v>
      </c>
      <c r="C584" s="515">
        <v>-1.8543961181036031</v>
      </c>
      <c r="D584" s="515">
        <v>1.410056533172513</v>
      </c>
      <c r="E584" s="515">
        <v>0.27050555469609</v>
      </c>
      <c r="F584" s="515">
        <v>6.1525869968945997E-2</v>
      </c>
      <c r="G584" s="299"/>
      <c r="H584" s="300">
        <f t="shared" si="83"/>
        <v>0</v>
      </c>
      <c r="I584" s="299"/>
      <c r="J584" s="1"/>
      <c r="K584" s="299"/>
      <c r="L584" s="1"/>
      <c r="M584" s="299"/>
      <c r="N584" s="299"/>
      <c r="O584" s="299"/>
      <c r="P584" s="299"/>
      <c r="Q584" s="298"/>
      <c r="R584" s="300">
        <f t="shared" si="84"/>
        <v>0</v>
      </c>
      <c r="S584" s="300">
        <f t="shared" si="85"/>
        <v>0</v>
      </c>
      <c r="T584" s="300">
        <f t="shared" si="86"/>
        <v>0</v>
      </c>
      <c r="U584" s="300">
        <f t="shared" si="87"/>
        <v>0</v>
      </c>
      <c r="V584" s="300">
        <f t="shared" si="88"/>
        <v>0</v>
      </c>
      <c r="W584" s="300">
        <f t="shared" si="89"/>
        <v>0</v>
      </c>
      <c r="X584" s="300">
        <f t="shared" si="90"/>
        <v>0</v>
      </c>
      <c r="Y584" s="300">
        <f t="shared" si="91"/>
        <v>0</v>
      </c>
      <c r="Z584"/>
      <c r="AA584"/>
      <c r="AB584"/>
    </row>
    <row r="585" spans="1:28" x14ac:dyDescent="0.35">
      <c r="A585" s="299"/>
      <c r="B585" s="515">
        <v>0.38993627900510802</v>
      </c>
      <c r="C585" s="515">
        <v>5.3261905729242998E-2</v>
      </c>
      <c r="D585" s="515">
        <v>1.8266560834148919</v>
      </c>
      <c r="E585" s="515">
        <v>0.217965327179035</v>
      </c>
      <c r="F585" s="515">
        <v>8.9908840201530001E-3</v>
      </c>
      <c r="G585" s="299"/>
      <c r="H585" s="300">
        <f t="shared" si="83"/>
        <v>0</v>
      </c>
      <c r="I585" s="299"/>
      <c r="J585" s="1"/>
      <c r="K585" s="299"/>
      <c r="L585" s="1"/>
      <c r="M585" s="299"/>
      <c r="N585" s="299"/>
      <c r="O585" s="299"/>
      <c r="P585" s="299"/>
      <c r="Q585" s="298"/>
      <c r="R585" s="300">
        <f t="shared" si="84"/>
        <v>0</v>
      </c>
      <c r="S585" s="300">
        <f t="shared" si="85"/>
        <v>0</v>
      </c>
      <c r="T585" s="300">
        <f t="shared" si="86"/>
        <v>0</v>
      </c>
      <c r="U585" s="300">
        <f t="shared" si="87"/>
        <v>0</v>
      </c>
      <c r="V585" s="300">
        <f t="shared" si="88"/>
        <v>0</v>
      </c>
      <c r="W585" s="300">
        <f t="shared" si="89"/>
        <v>0</v>
      </c>
      <c r="X585" s="300">
        <f t="shared" si="90"/>
        <v>0</v>
      </c>
      <c r="Y585" s="300">
        <f t="shared" si="91"/>
        <v>0</v>
      </c>
      <c r="Z585"/>
      <c r="AA585"/>
      <c r="AB585"/>
    </row>
    <row r="586" spans="1:28" x14ac:dyDescent="0.35">
      <c r="A586" s="299"/>
      <c r="B586" s="515">
        <v>18.026894441335841</v>
      </c>
      <c r="C586" s="515">
        <v>-3.228927556136759</v>
      </c>
      <c r="D586" s="515">
        <v>3.3233785824399389</v>
      </c>
      <c r="E586" s="515">
        <v>0.26690995414111102</v>
      </c>
      <c r="F586" s="515">
        <v>6.3906502204206003E-2</v>
      </c>
      <c r="G586" s="299"/>
      <c r="H586" s="300">
        <f t="shared" si="83"/>
        <v>0</v>
      </c>
      <c r="I586" s="299"/>
      <c r="J586" s="1"/>
      <c r="K586" s="299"/>
      <c r="L586" s="1"/>
      <c r="M586" s="299"/>
      <c r="N586" s="299"/>
      <c r="O586" s="299"/>
      <c r="P586" s="299"/>
      <c r="Q586" s="298"/>
      <c r="R586" s="300">
        <f t="shared" si="84"/>
        <v>0</v>
      </c>
      <c r="S586" s="300">
        <f t="shared" si="85"/>
        <v>0</v>
      </c>
      <c r="T586" s="300">
        <f t="shared" si="86"/>
        <v>0</v>
      </c>
      <c r="U586" s="300">
        <f t="shared" si="87"/>
        <v>0</v>
      </c>
      <c r="V586" s="300">
        <f t="shared" si="88"/>
        <v>0</v>
      </c>
      <c r="W586" s="300">
        <f t="shared" si="89"/>
        <v>0</v>
      </c>
      <c r="X586" s="300">
        <f t="shared" si="90"/>
        <v>0</v>
      </c>
      <c r="Y586" s="300">
        <f t="shared" si="91"/>
        <v>0</v>
      </c>
      <c r="Z586"/>
      <c r="AA586"/>
      <c r="AB586"/>
    </row>
    <row r="587" spans="1:28" x14ac:dyDescent="0.35">
      <c r="A587" s="299"/>
      <c r="B587" s="515">
        <v>10.799743577451521</v>
      </c>
      <c r="C587" s="515">
        <v>0.16797517281489099</v>
      </c>
      <c r="D587" s="515">
        <v>1.0784213771693449</v>
      </c>
      <c r="E587" s="515">
        <v>4.7471193599222E-2</v>
      </c>
      <c r="F587" s="515">
        <v>7.7031038085989004E-2</v>
      </c>
      <c r="G587" s="299"/>
      <c r="H587" s="300">
        <f t="shared" si="83"/>
        <v>0</v>
      </c>
      <c r="I587" s="299"/>
      <c r="J587" s="1"/>
      <c r="K587" s="299"/>
      <c r="L587" s="1"/>
      <c r="M587" s="299"/>
      <c r="N587" s="299"/>
      <c r="O587" s="299"/>
      <c r="P587" s="299"/>
      <c r="Q587" s="298"/>
      <c r="R587" s="300">
        <f t="shared" si="84"/>
        <v>0</v>
      </c>
      <c r="S587" s="300">
        <f t="shared" si="85"/>
        <v>0</v>
      </c>
      <c r="T587" s="300">
        <f t="shared" si="86"/>
        <v>0</v>
      </c>
      <c r="U587" s="300">
        <f t="shared" si="87"/>
        <v>0</v>
      </c>
      <c r="V587" s="300">
        <f t="shared" si="88"/>
        <v>0</v>
      </c>
      <c r="W587" s="300">
        <f t="shared" si="89"/>
        <v>0</v>
      </c>
      <c r="X587" s="300">
        <f t="shared" si="90"/>
        <v>0</v>
      </c>
      <c r="Y587" s="300">
        <f t="shared" si="91"/>
        <v>0</v>
      </c>
      <c r="Z587"/>
      <c r="AA587"/>
      <c r="AB587"/>
    </row>
    <row r="588" spans="1:28" x14ac:dyDescent="0.35">
      <c r="A588" s="299"/>
      <c r="B588" s="515">
        <v>17.211530807917661</v>
      </c>
      <c r="C588" s="515">
        <v>-0.69924178779791302</v>
      </c>
      <c r="D588" s="515">
        <v>1.761301645534413</v>
      </c>
      <c r="E588" s="515">
        <v>5.5667722106155997E-2</v>
      </c>
      <c r="F588" s="515">
        <v>8.0964825159674E-2</v>
      </c>
      <c r="G588" s="299"/>
      <c r="H588" s="300">
        <f t="shared" si="83"/>
        <v>0</v>
      </c>
      <c r="I588" s="299"/>
      <c r="J588" s="1"/>
      <c r="K588" s="299"/>
      <c r="L588" s="1"/>
      <c r="M588" s="299"/>
      <c r="N588" s="299"/>
      <c r="O588" s="299"/>
      <c r="P588" s="299"/>
      <c r="Q588" s="298"/>
      <c r="R588" s="300">
        <f t="shared" si="84"/>
        <v>0</v>
      </c>
      <c r="S588" s="300">
        <f t="shared" si="85"/>
        <v>0</v>
      </c>
      <c r="T588" s="300">
        <f t="shared" si="86"/>
        <v>0</v>
      </c>
      <c r="U588" s="300">
        <f t="shared" si="87"/>
        <v>0</v>
      </c>
      <c r="V588" s="300">
        <f t="shared" si="88"/>
        <v>0</v>
      </c>
      <c r="W588" s="300">
        <f t="shared" si="89"/>
        <v>0</v>
      </c>
      <c r="X588" s="300">
        <f t="shared" si="90"/>
        <v>0</v>
      </c>
      <c r="Y588" s="300">
        <f t="shared" si="91"/>
        <v>0</v>
      </c>
      <c r="Z588"/>
      <c r="AA588"/>
      <c r="AB588"/>
    </row>
    <row r="589" spans="1:28" x14ac:dyDescent="0.35">
      <c r="A589" s="299"/>
      <c r="B589" s="515">
        <v>28.388173332113428</v>
      </c>
      <c r="C589" s="515">
        <v>0.166339803965148</v>
      </c>
      <c r="D589" s="515">
        <v>3.2076026391605801</v>
      </c>
      <c r="E589" s="515">
        <v>0.27002953924755402</v>
      </c>
      <c r="F589" s="515">
        <v>1.7016690102849001E-2</v>
      </c>
      <c r="G589" s="299"/>
      <c r="H589" s="300">
        <f t="shared" si="83"/>
        <v>0</v>
      </c>
      <c r="I589" s="299"/>
      <c r="J589" s="1"/>
      <c r="K589" s="299"/>
      <c r="L589" s="1"/>
      <c r="M589" s="299"/>
      <c r="N589" s="299"/>
      <c r="O589" s="299"/>
      <c r="P589" s="299"/>
      <c r="Q589" s="298"/>
      <c r="R589" s="300">
        <f t="shared" si="84"/>
        <v>0</v>
      </c>
      <c r="S589" s="300">
        <f t="shared" si="85"/>
        <v>0</v>
      </c>
      <c r="T589" s="300">
        <f t="shared" si="86"/>
        <v>0</v>
      </c>
      <c r="U589" s="300">
        <f t="shared" si="87"/>
        <v>0</v>
      </c>
      <c r="V589" s="300">
        <f t="shared" si="88"/>
        <v>0</v>
      </c>
      <c r="W589" s="300">
        <f t="shared" si="89"/>
        <v>0</v>
      </c>
      <c r="X589" s="300">
        <f t="shared" si="90"/>
        <v>0</v>
      </c>
      <c r="Y589" s="300">
        <f t="shared" si="91"/>
        <v>0</v>
      </c>
      <c r="Z589"/>
      <c r="AA589"/>
      <c r="AB589"/>
    </row>
    <row r="590" spans="1:28" x14ac:dyDescent="0.35">
      <c r="A590" s="299"/>
      <c r="B590" s="515">
        <v>3.55847771374E-4</v>
      </c>
      <c r="C590" s="515">
        <v>2.7968017213864001E-2</v>
      </c>
      <c r="D590" s="515">
        <v>1.9810951951163469</v>
      </c>
      <c r="E590" s="515">
        <v>0.224361762740695</v>
      </c>
      <c r="F590" s="515">
        <v>5.183172236336E-3</v>
      </c>
      <c r="G590" s="299"/>
      <c r="H590" s="300">
        <f t="shared" si="83"/>
        <v>0</v>
      </c>
      <c r="I590" s="299"/>
      <c r="J590" s="1"/>
      <c r="K590" s="299"/>
      <c r="L590" s="1"/>
      <c r="M590" s="299"/>
      <c r="N590" s="299"/>
      <c r="O590" s="299"/>
      <c r="P590" s="299"/>
      <c r="Q590" s="298"/>
      <c r="R590" s="300">
        <f t="shared" si="84"/>
        <v>0</v>
      </c>
      <c r="S590" s="300">
        <f t="shared" si="85"/>
        <v>0</v>
      </c>
      <c r="T590" s="300">
        <f t="shared" si="86"/>
        <v>0</v>
      </c>
      <c r="U590" s="300">
        <f t="shared" si="87"/>
        <v>0</v>
      </c>
      <c r="V590" s="300">
        <f t="shared" si="88"/>
        <v>0</v>
      </c>
      <c r="W590" s="300">
        <f t="shared" si="89"/>
        <v>0</v>
      </c>
      <c r="X590" s="300">
        <f t="shared" si="90"/>
        <v>0</v>
      </c>
      <c r="Y590" s="300">
        <f t="shared" si="91"/>
        <v>0</v>
      </c>
      <c r="Z590"/>
      <c r="AA590"/>
      <c r="AB590"/>
    </row>
    <row r="591" spans="1:28" x14ac:dyDescent="0.35">
      <c r="A591" s="299"/>
      <c r="B591" s="515">
        <v>11.17022533143424</v>
      </c>
      <c r="C591" s="515">
        <v>0.16799715177458499</v>
      </c>
      <c r="D591" s="515">
        <v>1.10687925721956</v>
      </c>
      <c r="E591" s="515">
        <v>4.7293262593276E-2</v>
      </c>
      <c r="F591" s="515">
        <v>7.7586703252762998E-2</v>
      </c>
      <c r="G591" s="299"/>
      <c r="H591" s="300">
        <f t="shared" si="83"/>
        <v>0</v>
      </c>
      <c r="I591" s="299"/>
      <c r="J591" s="1"/>
      <c r="K591" s="299"/>
      <c r="L591" s="1"/>
      <c r="M591" s="299"/>
      <c r="N591" s="299"/>
      <c r="O591" s="299"/>
      <c r="P591" s="299"/>
      <c r="Q591" s="298"/>
      <c r="R591" s="300">
        <f t="shared" si="84"/>
        <v>0</v>
      </c>
      <c r="S591" s="300">
        <f t="shared" si="85"/>
        <v>0</v>
      </c>
      <c r="T591" s="300">
        <f t="shared" si="86"/>
        <v>0</v>
      </c>
      <c r="U591" s="300">
        <f t="shared" si="87"/>
        <v>0</v>
      </c>
      <c r="V591" s="300">
        <f t="shared" si="88"/>
        <v>0</v>
      </c>
      <c r="W591" s="300">
        <f t="shared" si="89"/>
        <v>0</v>
      </c>
      <c r="X591" s="300">
        <f t="shared" si="90"/>
        <v>0</v>
      </c>
      <c r="Y591" s="300">
        <f t="shared" si="91"/>
        <v>0</v>
      </c>
      <c r="Z591"/>
      <c r="AA591"/>
      <c r="AB591"/>
    </row>
    <row r="592" spans="1:28" x14ac:dyDescent="0.35">
      <c r="A592" s="299"/>
      <c r="B592" s="515">
        <v>2.7492035853820922</v>
      </c>
      <c r="C592" s="515">
        <v>7.4464811769432995E-2</v>
      </c>
      <c r="D592" s="515">
        <v>2.000426791517226</v>
      </c>
      <c r="E592" s="515">
        <v>0.25029289200344501</v>
      </c>
      <c r="F592" s="515">
        <v>7.2655559714529996E-3</v>
      </c>
      <c r="G592" s="299"/>
      <c r="H592" s="300">
        <f t="shared" si="83"/>
        <v>0</v>
      </c>
      <c r="I592" s="299"/>
      <c r="J592" s="1"/>
      <c r="K592" s="299"/>
      <c r="L592" s="1"/>
      <c r="M592" s="299"/>
      <c r="N592" s="299"/>
      <c r="O592" s="299"/>
      <c r="P592" s="299"/>
      <c r="Q592" s="298"/>
      <c r="R592" s="300">
        <f t="shared" si="84"/>
        <v>0</v>
      </c>
      <c r="S592" s="300">
        <f t="shared" si="85"/>
        <v>0</v>
      </c>
      <c r="T592" s="300">
        <f t="shared" si="86"/>
        <v>0</v>
      </c>
      <c r="U592" s="300">
        <f t="shared" si="87"/>
        <v>0</v>
      </c>
      <c r="V592" s="300">
        <f t="shared" si="88"/>
        <v>0</v>
      </c>
      <c r="W592" s="300">
        <f t="shared" si="89"/>
        <v>0</v>
      </c>
      <c r="X592" s="300">
        <f t="shared" si="90"/>
        <v>0</v>
      </c>
      <c r="Y592" s="300">
        <f t="shared" si="91"/>
        <v>0</v>
      </c>
      <c r="Z592"/>
      <c r="AA592"/>
      <c r="AB592"/>
    </row>
    <row r="593" spans="1:28" x14ac:dyDescent="0.35">
      <c r="A593" s="299"/>
      <c r="B593" s="515">
        <v>18.319272870366401</v>
      </c>
      <c r="C593" s="515">
        <v>-0.96061701455327997</v>
      </c>
      <c r="D593" s="515">
        <v>3.327108125321995</v>
      </c>
      <c r="E593" s="515">
        <v>9.5702335825499998E-4</v>
      </c>
      <c r="F593" s="515">
        <v>6.7815944059732999E-2</v>
      </c>
      <c r="G593" s="299"/>
      <c r="H593" s="300">
        <f t="shared" si="83"/>
        <v>0</v>
      </c>
      <c r="I593" s="299"/>
      <c r="J593" s="1"/>
      <c r="K593" s="299"/>
      <c r="L593" s="1"/>
      <c r="M593" s="299"/>
      <c r="N593" s="299"/>
      <c r="O593" s="299"/>
      <c r="P593" s="299"/>
      <c r="Q593" s="298"/>
      <c r="R593" s="300">
        <f t="shared" si="84"/>
        <v>0</v>
      </c>
      <c r="S593" s="300">
        <f t="shared" si="85"/>
        <v>0</v>
      </c>
      <c r="T593" s="300">
        <f t="shared" si="86"/>
        <v>0</v>
      </c>
      <c r="U593" s="300">
        <f t="shared" si="87"/>
        <v>0</v>
      </c>
      <c r="V593" s="300">
        <f t="shared" si="88"/>
        <v>0</v>
      </c>
      <c r="W593" s="300">
        <f t="shared" si="89"/>
        <v>0</v>
      </c>
      <c r="X593" s="300">
        <f t="shared" si="90"/>
        <v>0</v>
      </c>
      <c r="Y593" s="300">
        <f t="shared" si="91"/>
        <v>0</v>
      </c>
      <c r="Z593"/>
      <c r="AA593"/>
      <c r="AB593"/>
    </row>
    <row r="594" spans="1:28" x14ac:dyDescent="0.35">
      <c r="A594" s="299"/>
      <c r="B594" s="515">
        <v>10.53213361922916</v>
      </c>
      <c r="C594" s="515">
        <v>-1.943944436476392</v>
      </c>
      <c r="D594" s="515">
        <v>0.41047807389907298</v>
      </c>
      <c r="E594" s="515">
        <v>0.27022503727059599</v>
      </c>
      <c r="F594" s="515">
        <v>7.9720215619484003E-2</v>
      </c>
      <c r="G594" s="299"/>
      <c r="H594" s="300">
        <f t="shared" si="83"/>
        <v>0</v>
      </c>
      <c r="I594" s="299"/>
      <c r="J594" s="1"/>
      <c r="K594" s="299"/>
      <c r="L594" s="1"/>
      <c r="M594" s="299"/>
      <c r="N594" s="299"/>
      <c r="O594" s="299"/>
      <c r="P594" s="299"/>
      <c r="Q594" s="298"/>
      <c r="R594" s="300">
        <f t="shared" si="84"/>
        <v>0</v>
      </c>
      <c r="S594" s="300">
        <f t="shared" si="85"/>
        <v>0</v>
      </c>
      <c r="T594" s="300">
        <f t="shared" si="86"/>
        <v>0</v>
      </c>
      <c r="U594" s="300">
        <f t="shared" si="87"/>
        <v>0</v>
      </c>
      <c r="V594" s="300">
        <f t="shared" si="88"/>
        <v>0</v>
      </c>
      <c r="W594" s="300">
        <f t="shared" si="89"/>
        <v>0</v>
      </c>
      <c r="X594" s="300">
        <f t="shared" si="90"/>
        <v>0</v>
      </c>
      <c r="Y594" s="300">
        <f t="shared" si="91"/>
        <v>0</v>
      </c>
      <c r="Z594"/>
      <c r="AA594"/>
      <c r="AB594"/>
    </row>
    <row r="595" spans="1:28" x14ac:dyDescent="0.35">
      <c r="A595" s="299"/>
      <c r="B595" s="515">
        <v>11.005980950622041</v>
      </c>
      <c r="C595" s="515">
        <v>-0.65509758252269701</v>
      </c>
      <c r="D595" s="515">
        <v>1.5550493746410889</v>
      </c>
      <c r="E595" s="515">
        <v>0.199537693315336</v>
      </c>
      <c r="F595" s="515">
        <v>6.7313441990034001E-2</v>
      </c>
      <c r="G595" s="299"/>
      <c r="H595" s="300">
        <f t="shared" si="83"/>
        <v>0</v>
      </c>
      <c r="I595" s="299"/>
      <c r="J595" s="1"/>
      <c r="K595" s="299"/>
      <c r="L595" s="1"/>
      <c r="M595" s="299"/>
      <c r="N595" s="299"/>
      <c r="O595" s="299"/>
      <c r="P595" s="299"/>
      <c r="Q595" s="298"/>
      <c r="R595" s="300">
        <f t="shared" si="84"/>
        <v>0</v>
      </c>
      <c r="S595" s="300">
        <f t="shared" si="85"/>
        <v>0</v>
      </c>
      <c r="T595" s="300">
        <f t="shared" si="86"/>
        <v>0</v>
      </c>
      <c r="U595" s="300">
        <f t="shared" si="87"/>
        <v>0</v>
      </c>
      <c r="V595" s="300">
        <f t="shared" si="88"/>
        <v>0</v>
      </c>
      <c r="W595" s="300">
        <f t="shared" si="89"/>
        <v>0</v>
      </c>
      <c r="X595" s="300">
        <f t="shared" si="90"/>
        <v>0</v>
      </c>
      <c r="Y595" s="300">
        <f t="shared" si="91"/>
        <v>0</v>
      </c>
      <c r="Z595"/>
      <c r="AA595"/>
      <c r="AB595"/>
    </row>
    <row r="596" spans="1:28" x14ac:dyDescent="0.35">
      <c r="A596" s="299"/>
      <c r="B596" s="515">
        <v>14.373378391588121</v>
      </c>
      <c r="C596" s="515">
        <v>-0.91562374925059498</v>
      </c>
      <c r="D596" s="515">
        <v>1.673116834961087</v>
      </c>
      <c r="E596" s="515">
        <v>0.21902601998202201</v>
      </c>
      <c r="F596" s="515">
        <v>7.4873224009345998E-2</v>
      </c>
      <c r="G596" s="299"/>
      <c r="H596" s="300">
        <f t="shared" si="83"/>
        <v>0</v>
      </c>
      <c r="I596" s="299"/>
      <c r="J596" s="1"/>
      <c r="K596" s="299"/>
      <c r="L596" s="1"/>
      <c r="M596" s="299"/>
      <c r="N596" s="299"/>
      <c r="O596" s="299"/>
      <c r="P596" s="299"/>
      <c r="Q596" s="298"/>
      <c r="R596" s="300">
        <f t="shared" si="84"/>
        <v>0</v>
      </c>
      <c r="S596" s="300">
        <f t="shared" si="85"/>
        <v>0</v>
      </c>
      <c r="T596" s="300">
        <f t="shared" si="86"/>
        <v>0</v>
      </c>
      <c r="U596" s="300">
        <f t="shared" si="87"/>
        <v>0</v>
      </c>
      <c r="V596" s="300">
        <f t="shared" si="88"/>
        <v>0</v>
      </c>
      <c r="W596" s="300">
        <f t="shared" si="89"/>
        <v>0</v>
      </c>
      <c r="X596" s="300">
        <f t="shared" si="90"/>
        <v>0</v>
      </c>
      <c r="Y596" s="300">
        <f t="shared" si="91"/>
        <v>0</v>
      </c>
      <c r="Z596"/>
      <c r="AA596"/>
      <c r="AB596"/>
    </row>
    <row r="597" spans="1:28" x14ac:dyDescent="0.35">
      <c r="A597" s="299"/>
      <c r="B597" s="515">
        <v>28.39910264616325</v>
      </c>
      <c r="C597" s="515">
        <v>-1.0573227891131911</v>
      </c>
      <c r="D597" s="515">
        <v>3.3024567950020072</v>
      </c>
      <c r="E597" s="515">
        <v>2.3475041963679998E-3</v>
      </c>
      <c r="F597" s="515">
        <v>8.0234998706759E-2</v>
      </c>
      <c r="G597" s="299"/>
      <c r="H597" s="300">
        <f t="shared" si="83"/>
        <v>0</v>
      </c>
      <c r="I597" s="299"/>
      <c r="J597" s="1"/>
      <c r="K597" s="299"/>
      <c r="L597" s="1"/>
      <c r="M597" s="299"/>
      <c r="N597" s="299"/>
      <c r="O597" s="299"/>
      <c r="P597" s="299"/>
      <c r="Q597" s="298"/>
      <c r="R597" s="300">
        <f t="shared" si="84"/>
        <v>0</v>
      </c>
      <c r="S597" s="300">
        <f t="shared" si="85"/>
        <v>0</v>
      </c>
      <c r="T597" s="300">
        <f t="shared" si="86"/>
        <v>0</v>
      </c>
      <c r="U597" s="300">
        <f t="shared" si="87"/>
        <v>0</v>
      </c>
      <c r="V597" s="300">
        <f t="shared" si="88"/>
        <v>0</v>
      </c>
      <c r="W597" s="300">
        <f t="shared" si="89"/>
        <v>0</v>
      </c>
      <c r="X597" s="300">
        <f t="shared" si="90"/>
        <v>0</v>
      </c>
      <c r="Y597" s="300">
        <f t="shared" si="91"/>
        <v>0</v>
      </c>
      <c r="Z597"/>
      <c r="AA597"/>
      <c r="AB597"/>
    </row>
    <row r="598" spans="1:28" x14ac:dyDescent="0.35">
      <c r="A598" s="299"/>
      <c r="B598" s="515">
        <v>0.17425483974846701</v>
      </c>
      <c r="C598" s="515">
        <v>3.3314721852499E-2</v>
      </c>
      <c r="D598" s="515">
        <v>1.963964072871085</v>
      </c>
      <c r="E598" s="515">
        <v>0.223593405645996</v>
      </c>
      <c r="F598" s="515">
        <v>6.101949538315E-3</v>
      </c>
      <c r="G598" s="299"/>
      <c r="H598" s="300">
        <f t="shared" si="83"/>
        <v>0</v>
      </c>
      <c r="I598" s="299"/>
      <c r="J598" s="1"/>
      <c r="K598" s="299"/>
      <c r="L598" s="1"/>
      <c r="M598" s="299"/>
      <c r="N598" s="299"/>
      <c r="O598" s="299"/>
      <c r="P598" s="299"/>
      <c r="Q598" s="298"/>
      <c r="R598" s="300">
        <f t="shared" si="84"/>
        <v>0</v>
      </c>
      <c r="S598" s="300">
        <f t="shared" si="85"/>
        <v>0</v>
      </c>
      <c r="T598" s="300">
        <f t="shared" si="86"/>
        <v>0</v>
      </c>
      <c r="U598" s="300">
        <f t="shared" si="87"/>
        <v>0</v>
      </c>
      <c r="V598" s="300">
        <f t="shared" si="88"/>
        <v>0</v>
      </c>
      <c r="W598" s="300">
        <f t="shared" si="89"/>
        <v>0</v>
      </c>
      <c r="X598" s="300">
        <f t="shared" si="90"/>
        <v>0</v>
      </c>
      <c r="Y598" s="300">
        <f t="shared" si="91"/>
        <v>0</v>
      </c>
      <c r="Z598"/>
      <c r="AA598"/>
      <c r="AB598"/>
    </row>
    <row r="599" spans="1:28" x14ac:dyDescent="0.35">
      <c r="A599" s="299"/>
      <c r="B599" s="515">
        <v>6.3149322286346301</v>
      </c>
      <c r="C599" s="515">
        <v>9.0943907377339997E-3</v>
      </c>
      <c r="D599" s="515">
        <v>1.488574115070451</v>
      </c>
      <c r="E599" s="515">
        <v>0.16608539871465799</v>
      </c>
      <c r="F599" s="515">
        <v>4.7969748280176999E-2</v>
      </c>
      <c r="G599" s="299"/>
      <c r="H599" s="300">
        <f t="shared" si="83"/>
        <v>0</v>
      </c>
      <c r="I599" s="299"/>
      <c r="J599" s="1"/>
      <c r="K599" s="299"/>
      <c r="L599" s="1"/>
      <c r="M599" s="299"/>
      <c r="N599" s="299"/>
      <c r="O599" s="299"/>
      <c r="P599" s="299"/>
      <c r="Q599" s="298"/>
      <c r="R599" s="300">
        <f t="shared" si="84"/>
        <v>0</v>
      </c>
      <c r="S599" s="300">
        <f t="shared" si="85"/>
        <v>0</v>
      </c>
      <c r="T599" s="300">
        <f t="shared" si="86"/>
        <v>0</v>
      </c>
      <c r="U599" s="300">
        <f t="shared" si="87"/>
        <v>0</v>
      </c>
      <c r="V599" s="300">
        <f t="shared" si="88"/>
        <v>0</v>
      </c>
      <c r="W599" s="300">
        <f t="shared" si="89"/>
        <v>0</v>
      </c>
      <c r="X599" s="300">
        <f t="shared" si="90"/>
        <v>0</v>
      </c>
      <c r="Y599" s="300">
        <f t="shared" si="91"/>
        <v>0</v>
      </c>
      <c r="Z599"/>
      <c r="AA599"/>
      <c r="AB599"/>
    </row>
    <row r="600" spans="1:28" x14ac:dyDescent="0.35">
      <c r="A600" s="299"/>
      <c r="B600" s="515">
        <v>26.264855081249941</v>
      </c>
      <c r="C600" s="515">
        <v>-0.44336136696018702</v>
      </c>
      <c r="D600" s="515">
        <v>1.8689735231027711</v>
      </c>
      <c r="E600" s="515">
        <v>0.27063354918631299</v>
      </c>
      <c r="F600" s="515">
        <v>8.0738172207088996E-2</v>
      </c>
      <c r="G600" s="299"/>
      <c r="H600" s="300">
        <f t="shared" si="83"/>
        <v>0</v>
      </c>
      <c r="I600" s="299"/>
      <c r="J600" s="1"/>
      <c r="K600" s="299"/>
      <c r="L600" s="1"/>
      <c r="M600" s="299"/>
      <c r="N600" s="299"/>
      <c r="O600" s="299"/>
      <c r="P600" s="299"/>
      <c r="Q600" s="298"/>
      <c r="R600" s="300">
        <f t="shared" si="84"/>
        <v>0</v>
      </c>
      <c r="S600" s="300">
        <f t="shared" si="85"/>
        <v>0</v>
      </c>
      <c r="T600" s="300">
        <f t="shared" si="86"/>
        <v>0</v>
      </c>
      <c r="U600" s="300">
        <f t="shared" si="87"/>
        <v>0</v>
      </c>
      <c r="V600" s="300">
        <f t="shared" si="88"/>
        <v>0</v>
      </c>
      <c r="W600" s="300">
        <f t="shared" si="89"/>
        <v>0</v>
      </c>
      <c r="X600" s="300">
        <f t="shared" si="90"/>
        <v>0</v>
      </c>
      <c r="Y600" s="300">
        <f t="shared" si="91"/>
        <v>0</v>
      </c>
      <c r="Z600"/>
      <c r="AA600"/>
      <c r="AB600"/>
    </row>
    <row r="601" spans="1:28" x14ac:dyDescent="0.35">
      <c r="A601" s="299"/>
      <c r="B601" s="515">
        <v>4.1841918872683381</v>
      </c>
      <c r="C601" s="515">
        <v>-1.4019055667435769</v>
      </c>
      <c r="D601" s="515">
        <v>1.0192479543512569</v>
      </c>
      <c r="E601" s="515">
        <v>0.174886455001349</v>
      </c>
      <c r="F601" s="515">
        <v>6.3141019558682995E-2</v>
      </c>
      <c r="G601" s="299"/>
      <c r="H601" s="300">
        <f t="shared" si="83"/>
        <v>0</v>
      </c>
      <c r="I601" s="299"/>
      <c r="J601" s="1"/>
      <c r="K601" s="299"/>
      <c r="L601" s="1"/>
      <c r="M601" s="299"/>
      <c r="N601" s="299"/>
      <c r="O601" s="299"/>
      <c r="P601" s="299"/>
      <c r="Q601" s="298"/>
      <c r="R601" s="300">
        <f t="shared" si="84"/>
        <v>0</v>
      </c>
      <c r="S601" s="300">
        <f t="shared" si="85"/>
        <v>0</v>
      </c>
      <c r="T601" s="300">
        <f t="shared" si="86"/>
        <v>0</v>
      </c>
      <c r="U601" s="300">
        <f t="shared" si="87"/>
        <v>0</v>
      </c>
      <c r="V601" s="300">
        <f t="shared" si="88"/>
        <v>0</v>
      </c>
      <c r="W601" s="300">
        <f t="shared" si="89"/>
        <v>0</v>
      </c>
      <c r="X601" s="300">
        <f t="shared" si="90"/>
        <v>0</v>
      </c>
      <c r="Y601" s="300">
        <f t="shared" si="91"/>
        <v>0</v>
      </c>
      <c r="Z601"/>
      <c r="AA601"/>
      <c r="AB601"/>
    </row>
    <row r="602" spans="1:28" x14ac:dyDescent="0.35">
      <c r="A602" s="299"/>
      <c r="B602" s="515">
        <v>14.00292747194093</v>
      </c>
      <c r="C602" s="515">
        <v>-0.349107566060464</v>
      </c>
      <c r="D602" s="515">
        <v>1.3914552771934829</v>
      </c>
      <c r="E602" s="515">
        <v>0.15845188190380399</v>
      </c>
      <c r="F602" s="515">
        <v>7.7416895153546994E-2</v>
      </c>
      <c r="G602" s="299"/>
      <c r="H602" s="300">
        <f t="shared" si="83"/>
        <v>0</v>
      </c>
      <c r="I602" s="299"/>
      <c r="J602" s="1"/>
      <c r="K602" s="299"/>
      <c r="L602" s="1"/>
      <c r="M602" s="299"/>
      <c r="N602" s="299"/>
      <c r="O602" s="299"/>
      <c r="P602" s="299"/>
      <c r="Q602" s="298"/>
      <c r="R602" s="300">
        <f t="shared" si="84"/>
        <v>0</v>
      </c>
      <c r="S602" s="300">
        <f t="shared" si="85"/>
        <v>0</v>
      </c>
      <c r="T602" s="300">
        <f t="shared" si="86"/>
        <v>0</v>
      </c>
      <c r="U602" s="300">
        <f t="shared" si="87"/>
        <v>0</v>
      </c>
      <c r="V602" s="300">
        <f t="shared" si="88"/>
        <v>0</v>
      </c>
      <c r="W602" s="300">
        <f t="shared" si="89"/>
        <v>0</v>
      </c>
      <c r="X602" s="300">
        <f t="shared" si="90"/>
        <v>0</v>
      </c>
      <c r="Y602" s="300">
        <f t="shared" si="91"/>
        <v>0</v>
      </c>
      <c r="Z602"/>
      <c r="AA602"/>
      <c r="AB602"/>
    </row>
    <row r="603" spans="1:28" x14ac:dyDescent="0.35">
      <c r="A603" s="299"/>
      <c r="B603" s="1"/>
      <c r="C603" s="1"/>
      <c r="D603" s="1"/>
      <c r="E603" s="1"/>
      <c r="F603" s="1"/>
      <c r="G603" s="299"/>
      <c r="H603" s="317"/>
      <c r="I603" s="299"/>
      <c r="J603" s="1"/>
      <c r="K603" s="299"/>
      <c r="L603" s="1"/>
      <c r="M603" s="299"/>
      <c r="N603" s="299"/>
      <c r="O603" s="299"/>
      <c r="P603" s="299"/>
      <c r="Q603" s="298"/>
      <c r="R603" s="299"/>
      <c r="S603" s="299"/>
      <c r="T603" s="299"/>
      <c r="U603" s="299"/>
      <c r="V603" s="299"/>
      <c r="W603" s="299"/>
      <c r="X603" s="299"/>
      <c r="Y603" s="301"/>
      <c r="Z603"/>
      <c r="AA603"/>
      <c r="AB603"/>
    </row>
    <row r="604" spans="1:28" x14ac:dyDescent="0.35">
      <c r="A604" s="299"/>
      <c r="B604" s="1"/>
      <c r="C604" s="1"/>
      <c r="D604" s="1"/>
      <c r="E604" s="1"/>
      <c r="F604" s="1"/>
      <c r="G604" s="299"/>
      <c r="H604" s="317"/>
      <c r="I604" s="299"/>
      <c r="J604" s="1"/>
      <c r="K604" s="299"/>
      <c r="L604" s="1"/>
      <c r="M604" s="299"/>
      <c r="N604" s="299"/>
      <c r="O604" s="299"/>
      <c r="P604" s="299"/>
      <c r="Q604" s="298"/>
      <c r="R604" s="1"/>
      <c r="S604" s="1"/>
      <c r="T604" s="1"/>
      <c r="U604" s="1"/>
      <c r="V604" s="299"/>
      <c r="W604" s="299"/>
      <c r="X604" s="299"/>
      <c r="Y604" s="301"/>
      <c r="Z604"/>
      <c r="AA604"/>
      <c r="AB604"/>
    </row>
    <row r="605" spans="1:28" x14ac:dyDescent="0.35">
      <c r="A605" s="299"/>
      <c r="B605" s="1"/>
      <c r="C605" s="1"/>
      <c r="D605" s="1"/>
      <c r="E605" s="1"/>
      <c r="F605" s="1"/>
      <c r="G605" s="299"/>
      <c r="H605" s="317"/>
      <c r="I605" s="299"/>
      <c r="J605" s="1"/>
      <c r="K605" s="299"/>
      <c r="L605" s="1"/>
      <c r="M605" s="299"/>
      <c r="N605" s="299"/>
      <c r="O605" s="299"/>
      <c r="P605" s="299"/>
      <c r="Q605" s="298"/>
      <c r="R605" s="1"/>
      <c r="S605" s="1"/>
      <c r="T605" s="1"/>
      <c r="U605" s="1"/>
      <c r="V605" s="299"/>
      <c r="W605" s="299"/>
      <c r="X605" s="299"/>
      <c r="Y605" s="301"/>
      <c r="Z605"/>
      <c r="AA605"/>
      <c r="AB605"/>
    </row>
    <row r="606" spans="1:28" x14ac:dyDescent="0.35">
      <c r="A606" s="299"/>
      <c r="B606" s="1"/>
      <c r="C606" s="1"/>
      <c r="D606" s="1"/>
      <c r="E606" s="1"/>
      <c r="F606" s="1"/>
      <c r="G606" s="299"/>
      <c r="H606" s="317"/>
      <c r="I606" s="299"/>
      <c r="J606" s="1"/>
      <c r="K606" s="299"/>
      <c r="L606" s="1"/>
      <c r="M606" s="299"/>
      <c r="N606" s="299"/>
      <c r="O606" s="299"/>
      <c r="P606" s="299"/>
      <c r="Q606" s="298"/>
      <c r="R606" s="1"/>
      <c r="S606" s="1"/>
      <c r="T606" s="1"/>
      <c r="U606" s="1"/>
      <c r="V606" s="299"/>
      <c r="W606" s="299"/>
      <c r="X606" s="299"/>
      <c r="Y606"/>
      <c r="Z606"/>
      <c r="AA606"/>
      <c r="AB606"/>
    </row>
    <row r="607" spans="1:28" x14ac:dyDescent="0.35">
      <c r="A607" s="299"/>
      <c r="B607" s="1"/>
      <c r="C607" s="1"/>
      <c r="D607" s="1"/>
      <c r="E607" s="1"/>
      <c r="F607" s="1"/>
      <c r="G607" s="299"/>
      <c r="H607" s="317"/>
      <c r="I607" s="299"/>
      <c r="J607" s="1"/>
      <c r="K607" s="299"/>
      <c r="L607" s="1"/>
      <c r="M607" s="299"/>
      <c r="N607" s="299"/>
      <c r="O607" s="299"/>
      <c r="P607" s="299"/>
      <c r="Q607" s="298"/>
      <c r="R607" s="1"/>
      <c r="S607" s="1"/>
      <c r="T607" s="1"/>
      <c r="U607" s="1"/>
      <c r="V607" s="299"/>
      <c r="W607" s="299"/>
      <c r="X607" s="299"/>
      <c r="Y607"/>
      <c r="Z607"/>
      <c r="AA607"/>
      <c r="AB607"/>
    </row>
    <row r="608" spans="1:28" x14ac:dyDescent="0.35">
      <c r="A608" s="299"/>
      <c r="B608" s="1"/>
      <c r="C608" s="1"/>
      <c r="D608" s="1"/>
      <c r="E608" s="1"/>
      <c r="F608" s="1"/>
      <c r="G608" s="299"/>
      <c r="H608" s="317"/>
      <c r="I608" s="299"/>
      <c r="J608" s="1"/>
      <c r="K608" s="299"/>
      <c r="L608" s="1"/>
      <c r="M608" s="299"/>
      <c r="N608" s="299"/>
      <c r="O608" s="299"/>
      <c r="P608" s="299"/>
      <c r="Q608" s="298"/>
      <c r="R608" s="1"/>
      <c r="S608" s="1"/>
      <c r="T608" s="1"/>
      <c r="U608" s="1"/>
      <c r="V608" s="299"/>
      <c r="W608" s="299"/>
      <c r="X608" s="299"/>
      <c r="Y608"/>
      <c r="Z608"/>
      <c r="AA608"/>
      <c r="AB608"/>
    </row>
    <row r="609" spans="1:28" x14ac:dyDescent="0.35">
      <c r="A609" s="299"/>
      <c r="B609" s="1"/>
      <c r="C609" s="1"/>
      <c r="D609" s="1"/>
      <c r="E609" s="1"/>
      <c r="F609" s="1"/>
      <c r="G609" s="299"/>
      <c r="H609" s="317"/>
      <c r="I609" s="299"/>
      <c r="J609" s="1"/>
      <c r="K609" s="299"/>
      <c r="L609" s="1"/>
      <c r="M609" s="299"/>
      <c r="N609" s="299"/>
      <c r="O609" s="299"/>
      <c r="P609" s="299"/>
      <c r="Q609" s="298"/>
      <c r="R609" s="1"/>
      <c r="S609" s="1"/>
      <c r="T609" s="1"/>
      <c r="U609" s="1"/>
      <c r="V609" s="299"/>
      <c r="W609" s="299"/>
      <c r="X609" s="299"/>
      <c r="Y609"/>
      <c r="Z609"/>
      <c r="AA609"/>
      <c r="AB609"/>
    </row>
    <row r="610" spans="1:28" x14ac:dyDescent="0.35">
      <c r="A610" s="299"/>
      <c r="B610" s="299"/>
      <c r="C610" s="299"/>
      <c r="D610" s="299"/>
      <c r="E610" s="299"/>
      <c r="F610" s="299"/>
      <c r="G610" s="299"/>
      <c r="H610" s="299"/>
      <c r="I610" s="299"/>
      <c r="J610" s="299"/>
      <c r="K610" s="299"/>
      <c r="L610" s="299"/>
      <c r="M610" s="299"/>
      <c r="N610" s="299"/>
      <c r="O610" s="299"/>
      <c r="P610" s="299"/>
      <c r="Q610" s="298"/>
      <c r="R610" s="1"/>
      <c r="S610" s="1"/>
      <c r="T610" s="1"/>
      <c r="U610" s="1"/>
      <c r="V610" s="299"/>
      <c r="W610" s="299"/>
      <c r="X610" s="299"/>
      <c r="Y610"/>
      <c r="Z610"/>
      <c r="AA610"/>
      <c r="AB610"/>
    </row>
    <row r="611" spans="1:28" x14ac:dyDescent="0.35">
      <c r="A611" s="298"/>
      <c r="B611" s="298"/>
      <c r="C611" s="298"/>
      <c r="D611" s="298"/>
      <c r="E611" s="298"/>
      <c r="F611" s="298"/>
      <c r="G611" s="298"/>
      <c r="H611" s="298"/>
      <c r="I611" s="298"/>
      <c r="J611" s="298"/>
      <c r="K611" s="298"/>
      <c r="L611" s="298"/>
      <c r="M611" s="298"/>
      <c r="N611" s="298"/>
      <c r="O611" s="1"/>
      <c r="P611" s="1"/>
      <c r="Q611" s="1"/>
      <c r="R611" s="1"/>
      <c r="S611" s="1"/>
      <c r="T611" s="1"/>
      <c r="U611" s="1"/>
      <c r="V611"/>
      <c r="W611"/>
      <c r="X611"/>
      <c r="Y611"/>
      <c r="Z611"/>
      <c r="AA611"/>
      <c r="AB611"/>
    </row>
    <row r="612" spans="1:28" x14ac:dyDescent="0.35">
      <c r="A612" s="298"/>
      <c r="B612" s="298"/>
      <c r="C612" s="298"/>
      <c r="D612" s="298"/>
      <c r="E612" s="298"/>
      <c r="F612" s="298"/>
      <c r="G612" s="298"/>
      <c r="H612" s="298"/>
      <c r="I612" s="298"/>
      <c r="J612" s="298"/>
      <c r="K612" s="298"/>
      <c r="L612" s="298"/>
      <c r="M612" s="298"/>
      <c r="N612" s="298"/>
      <c r="O612" s="1"/>
      <c r="P612" s="1"/>
      <c r="Q612" s="1"/>
      <c r="R612" s="1"/>
      <c r="S612" s="1"/>
      <c r="T612" s="1"/>
      <c r="U612" s="1"/>
      <c r="V612"/>
      <c r="W612"/>
      <c r="X612"/>
      <c r="Y612"/>
      <c r="Z612"/>
      <c r="AA612"/>
      <c r="AB612"/>
    </row>
    <row r="613" spans="1:28" x14ac:dyDescent="0.35">
      <c r="A613" s="297" t="s">
        <v>254</v>
      </c>
      <c r="B613" s="296"/>
      <c r="C613" s="296"/>
      <c r="D613" s="296"/>
      <c r="E613" s="296"/>
      <c r="F613" s="296"/>
      <c r="G613" s="296"/>
      <c r="H613" s="296"/>
      <c r="I613" s="296"/>
      <c r="J613" s="296"/>
      <c r="K613" s="296"/>
      <c r="L613" s="296"/>
      <c r="M613" s="296"/>
      <c r="N613" s="296"/>
      <c r="O613" s="296"/>
      <c r="P613" s="1"/>
      <c r="Q613" s="1"/>
      <c r="R613" s="1"/>
      <c r="S613" s="1"/>
      <c r="T613" s="1"/>
      <c r="U613" s="1"/>
      <c r="V613"/>
      <c r="W613"/>
      <c r="X613"/>
      <c r="Y613"/>
      <c r="Z613"/>
      <c r="AA613"/>
      <c r="AB613"/>
    </row>
    <row r="614" spans="1:28" x14ac:dyDescent="0.35">
      <c r="A614" s="411" t="s">
        <v>194</v>
      </c>
      <c r="B614" s="412" t="s">
        <v>253</v>
      </c>
      <c r="C614" s="412" t="s">
        <v>252</v>
      </c>
      <c r="D614" s="412" t="s">
        <v>251</v>
      </c>
      <c r="E614" s="412" t="s">
        <v>250</v>
      </c>
      <c r="F614" s="412" t="s">
        <v>249</v>
      </c>
      <c r="G614" s="412" t="s">
        <v>248</v>
      </c>
      <c r="H614" s="412" t="s">
        <v>247</v>
      </c>
      <c r="I614" s="412" t="s">
        <v>246</v>
      </c>
      <c r="J614" s="412" t="s">
        <v>245</v>
      </c>
      <c r="K614" s="412" t="s">
        <v>244</v>
      </c>
      <c r="L614" s="412" t="s">
        <v>243</v>
      </c>
      <c r="M614" s="412" t="s">
        <v>242</v>
      </c>
      <c r="N614" s="411"/>
      <c r="O614" s="411" t="s">
        <v>305</v>
      </c>
      <c r="P614" s="1"/>
      <c r="Q614" s="1"/>
      <c r="R614" s="1"/>
      <c r="S614" s="1"/>
      <c r="T614" s="1"/>
      <c r="U614" s="1"/>
      <c r="V614"/>
      <c r="W614"/>
      <c r="X614"/>
      <c r="Y614"/>
      <c r="Z614"/>
      <c r="AA614"/>
      <c r="AB614"/>
    </row>
    <row r="615" spans="1:28" x14ac:dyDescent="0.35">
      <c r="A615" s="418">
        <v>2005</v>
      </c>
      <c r="B615" s="413">
        <v>113.4</v>
      </c>
      <c r="C615" s="413">
        <v>114</v>
      </c>
      <c r="D615" s="413">
        <v>114.5</v>
      </c>
      <c r="E615" s="413">
        <v>114.8</v>
      </c>
      <c r="F615" s="413">
        <v>114.5</v>
      </c>
      <c r="G615" s="413">
        <v>114.8</v>
      </c>
      <c r="H615" s="413">
        <v>114.4</v>
      </c>
      <c r="I615" s="413">
        <v>114.8</v>
      </c>
      <c r="J615" s="413">
        <v>115.4</v>
      </c>
      <c r="K615" s="413">
        <v>115.3</v>
      </c>
      <c r="L615" s="413">
        <v>115</v>
      </c>
      <c r="M615" s="413">
        <v>115.1</v>
      </c>
      <c r="N615" s="413"/>
      <c r="O615" s="414">
        <v>114.78333333333332</v>
      </c>
      <c r="P615" s="1"/>
      <c r="Q615" s="1"/>
      <c r="R615" s="1"/>
      <c r="S615" s="1"/>
      <c r="T615" s="1"/>
      <c r="U615" s="1"/>
      <c r="V615"/>
      <c r="W615"/>
      <c r="X615"/>
      <c r="Y615"/>
      <c r="Z615"/>
      <c r="AA615"/>
      <c r="AB615"/>
    </row>
    <row r="616" spans="1:28" x14ac:dyDescent="0.35">
      <c r="A616" s="418">
        <v>2006</v>
      </c>
      <c r="B616" s="413">
        <v>114.7</v>
      </c>
      <c r="C616" s="413">
        <v>115.7</v>
      </c>
      <c r="D616" s="413">
        <v>116</v>
      </c>
      <c r="E616" s="413">
        <v>116.6</v>
      </c>
      <c r="F616" s="413">
        <v>116.8</v>
      </c>
      <c r="G616" s="413">
        <v>116.9</v>
      </c>
      <c r="H616" s="413">
        <v>116.6</v>
      </c>
      <c r="I616" s="413">
        <v>117</v>
      </c>
      <c r="J616" s="413">
        <v>117.2</v>
      </c>
      <c r="K616" s="413">
        <v>117.5</v>
      </c>
      <c r="L616" s="413">
        <v>117.5</v>
      </c>
      <c r="M616" s="413">
        <v>117.7</v>
      </c>
      <c r="N616" s="413"/>
      <c r="O616" s="414">
        <v>116.85000000000001</v>
      </c>
      <c r="P616" s="1"/>
      <c r="Q616" s="1"/>
      <c r="R616" s="1"/>
      <c r="S616" s="1"/>
      <c r="T616" s="1"/>
      <c r="U616" s="1"/>
      <c r="V616"/>
      <c r="W616"/>
      <c r="X616"/>
      <c r="Y616"/>
      <c r="Z616"/>
      <c r="AA616"/>
      <c r="AB616"/>
    </row>
    <row r="617" spans="1:28" x14ac:dyDescent="0.35">
      <c r="A617" s="418">
        <v>2007</v>
      </c>
      <c r="B617" s="413">
        <v>117.4</v>
      </c>
      <c r="C617" s="413">
        <v>118.2</v>
      </c>
      <c r="D617" s="413">
        <v>119.1</v>
      </c>
      <c r="E617" s="413">
        <v>119.6</v>
      </c>
      <c r="F617" s="413">
        <v>119.5</v>
      </c>
      <c r="G617" s="413">
        <v>119.7</v>
      </c>
      <c r="H617" s="413">
        <v>119.5</v>
      </c>
      <c r="I617" s="413">
        <v>119.7</v>
      </c>
      <c r="J617" s="413">
        <v>120.3</v>
      </c>
      <c r="K617" s="413">
        <v>120.6</v>
      </c>
      <c r="L617" s="413">
        <v>120.9</v>
      </c>
      <c r="M617" s="413">
        <v>120.7</v>
      </c>
      <c r="N617" s="413"/>
      <c r="O617" s="414">
        <v>119.71666666666665</v>
      </c>
      <c r="P617" s="1"/>
      <c r="Q617" s="1"/>
      <c r="R617" s="1"/>
      <c r="S617" s="1"/>
      <c r="T617" s="1"/>
      <c r="U617" s="1"/>
      <c r="V617"/>
      <c r="W617"/>
      <c r="X617"/>
      <c r="Y617"/>
      <c r="Z617"/>
      <c r="AA617"/>
      <c r="AB617"/>
    </row>
    <row r="618" spans="1:28" x14ac:dyDescent="0.35">
      <c r="A618" s="418">
        <v>2008</v>
      </c>
      <c r="B618" s="413">
        <v>121.9</v>
      </c>
      <c r="C618" s="413">
        <v>122.6</v>
      </c>
      <c r="D618" s="413">
        <v>123.6</v>
      </c>
      <c r="E618" s="413">
        <v>123.8</v>
      </c>
      <c r="F618" s="413">
        <v>124.5</v>
      </c>
      <c r="G618" s="413">
        <v>124.9</v>
      </c>
      <c r="H618" s="413">
        <v>124.7</v>
      </c>
      <c r="I618" s="413">
        <v>125.3</v>
      </c>
      <c r="J618" s="413">
        <v>125.9</v>
      </c>
      <c r="K618" s="413">
        <v>125.9</v>
      </c>
      <c r="L618" s="413">
        <v>125.3</v>
      </c>
      <c r="M618" s="413">
        <v>124.9</v>
      </c>
      <c r="N618" s="413"/>
      <c r="O618" s="414">
        <v>124.85000000000001</v>
      </c>
      <c r="P618" s="1"/>
      <c r="Q618" s="1"/>
      <c r="R618" s="1"/>
      <c r="S618" s="1"/>
      <c r="T618" s="1"/>
      <c r="U618" s="1"/>
      <c r="V618"/>
      <c r="W618"/>
      <c r="X618"/>
      <c r="Y618"/>
      <c r="Z618"/>
      <c r="AA618"/>
      <c r="AB618"/>
    </row>
    <row r="619" spans="1:28" x14ac:dyDescent="0.35">
      <c r="A619" s="418">
        <v>2009</v>
      </c>
      <c r="B619" s="413">
        <v>124.6</v>
      </c>
      <c r="C619" s="413">
        <v>124.7</v>
      </c>
      <c r="D619" s="413">
        <v>124.8</v>
      </c>
      <c r="E619" s="413">
        <v>124.8</v>
      </c>
      <c r="F619" s="413">
        <v>124.5</v>
      </c>
      <c r="G619" s="413">
        <v>124.8</v>
      </c>
      <c r="H619" s="413">
        <v>124</v>
      </c>
      <c r="I619" s="413">
        <v>124.4</v>
      </c>
      <c r="J619" s="413">
        <v>124.6</v>
      </c>
      <c r="K619" s="413">
        <v>124</v>
      </c>
      <c r="L619" s="413">
        <v>124.1</v>
      </c>
      <c r="M619" s="413">
        <v>124.2</v>
      </c>
      <c r="N619" s="413"/>
      <c r="O619" s="414">
        <v>124.51666666666667</v>
      </c>
      <c r="P619" s="1"/>
      <c r="Q619" s="1"/>
      <c r="R619" s="1"/>
      <c r="S619" s="1"/>
      <c r="T619" s="1"/>
      <c r="U619" s="1"/>
      <c r="V619"/>
      <c r="W619"/>
      <c r="X619"/>
      <c r="Y619"/>
      <c r="Z619"/>
      <c r="AA619"/>
      <c r="AB619"/>
    </row>
    <row r="620" spans="1:28" x14ac:dyDescent="0.35">
      <c r="A620" s="418">
        <v>2010</v>
      </c>
      <c r="B620" s="413">
        <v>124.4</v>
      </c>
      <c r="C620" s="413">
        <v>124.8</v>
      </c>
      <c r="D620" s="413">
        <v>125.5</v>
      </c>
      <c r="E620" s="413">
        <v>125.8</v>
      </c>
      <c r="F620" s="413">
        <v>125.7</v>
      </c>
      <c r="G620" s="413">
        <v>126</v>
      </c>
      <c r="H620" s="413">
        <v>125.3</v>
      </c>
      <c r="I620" s="413">
        <v>125.9</v>
      </c>
      <c r="J620" s="413">
        <v>126.4</v>
      </c>
      <c r="K620" s="413">
        <v>126.9</v>
      </c>
      <c r="L620" s="413">
        <v>127.2</v>
      </c>
      <c r="M620" s="413">
        <v>127.8</v>
      </c>
      <c r="N620" s="413"/>
      <c r="O620" s="414">
        <v>125.85000000000001</v>
      </c>
      <c r="P620" s="1"/>
      <c r="Q620" s="1"/>
      <c r="R620" s="1"/>
      <c r="S620" s="1"/>
      <c r="T620" s="1"/>
      <c r="U620" s="1"/>
      <c r="V620"/>
      <c r="W620"/>
      <c r="X620"/>
      <c r="Y620"/>
      <c r="Z620"/>
      <c r="AA620"/>
      <c r="AB620"/>
    </row>
    <row r="621" spans="1:28" x14ac:dyDescent="0.35">
      <c r="A621" s="418">
        <v>2011</v>
      </c>
      <c r="B621" s="413">
        <v>128.30000000000001</v>
      </c>
      <c r="C621" s="413">
        <v>129.1</v>
      </c>
      <c r="D621" s="413">
        <v>129.80000000000001</v>
      </c>
      <c r="E621" s="413">
        <v>130</v>
      </c>
      <c r="F621" s="413">
        <v>130.1</v>
      </c>
      <c r="G621" s="413">
        <v>130.5</v>
      </c>
      <c r="H621" s="413">
        <v>130.1</v>
      </c>
      <c r="I621" s="413">
        <v>130.6</v>
      </c>
      <c r="J621" s="413">
        <v>131.1</v>
      </c>
      <c r="K621" s="413">
        <v>131.5</v>
      </c>
      <c r="L621" s="413">
        <v>131.6</v>
      </c>
      <c r="M621" s="413">
        <v>131.5</v>
      </c>
      <c r="N621" s="413"/>
      <c r="O621" s="414">
        <v>130.4</v>
      </c>
      <c r="P621" s="1"/>
      <c r="Q621" s="1"/>
      <c r="R621" s="1"/>
      <c r="S621" s="1"/>
      <c r="T621" s="1"/>
      <c r="U621" s="1"/>
      <c r="V621"/>
      <c r="W621"/>
      <c r="X621"/>
      <c r="Y621"/>
      <c r="Z621"/>
      <c r="AA621"/>
      <c r="AB621"/>
    </row>
    <row r="622" spans="1:28" x14ac:dyDescent="0.35">
      <c r="A622" s="415">
        <v>2012</v>
      </c>
      <c r="B622" s="413">
        <v>132.4</v>
      </c>
      <c r="C622" s="413">
        <v>133.1</v>
      </c>
      <c r="D622" s="413">
        <v>133.6</v>
      </c>
      <c r="E622" s="413">
        <v>134</v>
      </c>
      <c r="F622" s="413">
        <v>134.1</v>
      </c>
      <c r="G622" s="413">
        <v>134.1</v>
      </c>
      <c r="H622" s="413">
        <v>133.9</v>
      </c>
      <c r="I622" s="413">
        <v>134.19999999999999</v>
      </c>
      <c r="J622" s="413">
        <v>134.69999999999999</v>
      </c>
      <c r="K622" s="413">
        <v>134.9</v>
      </c>
      <c r="L622" s="416">
        <v>134.4</v>
      </c>
      <c r="M622" s="416">
        <v>134.6</v>
      </c>
      <c r="N622" s="416"/>
      <c r="O622" s="414">
        <v>134.16666666666666</v>
      </c>
      <c r="P622" s="1"/>
      <c r="Q622" s="1"/>
      <c r="R622" s="1"/>
      <c r="S622" s="1"/>
      <c r="T622" s="1"/>
      <c r="U622" s="1"/>
      <c r="V622"/>
      <c r="W622"/>
      <c r="X622"/>
      <c r="Y622"/>
      <c r="Z622"/>
      <c r="AA622"/>
      <c r="AB622"/>
    </row>
    <row r="623" spans="1:28" x14ac:dyDescent="0.35">
      <c r="A623" s="415">
        <v>2013</v>
      </c>
      <c r="B623" s="413">
        <v>134.5</v>
      </c>
      <c r="C623" s="413">
        <v>135.30000000000001</v>
      </c>
      <c r="D623" s="413">
        <v>135.9</v>
      </c>
      <c r="E623" s="413">
        <v>136.1</v>
      </c>
      <c r="F623" s="413">
        <v>136.1</v>
      </c>
      <c r="G623" s="413">
        <v>136.1</v>
      </c>
      <c r="H623" s="413">
        <v>136</v>
      </c>
      <c r="I623" s="413">
        <v>135.80000000000001</v>
      </c>
      <c r="J623" s="413">
        <v>136.30000000000001</v>
      </c>
      <c r="K623" s="413">
        <v>136.5</v>
      </c>
      <c r="L623" s="416">
        <v>136.30000000000001</v>
      </c>
      <c r="M623" s="416">
        <v>136.80000000000001</v>
      </c>
      <c r="N623" s="416"/>
      <c r="O623" s="414">
        <v>136.06666666666663</v>
      </c>
      <c r="P623" s="1"/>
      <c r="Q623" s="1"/>
      <c r="R623" s="1"/>
      <c r="S623" s="1"/>
      <c r="T623" s="1"/>
      <c r="U623" s="1"/>
      <c r="V623"/>
      <c r="W623"/>
      <c r="X623"/>
      <c r="Y623"/>
      <c r="Z623"/>
      <c r="AA623"/>
      <c r="AB623"/>
    </row>
    <row r="624" spans="1:28" x14ac:dyDescent="0.35">
      <c r="A624" s="415">
        <v>2014</v>
      </c>
      <c r="B624" s="413">
        <v>136.69999999999999</v>
      </c>
      <c r="C624" s="413">
        <v>137</v>
      </c>
      <c r="D624" s="413">
        <v>137.4</v>
      </c>
      <c r="E624" s="413">
        <v>137.6</v>
      </c>
      <c r="F624" s="413">
        <v>137.19999999999999</v>
      </c>
      <c r="G624" s="413">
        <v>137.30000000000001</v>
      </c>
      <c r="H624" s="413">
        <v>137.19999999999999</v>
      </c>
      <c r="I624" s="413">
        <v>137.4</v>
      </c>
      <c r="J624" s="413">
        <v>138.1</v>
      </c>
      <c r="K624" s="413">
        <v>137.9</v>
      </c>
      <c r="L624" s="413">
        <v>137.6</v>
      </c>
      <c r="M624" s="413">
        <v>137.4</v>
      </c>
      <c r="N624" s="413"/>
      <c r="O624" s="414">
        <v>137.46666666666667</v>
      </c>
      <c r="P624" s="1"/>
      <c r="Q624" s="1"/>
      <c r="R624" s="1"/>
      <c r="S624" s="1"/>
      <c r="T624" s="1"/>
      <c r="U624" s="1"/>
      <c r="V624"/>
      <c r="W624"/>
      <c r="X624"/>
      <c r="Y624"/>
      <c r="Z624"/>
      <c r="AA624"/>
      <c r="AB624"/>
    </row>
    <row r="625" spans="1:28" x14ac:dyDescent="0.35">
      <c r="A625" s="415">
        <v>2015</v>
      </c>
      <c r="B625" s="413">
        <v>136.5</v>
      </c>
      <c r="C625" s="413">
        <v>136.80000000000001</v>
      </c>
      <c r="D625" s="413">
        <v>137.30000000000001</v>
      </c>
      <c r="E625" s="413">
        <v>137.30000000000001</v>
      </c>
      <c r="F625" s="413">
        <v>137.19999999999999</v>
      </c>
      <c r="G625" s="413">
        <v>137.19999999999999</v>
      </c>
      <c r="H625" s="413">
        <v>136.9</v>
      </c>
      <c r="I625" s="413">
        <v>137.1</v>
      </c>
      <c r="J625" s="413">
        <v>137.30000000000001</v>
      </c>
      <c r="K625" s="413">
        <v>137.5</v>
      </c>
      <c r="L625" s="413">
        <v>137.30000000000001</v>
      </c>
      <c r="M625" s="413">
        <v>137.1</v>
      </c>
      <c r="N625" s="413"/>
      <c r="O625" s="414">
        <v>137.16666666666666</v>
      </c>
      <c r="P625" s="1"/>
      <c r="Q625" s="1"/>
      <c r="R625" s="1"/>
      <c r="S625" s="1"/>
      <c r="T625" s="1"/>
      <c r="U625" s="1"/>
      <c r="V625"/>
      <c r="W625"/>
      <c r="X625"/>
      <c r="Y625"/>
      <c r="Z625"/>
      <c r="AA625"/>
      <c r="AB625"/>
    </row>
    <row r="626" spans="1:28" x14ac:dyDescent="0.35">
      <c r="A626" s="415">
        <v>2016</v>
      </c>
      <c r="B626" s="413">
        <v>136.5</v>
      </c>
      <c r="C626" s="413">
        <v>136.69999999999999</v>
      </c>
      <c r="D626" s="413">
        <v>137.19999999999999</v>
      </c>
      <c r="E626" s="413">
        <v>137.6</v>
      </c>
      <c r="F626" s="413">
        <v>137.6</v>
      </c>
      <c r="G626" s="413">
        <v>137.69999999999999</v>
      </c>
      <c r="H626" s="413">
        <v>137.5</v>
      </c>
      <c r="I626" s="413">
        <v>137.6</v>
      </c>
      <c r="J626" s="413">
        <v>137.9</v>
      </c>
      <c r="K626" s="413">
        <v>138.1</v>
      </c>
      <c r="L626" s="413">
        <v>138.19999999999999</v>
      </c>
      <c r="M626" s="413">
        <v>138.5</v>
      </c>
      <c r="N626" s="413"/>
      <c r="O626" s="414">
        <v>137.65</v>
      </c>
      <c r="P626" s="1"/>
      <c r="Q626" s="1"/>
      <c r="R626" s="1"/>
      <c r="S626" s="1"/>
      <c r="T626" s="1"/>
      <c r="U626" s="1"/>
      <c r="V626"/>
      <c r="W626"/>
      <c r="X626"/>
      <c r="Y626"/>
      <c r="Z626"/>
      <c r="AA626"/>
      <c r="AB626"/>
    </row>
    <row r="627" spans="1:28" x14ac:dyDescent="0.35">
      <c r="A627" s="415">
        <v>2017</v>
      </c>
      <c r="B627" s="413">
        <v>137.69999999999999</v>
      </c>
      <c r="C627" s="413">
        <v>138.4</v>
      </c>
      <c r="D627" s="413">
        <v>138.4</v>
      </c>
      <c r="E627" s="413">
        <v>138.80000000000001</v>
      </c>
      <c r="F627" s="413">
        <v>138.6</v>
      </c>
      <c r="G627" s="413">
        <v>138.69999999999999</v>
      </c>
      <c r="H627" s="413">
        <v>138.30000000000001</v>
      </c>
      <c r="I627" s="413">
        <v>138.6</v>
      </c>
      <c r="J627" s="413">
        <v>138.9</v>
      </c>
      <c r="K627" s="413">
        <v>138.9</v>
      </c>
      <c r="L627" s="413">
        <v>139.19999999999999</v>
      </c>
      <c r="M627" s="413">
        <v>139.19999999999999</v>
      </c>
      <c r="N627" s="413"/>
      <c r="O627" s="414">
        <v>138.65</v>
      </c>
      <c r="P627" s="1"/>
      <c r="Q627" s="1"/>
      <c r="R627" s="1"/>
      <c r="S627" s="1"/>
      <c r="T627" s="1"/>
      <c r="U627" s="1"/>
      <c r="V627"/>
      <c r="W627"/>
      <c r="X627"/>
      <c r="Y627"/>
      <c r="Z627"/>
      <c r="AA627"/>
      <c r="AB627"/>
    </row>
    <row r="628" spans="1:28" x14ac:dyDescent="0.35">
      <c r="A628" s="415">
        <v>2018</v>
      </c>
      <c r="B628" s="413">
        <v>138.80000000000001</v>
      </c>
      <c r="C628" s="413">
        <v>139.19999999999999</v>
      </c>
      <c r="D628" s="413">
        <v>139.5</v>
      </c>
      <c r="E628" s="413">
        <v>139.80000000000001</v>
      </c>
      <c r="F628" s="413">
        <v>140</v>
      </c>
      <c r="G628" s="413">
        <v>140.30000000000001</v>
      </c>
      <c r="H628" s="413">
        <v>140.19999999999999</v>
      </c>
      <c r="I628" s="413">
        <v>140.4</v>
      </c>
      <c r="J628" s="413">
        <v>140.69999999999999</v>
      </c>
      <c r="K628" s="413">
        <v>141</v>
      </c>
      <c r="L628" s="413">
        <v>141</v>
      </c>
      <c r="M628" s="413">
        <v>140.80000000000001</v>
      </c>
      <c r="N628" s="413"/>
      <c r="O628" s="414">
        <v>140.23333333333332</v>
      </c>
      <c r="P628" s="1"/>
      <c r="Q628" s="1"/>
      <c r="R628" s="1"/>
      <c r="S628" s="1"/>
      <c r="T628" s="1"/>
      <c r="U628" s="1"/>
      <c r="V628"/>
      <c r="W628"/>
      <c r="X628"/>
      <c r="Y628"/>
      <c r="Z628"/>
      <c r="AA628"/>
      <c r="AB628"/>
    </row>
    <row r="629" spans="1:28" x14ac:dyDescent="0.35">
      <c r="A629" s="415">
        <v>2019</v>
      </c>
      <c r="B629" s="413">
        <v>140.30000000000001</v>
      </c>
      <c r="C629" s="413">
        <v>141</v>
      </c>
      <c r="D629" s="413">
        <v>141</v>
      </c>
      <c r="E629" s="413">
        <v>141.9</v>
      </c>
      <c r="F629" s="413">
        <v>141.6</v>
      </c>
      <c r="G629" s="413">
        <v>141.69999999999999</v>
      </c>
      <c r="H629" s="413">
        <v>141.30000000000001</v>
      </c>
      <c r="I629" s="413">
        <v>141.9</v>
      </c>
      <c r="J629" s="413">
        <v>142</v>
      </c>
      <c r="K629" s="413"/>
      <c r="L629" s="413"/>
      <c r="M629" s="413"/>
      <c r="N629" s="413"/>
      <c r="O629" s="414">
        <v>141.73333333333332</v>
      </c>
      <c r="P629" s="1"/>
      <c r="Q629" s="1"/>
      <c r="R629" s="1"/>
      <c r="S629" s="1"/>
      <c r="T629" s="1"/>
      <c r="U629" s="1"/>
      <c r="V629"/>
      <c r="W629"/>
      <c r="X629"/>
      <c r="Y629"/>
      <c r="Z629"/>
      <c r="AA629"/>
      <c r="AB629"/>
    </row>
    <row r="630" spans="1:28" ht="16.5" x14ac:dyDescent="0.45">
      <c r="A630" s="291"/>
      <c r="B630" s="295"/>
      <c r="C630" s="294"/>
      <c r="D630" s="294"/>
      <c r="E630" s="294"/>
      <c r="F630" s="294"/>
      <c r="G630" s="294"/>
      <c r="H630" s="293"/>
      <c r="I630" s="293"/>
      <c r="J630" s="293"/>
      <c r="K630" s="293"/>
      <c r="L630" s="292"/>
      <c r="M630" s="292"/>
      <c r="N630" s="291"/>
      <c r="O630" s="1"/>
      <c r="P630" s="1"/>
      <c r="Q630" s="1"/>
      <c r="R630" s="1"/>
      <c r="S630" s="1"/>
      <c r="T630" s="1"/>
      <c r="U630" s="1"/>
      <c r="V630"/>
      <c r="W630"/>
      <c r="X630"/>
      <c r="Y630"/>
      <c r="Z630"/>
      <c r="AA630"/>
      <c r="AB630"/>
    </row>
    <row r="631" spans="1:28" ht="16.5" x14ac:dyDescent="0.45">
      <c r="A631" s="291"/>
      <c r="B631" s="295"/>
      <c r="C631" s="294"/>
      <c r="D631" s="294"/>
      <c r="E631" s="294"/>
      <c r="F631" s="294"/>
      <c r="G631" s="294"/>
      <c r="H631" s="293"/>
      <c r="I631" s="293"/>
      <c r="J631" s="293"/>
      <c r="K631" s="293"/>
      <c r="L631" s="292"/>
      <c r="M631" s="292"/>
      <c r="N631" s="291"/>
      <c r="O631" s="1"/>
      <c r="P631" s="1"/>
      <c r="Q631" s="1"/>
      <c r="R631" s="1"/>
      <c r="S631" s="1"/>
      <c r="T631" s="1"/>
      <c r="U631" s="1"/>
      <c r="V631"/>
      <c r="W631"/>
      <c r="X631"/>
      <c r="Y631"/>
      <c r="Z631"/>
      <c r="AA631"/>
      <c r="AB631"/>
    </row>
  </sheetData>
  <protectedRanges>
    <protectedRange password="CD46" sqref="A5:B5 M15:M18 M20:M23" name="Range1_3_1"/>
    <protectedRange password="CD46" sqref="D15:K18 E20:E23 G20:K23" name="Range3_1"/>
    <protectedRange sqref="B43:E54" name="Alue4_1"/>
    <protectedRange password="CD46" sqref="C5:K5" name="Range1_3_5"/>
  </protectedRanges>
  <customSheetViews>
    <customSheetView guid="{C44CE6ED-446D-4E43-AC42-1BADDBA87353}">
      <selection activeCell="G11" sqref="G11"/>
      <pageMargins left="0.7" right="0.7" top="0.75" bottom="0.75" header="0.3" footer="0.3"/>
    </customSheetView>
    <customSheetView guid="{8386F830-B269-4ACC-A789-9E42C0FB51D1}">
      <selection activeCell="I31" sqref="I31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200" verticalDpi="200" r:id="rId1"/>
  <ignoredErrors>
    <ignoredError sqref="L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S38"/>
  <sheetViews>
    <sheetView workbookViewId="0">
      <pane ySplit="5" topLeftCell="A6" activePane="bottomLeft" state="frozen"/>
      <selection pane="bottomLeft" activeCell="B13" sqref="B13"/>
    </sheetView>
  </sheetViews>
  <sheetFormatPr defaultColWidth="9.26953125" defaultRowHeight="12.5" x14ac:dyDescent="0.25"/>
  <cols>
    <col min="1" max="1" width="51.26953125" style="7" customWidth="1"/>
    <col min="2" max="2" width="11.54296875" style="10" customWidth="1"/>
    <col min="3" max="7" width="9.26953125" style="9"/>
    <col min="8" max="16384" width="9.26953125" style="7"/>
  </cols>
  <sheetData>
    <row r="1" spans="1:253" s="262" customFormat="1" ht="15" customHeight="1" x14ac:dyDescent="0.3">
      <c r="A1" s="245" t="s">
        <v>200</v>
      </c>
      <c r="B1" s="265" t="s">
        <v>119</v>
      </c>
      <c r="C1" s="263"/>
    </row>
    <row r="2" spans="1:253" s="263" customFormat="1" ht="15" customHeight="1" x14ac:dyDescent="0.3">
      <c r="A2" s="264" t="s">
        <v>201</v>
      </c>
      <c r="B2" s="265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  <c r="IR2" s="262"/>
      <c r="IS2" s="262"/>
    </row>
    <row r="3" spans="1:253" s="262" customFormat="1" ht="15" customHeight="1" x14ac:dyDescent="0.3">
      <c r="A3" s="267"/>
      <c r="B3" s="268"/>
    </row>
    <row r="4" spans="1:253" s="262" customFormat="1" ht="15" customHeight="1" x14ac:dyDescent="0.3">
      <c r="A4" s="270"/>
      <c r="B4" s="271"/>
      <c r="C4" s="272"/>
    </row>
    <row r="5" spans="1:253" s="262" customFormat="1" ht="15" customHeight="1" x14ac:dyDescent="0.3">
      <c r="A5" s="245" t="s">
        <v>41</v>
      </c>
      <c r="B5" s="260">
        <v>2024</v>
      </c>
      <c r="C5" s="261">
        <v>2025</v>
      </c>
      <c r="D5" s="261">
        <v>2026</v>
      </c>
      <c r="E5" s="261">
        <v>2027</v>
      </c>
      <c r="G5" s="261"/>
    </row>
    <row r="6" spans="1:253" ht="14.5" x14ac:dyDescent="0.35">
      <c r="A6" s="76"/>
      <c r="B6" s="77"/>
      <c r="C6" s="75"/>
      <c r="D6" s="75"/>
      <c r="E6" s="75"/>
      <c r="F6" s="75"/>
      <c r="G6" s="75"/>
      <c r="H6" s="76"/>
    </row>
    <row r="7" spans="1:253" ht="14.5" x14ac:dyDescent="0.35">
      <c r="A7" s="78"/>
      <c r="B7" s="77"/>
      <c r="C7" s="75"/>
      <c r="D7" s="75"/>
      <c r="E7" s="75"/>
      <c r="F7" s="75"/>
      <c r="G7" s="75"/>
      <c r="H7" s="76"/>
    </row>
    <row r="8" spans="1:253" ht="14.5" x14ac:dyDescent="0.35">
      <c r="A8" s="40"/>
      <c r="B8" s="77"/>
      <c r="C8" s="75"/>
      <c r="D8" s="75"/>
      <c r="E8" s="75"/>
      <c r="F8" s="75"/>
      <c r="G8" s="75"/>
      <c r="H8" s="76"/>
    </row>
    <row r="9" spans="1:253" ht="14.5" x14ac:dyDescent="0.35">
      <c r="A9" s="56" t="s">
        <v>202</v>
      </c>
      <c r="B9" s="79"/>
      <c r="C9" s="79"/>
      <c r="D9" s="79"/>
      <c r="E9" s="79"/>
      <c r="F9" s="75"/>
      <c r="G9" s="75"/>
      <c r="H9" s="76"/>
    </row>
    <row r="10" spans="1:253" ht="14.5" x14ac:dyDescent="0.35">
      <c r="A10" s="56" t="s">
        <v>203</v>
      </c>
      <c r="B10" s="79"/>
      <c r="C10" s="79"/>
      <c r="D10" s="79"/>
      <c r="E10" s="79"/>
      <c r="F10" s="75"/>
      <c r="G10" s="75"/>
      <c r="H10" s="76"/>
    </row>
    <row r="11" spans="1:253" ht="14.5" x14ac:dyDescent="0.35">
      <c r="A11" s="76"/>
      <c r="B11" s="77"/>
      <c r="C11" s="75"/>
      <c r="D11" s="75"/>
      <c r="E11" s="75"/>
      <c r="F11" s="75"/>
      <c r="G11" s="75"/>
      <c r="H11" s="76"/>
    </row>
    <row r="12" spans="1:253" ht="14.5" x14ac:dyDescent="0.35">
      <c r="A12" s="56" t="s">
        <v>345</v>
      </c>
      <c r="B12" s="79"/>
      <c r="C12" s="79"/>
      <c r="D12" s="79"/>
      <c r="E12" s="79"/>
      <c r="F12" s="75"/>
      <c r="G12" s="75"/>
      <c r="H12" s="76"/>
    </row>
    <row r="13" spans="1:253" ht="14.5" x14ac:dyDescent="0.35">
      <c r="A13" s="56" t="s">
        <v>346</v>
      </c>
      <c r="B13" s="79"/>
      <c r="C13" s="79"/>
      <c r="D13" s="79"/>
      <c r="E13" s="79"/>
      <c r="F13" s="75"/>
      <c r="G13" s="75"/>
      <c r="H13" s="76"/>
    </row>
    <row r="14" spans="1:253" ht="14.5" x14ac:dyDescent="0.35">
      <c r="A14" s="56"/>
      <c r="C14" s="75"/>
      <c r="D14" s="75"/>
      <c r="E14" s="75"/>
      <c r="F14" s="75"/>
      <c r="G14" s="75"/>
      <c r="H14" s="76"/>
    </row>
    <row r="15" spans="1:253" ht="14.5" x14ac:dyDescent="0.35">
      <c r="A15" s="56"/>
      <c r="C15" s="75"/>
      <c r="D15" s="75"/>
      <c r="E15" s="75"/>
      <c r="F15" s="75"/>
      <c r="G15" s="75"/>
      <c r="H15" s="76"/>
    </row>
    <row r="16" spans="1:253" ht="14.5" x14ac:dyDescent="0.35">
      <c r="A16" s="76" t="s">
        <v>348</v>
      </c>
      <c r="B16" s="517">
        <f>IF(B12&lt;B13,B10,B10-0.15*(B12-B13))</f>
        <v>0</v>
      </c>
      <c r="C16" s="517">
        <f t="shared" ref="C16:E16" si="0">IF(C12&lt;C13,C10,C10-0.15*(C12-C13))</f>
        <v>0</v>
      </c>
      <c r="D16" s="517">
        <f t="shared" si="0"/>
        <v>0</v>
      </c>
      <c r="E16" s="517">
        <f t="shared" si="0"/>
        <v>0</v>
      </c>
      <c r="F16" s="75"/>
      <c r="G16" s="75"/>
      <c r="H16" s="76"/>
    </row>
    <row r="17" spans="1:8" ht="14.5" x14ac:dyDescent="0.35">
      <c r="A17" s="76"/>
      <c r="B17" s="77"/>
      <c r="C17" s="75"/>
      <c r="D17" s="75"/>
      <c r="E17" s="75"/>
      <c r="F17" s="75"/>
      <c r="G17" s="75"/>
      <c r="H17" s="76"/>
    </row>
    <row r="18" spans="1:8" ht="14.5" x14ac:dyDescent="0.35">
      <c r="A18" s="56"/>
      <c r="C18" s="75"/>
      <c r="D18" s="75"/>
      <c r="E18" s="75"/>
      <c r="F18" s="75"/>
      <c r="G18" s="75"/>
      <c r="H18" s="76"/>
    </row>
    <row r="19" spans="1:8" ht="14.5" x14ac:dyDescent="0.35">
      <c r="A19" s="56"/>
      <c r="C19" s="75"/>
      <c r="D19" s="75"/>
      <c r="E19" s="75"/>
      <c r="F19" s="75"/>
      <c r="G19" s="75"/>
      <c r="H19" s="76"/>
    </row>
    <row r="20" spans="1:8" ht="14.5" x14ac:dyDescent="0.35">
      <c r="A20" s="56"/>
      <c r="C20" s="75"/>
      <c r="D20" s="75"/>
      <c r="E20" s="75"/>
      <c r="F20" s="75"/>
      <c r="G20" s="75"/>
      <c r="H20" s="76"/>
    </row>
    <row r="21" spans="1:8" ht="14.5" x14ac:dyDescent="0.35">
      <c r="A21" s="76"/>
      <c r="B21" s="77"/>
      <c r="C21" s="75"/>
      <c r="D21" s="75"/>
      <c r="E21" s="75"/>
      <c r="F21" s="75"/>
      <c r="G21" s="75"/>
      <c r="H21" s="76"/>
    </row>
    <row r="22" spans="1:8" ht="14.5" x14ac:dyDescent="0.35">
      <c r="A22" s="76"/>
      <c r="B22" s="77"/>
      <c r="C22" s="75"/>
      <c r="D22" s="75"/>
      <c r="E22" s="75"/>
      <c r="F22" s="75"/>
      <c r="G22" s="75"/>
      <c r="H22" s="76"/>
    </row>
    <row r="23" spans="1:8" ht="14.5" x14ac:dyDescent="0.35">
      <c r="A23" s="56"/>
      <c r="C23" s="75"/>
      <c r="D23" s="75"/>
      <c r="E23" s="75"/>
      <c r="F23" s="75"/>
      <c r="G23" s="75"/>
      <c r="H23" s="76"/>
    </row>
    <row r="24" spans="1:8" ht="14.5" x14ac:dyDescent="0.35">
      <c r="A24" s="56"/>
      <c r="C24" s="75"/>
      <c r="D24" s="75"/>
      <c r="E24" s="75"/>
      <c r="F24" s="75"/>
      <c r="G24" s="75"/>
      <c r="H24" s="76"/>
    </row>
    <row r="25" spans="1:8" ht="14.5" x14ac:dyDescent="0.35">
      <c r="A25" s="56"/>
      <c r="C25" s="75"/>
      <c r="D25" s="75"/>
      <c r="E25" s="75"/>
      <c r="F25" s="75"/>
      <c r="G25" s="75"/>
      <c r="H25" s="76"/>
    </row>
    <row r="26" spans="1:8" ht="14.5" x14ac:dyDescent="0.35">
      <c r="A26" s="76"/>
      <c r="B26" s="77"/>
      <c r="C26" s="75"/>
      <c r="D26" s="75"/>
      <c r="E26" s="75"/>
      <c r="F26" s="75"/>
      <c r="G26" s="75"/>
      <c r="H26" s="76"/>
    </row>
    <row r="27" spans="1:8" ht="14.5" x14ac:dyDescent="0.35">
      <c r="A27" s="76"/>
      <c r="B27" s="77"/>
      <c r="C27" s="75"/>
      <c r="D27" s="75"/>
      <c r="E27" s="75"/>
      <c r="F27" s="75"/>
      <c r="G27" s="75"/>
      <c r="H27" s="76"/>
    </row>
    <row r="28" spans="1:8" ht="14.5" x14ac:dyDescent="0.35">
      <c r="A28" s="76"/>
      <c r="B28" s="77"/>
      <c r="C28" s="75"/>
      <c r="D28" s="75"/>
      <c r="E28" s="75"/>
      <c r="F28" s="75"/>
      <c r="G28" s="75"/>
      <c r="H28" s="76"/>
    </row>
    <row r="29" spans="1:8" ht="14.5" x14ac:dyDescent="0.35">
      <c r="A29" s="76"/>
      <c r="B29" s="77"/>
      <c r="C29" s="75"/>
      <c r="D29" s="75"/>
      <c r="E29" s="75"/>
      <c r="F29" s="75"/>
      <c r="G29" s="75"/>
      <c r="H29" s="76"/>
    </row>
    <row r="30" spans="1:8" ht="14.5" x14ac:dyDescent="0.35">
      <c r="A30" s="76"/>
      <c r="B30" s="77"/>
      <c r="C30" s="75"/>
      <c r="D30" s="75"/>
      <c r="E30" s="75"/>
      <c r="F30" s="75"/>
      <c r="G30" s="75"/>
      <c r="H30" s="76"/>
    </row>
    <row r="31" spans="1:8" ht="14.5" x14ac:dyDescent="0.35">
      <c r="A31" s="76"/>
      <c r="B31" s="77"/>
      <c r="C31" s="75"/>
      <c r="D31" s="75"/>
      <c r="E31" s="75"/>
      <c r="F31" s="75"/>
      <c r="G31" s="75"/>
      <c r="H31" s="76"/>
    </row>
    <row r="32" spans="1:8" ht="14.5" x14ac:dyDescent="0.35">
      <c r="A32" s="76"/>
      <c r="B32" s="77"/>
      <c r="C32" s="75"/>
      <c r="D32" s="75"/>
      <c r="E32" s="75"/>
      <c r="F32" s="75"/>
      <c r="G32" s="75"/>
      <c r="H32" s="76"/>
    </row>
    <row r="33" spans="1:8" ht="14.5" x14ac:dyDescent="0.35">
      <c r="A33" s="76"/>
      <c r="B33" s="77"/>
      <c r="C33" s="75"/>
      <c r="D33" s="75"/>
      <c r="E33" s="75"/>
      <c r="F33" s="75"/>
      <c r="G33" s="75"/>
      <c r="H33" s="76"/>
    </row>
    <row r="34" spans="1:8" ht="14.5" x14ac:dyDescent="0.35">
      <c r="A34" s="76"/>
      <c r="B34" s="77"/>
      <c r="C34" s="75"/>
      <c r="D34" s="75"/>
      <c r="E34" s="75"/>
      <c r="F34" s="75"/>
      <c r="G34" s="75"/>
      <c r="H34" s="76"/>
    </row>
    <row r="35" spans="1:8" ht="14.5" x14ac:dyDescent="0.35">
      <c r="A35" s="76"/>
      <c r="B35" s="77"/>
      <c r="C35" s="75"/>
      <c r="D35" s="75"/>
      <c r="E35" s="75"/>
      <c r="F35" s="75"/>
      <c r="G35" s="75"/>
      <c r="H35" s="76"/>
    </row>
    <row r="36" spans="1:8" ht="14.5" x14ac:dyDescent="0.35">
      <c r="A36" s="76"/>
      <c r="B36" s="77"/>
      <c r="C36" s="75"/>
      <c r="D36" s="75"/>
      <c r="E36" s="75"/>
      <c r="F36" s="75"/>
      <c r="G36" s="75"/>
      <c r="H36" s="76"/>
    </row>
    <row r="37" spans="1:8" ht="14.5" x14ac:dyDescent="0.35">
      <c r="A37" s="76"/>
      <c r="B37" s="77"/>
      <c r="C37" s="75"/>
      <c r="D37" s="75"/>
      <c r="E37" s="75"/>
      <c r="F37" s="75"/>
      <c r="G37" s="75"/>
      <c r="H37" s="76"/>
    </row>
    <row r="38" spans="1:8" ht="14.5" x14ac:dyDescent="0.35">
      <c r="A38" s="76"/>
      <c r="B38" s="77"/>
      <c r="C38" s="75"/>
      <c r="D38" s="75"/>
      <c r="E38" s="75"/>
      <c r="F38" s="75"/>
      <c r="G38" s="75"/>
      <c r="H38" s="76"/>
    </row>
  </sheetData>
  <protectedRanges>
    <protectedRange sqref="E9:E10" name="Alue4"/>
    <protectedRange sqref="D9:D10" name="Alue3"/>
    <protectedRange sqref="C9:C10" name="Alue2"/>
    <protectedRange sqref="B9:B10" name="Alue1"/>
    <protectedRange sqref="E12:E13" name="Alue4_1"/>
    <protectedRange sqref="D12:D13" name="Alue3_1"/>
    <protectedRange sqref="C12:C13" name="Alue2_1"/>
    <protectedRange sqref="B12:B13" name="Alue1_1"/>
  </protectedRanges>
  <customSheetViews>
    <customSheetView guid="{C44CE6ED-446D-4E43-AC42-1BADDBA87353}">
      <pane ySplit="5" topLeftCell="A6" activePane="bottomLeft" state="frozen"/>
      <selection pane="bottomLeft" activeCell="E49" sqref="E49"/>
      <pageMargins left="0.75" right="0.75" top="1" bottom="1" header="0.4921259845" footer="0.4921259845"/>
      <pageSetup paperSize="9" orientation="portrait" r:id="rId1"/>
      <headerFooter alignWithMargins="0"/>
    </customSheetView>
    <customSheetView guid="{8386F830-B269-4ACC-A789-9E42C0FB51D1}">
      <pane ySplit="5" topLeftCell="A6" activePane="bottomLeft" state="frozen"/>
      <selection pane="bottomLeft" activeCell="B14" sqref="B14"/>
      <pageMargins left="0.75" right="0.75" top="1" bottom="1" header="0.4921259845" footer="0.4921259845"/>
      <pageSetup paperSize="9" orientation="portrait" r:id="rId2"/>
      <headerFooter alignWithMargins="0"/>
    </customSheetView>
  </customSheetViews>
  <phoneticPr fontId="0" type="noConversion"/>
  <pageMargins left="0.75" right="0.75" top="1" bottom="1" header="0.4921259845" footer="0.4921259845"/>
  <pageSetup paperSize="9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33"/>
  <sheetViews>
    <sheetView workbookViewId="0">
      <pane ySplit="5" topLeftCell="A6" activePane="bottomLeft" state="frozen"/>
      <selection pane="bottomLeft" activeCell="C9" sqref="C9"/>
    </sheetView>
  </sheetViews>
  <sheetFormatPr defaultRowHeight="12.5" x14ac:dyDescent="0.25"/>
  <cols>
    <col min="1" max="1" width="32.7265625" customWidth="1"/>
    <col min="3" max="3" width="15.7265625" customWidth="1"/>
    <col min="4" max="6" width="9.7265625" bestFit="1" customWidth="1"/>
    <col min="8" max="8" width="9.26953125" customWidth="1"/>
  </cols>
  <sheetData>
    <row r="1" spans="1:253" s="262" customFormat="1" ht="15" customHeight="1" x14ac:dyDescent="0.3">
      <c r="A1" s="245" t="s">
        <v>200</v>
      </c>
      <c r="B1" s="258"/>
      <c r="C1" s="263" t="s">
        <v>117</v>
      </c>
    </row>
    <row r="2" spans="1:253" s="263" customFormat="1" ht="15" customHeight="1" x14ac:dyDescent="0.3">
      <c r="A2" s="264" t="s">
        <v>201</v>
      </c>
      <c r="B2" s="265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  <c r="IR2" s="262"/>
      <c r="IS2" s="262"/>
    </row>
    <row r="3" spans="1:253" s="262" customFormat="1" ht="15" customHeight="1" x14ac:dyDescent="0.3">
      <c r="A3" s="267"/>
      <c r="B3" s="268"/>
    </row>
    <row r="4" spans="1:253" s="262" customFormat="1" ht="15" customHeight="1" x14ac:dyDescent="0.3">
      <c r="A4" s="270"/>
      <c r="B4" s="271"/>
      <c r="C4" s="272"/>
    </row>
    <row r="5" spans="1:253" s="262" customFormat="1" ht="15" customHeight="1" x14ac:dyDescent="0.3">
      <c r="A5" s="245" t="s">
        <v>41</v>
      </c>
      <c r="B5" s="258"/>
      <c r="C5" s="260">
        <v>2024</v>
      </c>
      <c r="D5" s="261">
        <v>2025</v>
      </c>
      <c r="E5" s="261">
        <v>2026</v>
      </c>
      <c r="F5" s="261">
        <v>2027</v>
      </c>
      <c r="G5" s="261"/>
    </row>
    <row r="6" spans="1:253" ht="14.5" x14ac:dyDescent="0.35">
      <c r="A6" s="55" t="s">
        <v>116</v>
      </c>
      <c r="B6" s="56"/>
      <c r="C6" s="56"/>
      <c r="D6" s="56"/>
      <c r="E6" s="56"/>
      <c r="F6" s="56"/>
      <c r="G6" s="56"/>
    </row>
    <row r="7" spans="1:253" ht="14.5" x14ac:dyDescent="0.35">
      <c r="A7" s="56"/>
      <c r="B7" s="56"/>
      <c r="C7" s="56"/>
      <c r="D7" s="56"/>
      <c r="E7" s="56"/>
      <c r="F7" s="56"/>
      <c r="G7" s="56"/>
      <c r="H7" s="56"/>
      <c r="I7" s="56"/>
      <c r="J7" s="56"/>
    </row>
    <row r="8" spans="1:253" ht="29" x14ac:dyDescent="0.35">
      <c r="A8" s="45" t="s">
        <v>238</v>
      </c>
      <c r="B8" s="56"/>
      <c r="C8" s="121"/>
      <c r="D8" s="121"/>
      <c r="E8" s="121"/>
      <c r="F8" s="121"/>
      <c r="G8" s="56"/>
      <c r="I8" s="56"/>
      <c r="J8" s="56"/>
    </row>
    <row r="9" spans="1:253" ht="14.5" x14ac:dyDescent="0.35">
      <c r="A9" s="45" t="s">
        <v>303</v>
      </c>
      <c r="B9" s="56"/>
      <c r="C9" s="409">
        <f>Tuloslaskelma!F13</f>
        <v>0</v>
      </c>
      <c r="D9" s="120">
        <f>Tuloslaskelma!G13</f>
        <v>0</v>
      </c>
      <c r="E9" s="120">
        <f>Tuloslaskelma!H13</f>
        <v>0</v>
      </c>
      <c r="F9" s="120">
        <f>Tuloslaskelma!I13</f>
        <v>0</v>
      </c>
      <c r="H9" s="56"/>
      <c r="I9" s="56"/>
      <c r="J9" s="56"/>
    </row>
    <row r="10" spans="1:253" ht="101.5" x14ac:dyDescent="0.35">
      <c r="A10" s="45" t="s">
        <v>321</v>
      </c>
      <c r="C10" s="410">
        <f>0.005*(C9+D9+E9+F9)</f>
        <v>0</v>
      </c>
    </row>
    <row r="11" spans="1:253" ht="14.5" x14ac:dyDescent="0.35">
      <c r="A11" s="56"/>
      <c r="B11" s="56"/>
      <c r="C11" s="56"/>
      <c r="D11" s="56"/>
      <c r="E11" s="56"/>
      <c r="F11" s="56"/>
      <c r="G11" s="56"/>
      <c r="H11" s="56"/>
      <c r="I11" s="56"/>
      <c r="J11" s="56"/>
    </row>
    <row r="12" spans="1:253" ht="43.5" x14ac:dyDescent="0.35">
      <c r="A12" s="45" t="s">
        <v>239</v>
      </c>
      <c r="B12" s="56"/>
      <c r="C12" s="120">
        <f>IF((C8+D8+E8+F8)&lt;=C10,(C8),(FALSE))</f>
        <v>0</v>
      </c>
      <c r="D12" s="120">
        <f>IF((D8+E8+F8+C8)&lt;=C10,(D8),(FALSE))</f>
        <v>0</v>
      </c>
      <c r="E12" s="120">
        <f>IF((E8+F8+C8+D8)&lt;=C10,(E8),(FALSE))</f>
        <v>0</v>
      </c>
      <c r="F12" s="120">
        <f>IF((F8+C8+D8+E8)&lt;=C10,(F8),(FALSE))</f>
        <v>0</v>
      </c>
      <c r="G12" s="56"/>
      <c r="H12" s="56"/>
      <c r="I12" s="56"/>
      <c r="J12" s="56"/>
    </row>
    <row r="13" spans="1:253" ht="14.5" x14ac:dyDescent="0.35">
      <c r="A13" s="57" t="s">
        <v>115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253" ht="14.5" x14ac:dyDescent="0.35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253" ht="14.5" x14ac:dyDescent="0.35">
      <c r="A15" s="56"/>
      <c r="B15" s="56"/>
      <c r="C15" s="56"/>
      <c r="D15" s="56"/>
      <c r="E15" s="56"/>
      <c r="F15" s="56"/>
      <c r="G15" s="56"/>
      <c r="H15" s="56"/>
      <c r="I15" s="56"/>
      <c r="J15" s="56"/>
    </row>
    <row r="16" spans="1:253" ht="14.5" x14ac:dyDescent="0.35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7" spans="1:10" ht="14.5" x14ac:dyDescent="0.35">
      <c r="A17" s="56"/>
      <c r="B17" s="56"/>
      <c r="C17" s="56"/>
      <c r="D17" s="56"/>
      <c r="E17" s="56"/>
      <c r="F17" s="56"/>
      <c r="G17" s="56"/>
      <c r="H17" s="56"/>
      <c r="I17" s="56"/>
      <c r="J17" s="56"/>
    </row>
    <row r="18" spans="1:10" ht="14.5" x14ac:dyDescent="0.35">
      <c r="A18" s="56"/>
      <c r="B18" s="56"/>
      <c r="C18" s="56"/>
      <c r="D18" s="56"/>
      <c r="E18" s="56"/>
      <c r="F18" s="56"/>
      <c r="G18" s="56"/>
      <c r="H18" s="56"/>
      <c r="I18" s="56"/>
      <c r="J18" s="56"/>
    </row>
    <row r="19" spans="1:10" ht="14.5" x14ac:dyDescent="0.35">
      <c r="A19" s="56"/>
      <c r="B19" s="56"/>
      <c r="C19" s="56"/>
      <c r="D19" s="56"/>
      <c r="E19" s="56"/>
      <c r="F19" s="56"/>
      <c r="G19" s="56"/>
      <c r="H19" s="56"/>
      <c r="I19" s="56"/>
      <c r="J19" s="56"/>
    </row>
    <row r="20" spans="1:10" ht="14.5" x14ac:dyDescent="0.35">
      <c r="A20" s="56"/>
      <c r="B20" s="56"/>
      <c r="C20" s="56"/>
      <c r="D20" s="56"/>
      <c r="E20" s="56"/>
      <c r="F20" s="56"/>
      <c r="G20" s="56"/>
      <c r="H20" s="56"/>
      <c r="I20" s="56"/>
      <c r="J20" s="56"/>
    </row>
    <row r="21" spans="1:10" ht="14.5" x14ac:dyDescent="0.35">
      <c r="A21" s="56"/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14.5" x14ac:dyDescent="0.35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14.5" x14ac:dyDescent="0.35">
      <c r="G23" s="56"/>
      <c r="H23" s="56"/>
      <c r="I23" s="56"/>
      <c r="J23" s="56"/>
    </row>
    <row r="24" spans="1:10" ht="14.5" x14ac:dyDescent="0.35">
      <c r="G24" s="56"/>
      <c r="H24" s="56"/>
      <c r="I24" s="56"/>
      <c r="J24" s="56"/>
    </row>
    <row r="25" spans="1:10" ht="14.5" x14ac:dyDescent="0.35">
      <c r="G25" s="56"/>
      <c r="H25" s="56"/>
      <c r="I25" s="56"/>
      <c r="J25" s="56"/>
    </row>
    <row r="26" spans="1:10" ht="14.5" x14ac:dyDescent="0.35">
      <c r="G26" s="56"/>
      <c r="H26" s="56"/>
      <c r="I26" s="56"/>
      <c r="J26" s="56"/>
    </row>
    <row r="27" spans="1:10" ht="14.5" x14ac:dyDescent="0.35">
      <c r="G27" s="56"/>
      <c r="H27" s="56"/>
      <c r="I27" s="56"/>
      <c r="J27" s="56"/>
    </row>
    <row r="28" spans="1:10" ht="14.5" x14ac:dyDescent="0.35">
      <c r="G28" s="56"/>
      <c r="H28" s="56"/>
      <c r="I28" s="56"/>
      <c r="J28" s="56"/>
    </row>
    <row r="29" spans="1:10" ht="14.5" x14ac:dyDescent="0.35">
      <c r="G29" s="56"/>
      <c r="H29" s="56"/>
      <c r="I29" s="56"/>
      <c r="J29" s="56"/>
    </row>
    <row r="30" spans="1:10" ht="14.5" x14ac:dyDescent="0.35">
      <c r="G30" s="56"/>
      <c r="H30" s="56"/>
      <c r="I30" s="56"/>
      <c r="J30" s="56"/>
    </row>
    <row r="31" spans="1:10" ht="14.5" x14ac:dyDescent="0.35">
      <c r="G31" s="56"/>
      <c r="H31" s="56"/>
      <c r="I31" s="56"/>
      <c r="J31" s="56"/>
    </row>
    <row r="32" spans="1:10" ht="14.5" x14ac:dyDescent="0.35">
      <c r="G32" s="56"/>
      <c r="H32" s="56"/>
      <c r="I32" s="56"/>
      <c r="J32" s="56"/>
    </row>
    <row r="33" spans="7:10" ht="14.5" x14ac:dyDescent="0.35">
      <c r="G33" s="56"/>
      <c r="H33" s="56"/>
      <c r="I33" s="56"/>
      <c r="J33" s="56"/>
    </row>
  </sheetData>
  <protectedRanges>
    <protectedRange sqref="C8:F8" name="Alue1"/>
  </protectedRanges>
  <customSheetViews>
    <customSheetView guid="{C44CE6ED-446D-4E43-AC42-1BADDBA87353}">
      <pane ySplit="5" topLeftCell="A6" activePane="bottomLeft" state="frozen"/>
      <selection pane="bottomLeft" activeCell="G25" sqref="G25"/>
      <pageMargins left="0.7" right="0.7" top="0.75" bottom="0.75" header="0.3" footer="0.3"/>
      <pageSetup orientation="portrait" horizontalDpi="200" verticalDpi="200" copies="0" r:id="rId1"/>
    </customSheetView>
    <customSheetView guid="{8386F830-B269-4ACC-A789-9E42C0FB51D1}">
      <pane ySplit="5" topLeftCell="A6" activePane="bottomLeft" state="frozen"/>
      <selection pane="bottomLeft" activeCell="C8" sqref="C8"/>
      <pageMargins left="0.7" right="0.7" top="0.75" bottom="0.75" header="0.3" footer="0.3"/>
      <pageSetup orientation="portrait" horizontalDpi="200" verticalDpi="200" copies="0" r:id="rId2"/>
    </customSheetView>
  </customSheetViews>
  <hyperlinks>
    <hyperlink ref="C1" location="Täyttöohje!A503" display="Innovaatiokannustin" xr:uid="{00000000-0004-0000-0800-000000000000}"/>
  </hyperlinks>
  <pageMargins left="0.7" right="0.7" top="0.75" bottom="0.75" header="0.3" footer="0.3"/>
  <pageSetup orientation="portrait" horizontalDpi="200" verticalDpi="200" copies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48D545B624AB244A21D45171E99030B" ma:contentTypeVersion="11" ma:contentTypeDescription="Luo uusi asiakirja." ma:contentTypeScope="" ma:versionID="c0fa9791ac878469c0efcec9f4942a68">
  <xsd:schema xmlns:xsd="http://www.w3.org/2001/XMLSchema" xmlns:xs="http://www.w3.org/2001/XMLSchema" xmlns:p="http://schemas.microsoft.com/office/2006/metadata/properties" xmlns:ns2="f298ac1c-8781-457c-836a-c94febb0efd7" xmlns:ns3="492ee864-9a00-4053-8292-33da4057805d" targetNamespace="http://schemas.microsoft.com/office/2006/metadata/properties" ma:root="true" ma:fieldsID="f1f72a05be1fc5dbd90d5cfe20c8637e" ns2:_="" ns3:_="">
    <xsd:import namespace="f298ac1c-8781-457c-836a-c94febb0efd7"/>
    <xsd:import namespace="492ee864-9a00-4053-8292-33da40578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8ac1c-8781-457c-836a-c94febb0e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_Flow_SignoffStatus" ma:index="14" nillable="true" ma:displayName="Kuittauksen tila" ma:internalName="_x0024_Resources_x003a_core_x002c_Signoff_Status_x003b_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ee864-9a00-4053-8292-33da40578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298ac1c-8781-457c-836a-c94febb0ef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D3078D-22E1-4352-A522-F8A63BCD6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8ac1c-8781-457c-836a-c94febb0efd7"/>
    <ds:schemaRef ds:uri="492ee864-9a00-4053-8292-33da40578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14BA6-54A5-4BCB-A20D-2CF972490FCA}">
  <ds:schemaRefs>
    <ds:schemaRef ds:uri="492ee864-9a00-4053-8292-33da4057805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298ac1c-8781-457c-836a-c94febb0efd7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F624FC-C427-4CA3-A5BF-A5E058C536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4</vt:i4>
      </vt:variant>
    </vt:vector>
  </HeadingPairs>
  <TitlesOfParts>
    <vt:vector size="14" baseType="lpstr">
      <vt:lpstr>Tuloslaskelma</vt:lpstr>
      <vt:lpstr>Vastaavaa</vt:lpstr>
      <vt:lpstr>Vastattavaa</vt:lpstr>
      <vt:lpstr>Parametrit</vt:lpstr>
      <vt:lpstr>Kohtuullinen tuotto</vt:lpstr>
      <vt:lpstr>Laatukannustin</vt:lpstr>
      <vt:lpstr>Tehostamiskannustin</vt:lpstr>
      <vt:lpstr>Investointikannustin</vt:lpstr>
      <vt:lpstr>Innovaatiokannustin</vt:lpstr>
      <vt:lpstr>Joustokannustin</vt:lpstr>
      <vt:lpstr>Laatukannustin!Tulostusalue</vt:lpstr>
      <vt:lpstr>Tuloslaskelma!Tulostusalue</vt:lpstr>
      <vt:lpstr>Vastaavaa!Tulostusalue</vt:lpstr>
      <vt:lpstr>Vastattavaa!Tulostusalue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EMV</dc:creator>
  <cp:lastModifiedBy>Lari Teittinen</cp:lastModifiedBy>
  <cp:lastPrinted>2012-02-03T11:22:29Z</cp:lastPrinted>
  <dcterms:created xsi:type="dcterms:W3CDTF">2004-02-06T13:22:36Z</dcterms:created>
  <dcterms:modified xsi:type="dcterms:W3CDTF">2024-04-08T08:03:52Z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0x010100548D545B624AB244A21D45171E99030B</vt:lpwstr>
  </property>
</Properties>
</file>